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180" tabRatio="947" firstSheet="1" activeTab="19"/>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shares'!$A$1:$FA$216</definedName>
    <definedName name="Expry_Roll___20" localSheetId="17">'NIFTY GRP'!$A$1:$EY$51</definedName>
    <definedName name="fii" localSheetId="18">FII!$A$1:$N$16</definedName>
    <definedName name="_xlnm.Print_Area" localSheetId="14">Disclaimar!$A$1:$A$24</definedName>
    <definedName name="stats__2" localSheetId="15">'Data Vlaue (Cr)'!$A$1:$FB$216</definedName>
  </definedNames>
  <calcPr calcId="144525"/>
</workbook>
</file>

<file path=xl/calcChain.xml><?xml version="1.0" encoding="utf-8"?>
<calcChain xmlns="http://schemas.openxmlformats.org/spreadsheetml/2006/main">
  <c r="L3" i="21" l="1"/>
  <c r="F128" i="18" l="1"/>
  <c r="F68" i="18"/>
  <c r="F160" i="18"/>
  <c r="F191" i="18"/>
  <c r="F194" i="18"/>
  <c r="F57" i="18"/>
  <c r="F79" i="18"/>
  <c r="F122" i="18"/>
  <c r="F52" i="18"/>
  <c r="F205" i="18"/>
  <c r="F90" i="18"/>
  <c r="F116" i="18"/>
  <c r="F24" i="18"/>
  <c r="F64" i="18"/>
  <c r="F58" i="18"/>
  <c r="F156" i="18"/>
  <c r="F96" i="18"/>
  <c r="F204" i="18"/>
  <c r="F21" i="18"/>
  <c r="F130" i="18"/>
  <c r="F98" i="18"/>
  <c r="F12" i="18"/>
  <c r="F99" i="18"/>
  <c r="F175" i="18"/>
  <c r="F87" i="18"/>
  <c r="F92" i="18"/>
  <c r="F131" i="18"/>
  <c r="F123" i="18"/>
  <c r="F106" i="18"/>
  <c r="F153" i="18"/>
  <c r="F195" i="18"/>
  <c r="F66" i="18"/>
  <c r="F38" i="18"/>
  <c r="F201" i="18"/>
  <c r="F77" i="18"/>
  <c r="F86" i="18"/>
  <c r="F35" i="18"/>
  <c r="F126" i="18"/>
  <c r="F142" i="18"/>
  <c r="F173" i="18"/>
  <c r="F189" i="18"/>
  <c r="F110" i="18"/>
  <c r="F147" i="18"/>
  <c r="F41" i="18"/>
  <c r="F165" i="18"/>
  <c r="F75" i="18"/>
  <c r="F208" i="18"/>
  <c r="F61" i="18"/>
  <c r="F145" i="18"/>
  <c r="F40" i="18"/>
  <c r="F89" i="18"/>
  <c r="F146" i="18"/>
  <c r="F6" i="18"/>
  <c r="F107" i="18"/>
  <c r="F43" i="18"/>
  <c r="F139" i="18"/>
  <c r="F36" i="18"/>
  <c r="F182" i="18"/>
  <c r="F13" i="18"/>
  <c r="F172" i="18"/>
  <c r="F9" i="18"/>
  <c r="F161" i="18"/>
  <c r="F199" i="18"/>
  <c r="F178" i="18"/>
  <c r="F150" i="18"/>
  <c r="F143" i="18"/>
  <c r="F108" i="18"/>
  <c r="F70" i="18"/>
  <c r="F37" i="18"/>
  <c r="F18" i="18"/>
  <c r="F104" i="18"/>
  <c r="F162" i="18"/>
  <c r="F210" i="18"/>
  <c r="F193" i="18"/>
  <c r="F154" i="18"/>
  <c r="F213" i="18"/>
  <c r="F163" i="18"/>
  <c r="F28" i="18"/>
  <c r="F144" i="18"/>
  <c r="F129" i="18"/>
  <c r="F65" i="18"/>
  <c r="F184" i="18"/>
  <c r="F46" i="18"/>
  <c r="F82" i="18"/>
  <c r="F48" i="18"/>
  <c r="F171" i="18"/>
  <c r="F148" i="18"/>
  <c r="F33" i="18"/>
  <c r="F39" i="18"/>
  <c r="F118" i="18"/>
  <c r="F120" i="18"/>
  <c r="F196" i="18"/>
  <c r="F149" i="18"/>
  <c r="F157" i="18"/>
  <c r="F164" i="18"/>
  <c r="F133" i="18"/>
  <c r="F212" i="18"/>
  <c r="F103" i="18"/>
  <c r="F8" i="18"/>
  <c r="F76" i="18"/>
  <c r="F190" i="18"/>
  <c r="F111" i="18"/>
  <c r="F27" i="18"/>
  <c r="F115" i="18"/>
  <c r="F78" i="18"/>
  <c r="F23" i="18"/>
  <c r="F59" i="18"/>
  <c r="F137" i="18"/>
  <c r="F32" i="18"/>
  <c r="F192" i="18"/>
  <c r="F113" i="18"/>
  <c r="F44" i="18"/>
  <c r="F105" i="18"/>
  <c r="F54" i="18"/>
  <c r="F85" i="18"/>
  <c r="F102" i="18"/>
  <c r="F45" i="18"/>
  <c r="F167" i="18"/>
  <c r="F159" i="18"/>
  <c r="F109" i="18"/>
  <c r="F200" i="18"/>
  <c r="F88" i="18"/>
  <c r="F209" i="18"/>
  <c r="F135" i="18"/>
  <c r="F14" i="18"/>
  <c r="F47" i="18"/>
  <c r="F114" i="18"/>
  <c r="F155" i="18"/>
  <c r="F74" i="18"/>
  <c r="F124" i="18"/>
  <c r="F53" i="18"/>
  <c r="F197" i="18"/>
  <c r="F97" i="18"/>
  <c r="F152" i="18"/>
  <c r="F117" i="18"/>
  <c r="F186" i="18"/>
  <c r="F22" i="18"/>
  <c r="F181" i="18"/>
  <c r="F73" i="18"/>
  <c r="F80" i="18"/>
  <c r="F16" i="18"/>
  <c r="F185" i="18"/>
  <c r="F179" i="18"/>
  <c r="F19" i="18"/>
  <c r="F81" i="18"/>
  <c r="F100" i="18"/>
  <c r="F158" i="18"/>
  <c r="F49" i="18"/>
  <c r="F55" i="18"/>
  <c r="F202" i="18"/>
  <c r="F125" i="18"/>
  <c r="F91" i="18"/>
  <c r="F17" i="18"/>
  <c r="F83" i="18"/>
  <c r="F166" i="18"/>
  <c r="F176" i="18"/>
  <c r="F11" i="18"/>
  <c r="F170" i="18"/>
  <c r="F42" i="18"/>
  <c r="F134" i="18"/>
  <c r="F180" i="18"/>
  <c r="F177" i="18"/>
  <c r="F72" i="18"/>
  <c r="F141" i="18"/>
  <c r="F51" i="18"/>
  <c r="F94" i="18"/>
  <c r="F132" i="18"/>
  <c r="F34" i="18"/>
  <c r="F26" i="18"/>
  <c r="F101" i="18"/>
  <c r="F198" i="18"/>
  <c r="F211" i="18"/>
  <c r="F60" i="18"/>
  <c r="F187" i="18"/>
  <c r="F169" i="18"/>
  <c r="F119" i="18"/>
  <c r="F121" i="18"/>
  <c r="F30" i="18"/>
  <c r="F151" i="18"/>
  <c r="F138" i="18"/>
  <c r="F183" i="18"/>
  <c r="F15" i="18"/>
  <c r="F10" i="18"/>
  <c r="F29" i="18"/>
  <c r="F67" i="18"/>
  <c r="F5" i="18"/>
  <c r="F62" i="18"/>
  <c r="F140" i="18"/>
  <c r="F136" i="18"/>
  <c r="F84" i="18"/>
  <c r="F127" i="18"/>
  <c r="F206" i="18"/>
  <c r="F7" i="18"/>
  <c r="F31" i="18"/>
  <c r="F25" i="18"/>
  <c r="F174" i="18"/>
  <c r="F188" i="18"/>
  <c r="F50" i="18"/>
  <c r="F95" i="18"/>
  <c r="F112" i="18"/>
  <c r="F168" i="18"/>
  <c r="F207" i="18"/>
  <c r="F71" i="18"/>
  <c r="F69" i="18"/>
  <c r="F56" i="18"/>
  <c r="F203" i="18"/>
  <c r="F93" i="18"/>
  <c r="F20" i="18"/>
  <c r="L4" i="21" l="1"/>
  <c r="E136"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2" i="18"/>
  <c r="E163" i="18"/>
  <c r="E165" i="18"/>
  <c r="E64" i="18"/>
  <c r="E184" i="18"/>
  <c r="E188" i="18"/>
  <c r="E150" i="18"/>
  <c r="E29" i="18"/>
  <c r="E43" i="18"/>
  <c r="E82" i="18"/>
  <c r="E196" i="18"/>
  <c r="E172" i="18"/>
  <c r="E74" i="18"/>
  <c r="E210" i="18"/>
  <c r="E31" i="18"/>
  <c r="E162" i="18"/>
  <c r="E26" i="18"/>
  <c r="E76" i="18"/>
  <c r="E21" i="18"/>
  <c r="E93" i="18"/>
  <c r="E14" i="18"/>
  <c r="E62" i="18"/>
  <c r="E189" i="18"/>
  <c r="E128" i="18"/>
  <c r="E67" i="18"/>
  <c r="E101" i="18"/>
  <c r="E100" i="18"/>
  <c r="E170" i="18"/>
  <c r="E85" i="18"/>
  <c r="E121" i="18"/>
  <c r="E137" i="18"/>
  <c r="E199" i="18"/>
  <c r="E103" i="18"/>
  <c r="E114" i="18"/>
  <c r="E194" i="18"/>
  <c r="E157" i="18"/>
  <c r="E117" i="18"/>
  <c r="E36" i="18"/>
  <c r="E8" i="18"/>
  <c r="E20" i="18"/>
  <c r="E59" i="18"/>
  <c r="E209" i="18"/>
  <c r="E182" i="18"/>
  <c r="E105" i="18"/>
  <c r="E35" i="18"/>
  <c r="E10" i="18"/>
  <c r="E110" i="18"/>
  <c r="E87" i="18"/>
  <c r="E147" i="18"/>
  <c r="E41" i="18"/>
  <c r="E108" i="18"/>
  <c r="E75" i="18"/>
  <c r="E84" i="18"/>
  <c r="E40" i="18"/>
  <c r="E159" i="18"/>
  <c r="E138" i="18"/>
  <c r="E32" i="18"/>
  <c r="E44" i="18"/>
  <c r="E48" i="18"/>
  <c r="E167" i="18"/>
  <c r="E45" i="18"/>
  <c r="E169" i="18"/>
  <c r="E106" i="18"/>
  <c r="E16" i="18"/>
  <c r="E171" i="18"/>
  <c r="E5" i="18"/>
  <c r="E39" i="18"/>
  <c r="E46" i="18"/>
  <c r="E168" i="18"/>
  <c r="E202" i="18"/>
  <c r="E146" i="18"/>
  <c r="E107" i="18"/>
  <c r="E81" i="18"/>
  <c r="E131" i="18"/>
  <c r="E134" i="18"/>
  <c r="E183" i="18"/>
  <c r="E57" i="18"/>
  <c r="E206" i="18"/>
  <c r="E127" i="18"/>
  <c r="E130" i="18"/>
  <c r="E54" i="18"/>
  <c r="E158" i="18"/>
  <c r="E28" i="18"/>
  <c r="E178" i="18"/>
  <c r="E38" i="18"/>
  <c r="E71" i="18"/>
  <c r="E139" i="18"/>
  <c r="E111" i="18"/>
  <c r="E205" i="18"/>
  <c r="E92" i="18"/>
  <c r="E135" i="18"/>
  <c r="E66" i="18"/>
  <c r="E86" i="18"/>
  <c r="E177" i="18"/>
  <c r="E78" i="18"/>
  <c r="E143" i="18"/>
  <c r="E118" i="18"/>
  <c r="E203" i="18"/>
  <c r="E18" i="18"/>
  <c r="E13" i="18"/>
  <c r="E73" i="18"/>
  <c r="E27" i="18"/>
  <c r="E80" i="18"/>
  <c r="E174" i="18"/>
  <c r="E195" i="18"/>
  <c r="E77" i="18"/>
  <c r="E149" i="18"/>
  <c r="E160" i="18"/>
  <c r="E51" i="18"/>
  <c r="E152" i="18"/>
  <c r="E70" i="18"/>
  <c r="E187" i="18"/>
  <c r="E201" i="18"/>
  <c r="E198" i="18"/>
  <c r="E96" i="18"/>
  <c r="E208" i="18"/>
  <c r="E200" i="18"/>
  <c r="E37" i="18"/>
  <c r="E120" i="18"/>
  <c r="E132" i="18"/>
  <c r="E23" i="18"/>
  <c r="E88" i="18"/>
  <c r="E191" i="18"/>
  <c r="E140" i="18"/>
  <c r="E104" i="18"/>
  <c r="E175" i="18"/>
  <c r="E95" i="18"/>
  <c r="E133" i="18"/>
  <c r="E197" i="18"/>
  <c r="E116" i="18"/>
  <c r="E180" i="18"/>
  <c r="E102" i="18"/>
  <c r="E207" i="18"/>
  <c r="E192" i="18"/>
  <c r="E34" i="18"/>
  <c r="E129" i="18"/>
  <c r="E155" i="18"/>
  <c r="E33" i="18"/>
  <c r="E212" i="18"/>
  <c r="E63" i="18"/>
  <c r="F63" i="18"/>
  <c r="E164" i="18"/>
  <c r="E68" i="18"/>
  <c r="E47" i="18"/>
  <c r="E154" i="18"/>
  <c r="E69" i="18"/>
  <c r="E90" i="18"/>
  <c r="E193" i="18"/>
  <c r="E181" i="18"/>
  <c r="E49" i="18"/>
  <c r="E166" i="18"/>
  <c r="E97" i="18"/>
  <c r="E186" i="18"/>
  <c r="E17" i="18"/>
  <c r="E161" i="18"/>
  <c r="E9" i="18"/>
  <c r="E22" i="18"/>
  <c r="E11" i="18"/>
  <c r="E190" i="18"/>
  <c r="E65" i="18"/>
  <c r="E19" i="18"/>
  <c r="E185" i="18"/>
  <c r="E179" i="18"/>
  <c r="E213" i="18"/>
  <c r="E113" i="18"/>
  <c r="E123" i="18"/>
  <c r="E72" i="18"/>
  <c r="E204" i="18"/>
  <c r="E112" i="18"/>
  <c r="E119" i="18"/>
  <c r="E176" i="18"/>
  <c r="E145" i="18"/>
  <c r="E56" i="18"/>
  <c r="E173" i="18"/>
  <c r="E94" i="18"/>
  <c r="E55" i="18"/>
  <c r="E156" i="18"/>
  <c r="E115" i="18"/>
  <c r="E142" i="18"/>
  <c r="E91" i="18"/>
  <c r="E52" i="18"/>
  <c r="E79" i="18"/>
  <c r="E98" i="18"/>
  <c r="E125" i="18"/>
  <c r="E153" i="18"/>
  <c r="E24" i="18"/>
  <c r="E83" i="18"/>
  <c r="E144" i="18"/>
  <c r="E126" i="18"/>
  <c r="E122" i="18"/>
  <c r="E60" i="18"/>
  <c r="E6" i="18"/>
  <c r="E211" i="18"/>
  <c r="E124" i="18"/>
  <c r="E148" i="18"/>
  <c r="E15" i="18"/>
  <c r="E25" i="18"/>
  <c r="E141" i="18"/>
  <c r="E61" i="18"/>
  <c r="E7"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01" i="7" l="1"/>
  <c r="A29" i="7"/>
  <c r="L29" i="7" s="1"/>
  <c r="A159" i="7"/>
  <c r="A119" i="7"/>
  <c r="N119" i="7" s="1"/>
  <c r="A148" i="7"/>
  <c r="I148" i="7" s="1"/>
  <c r="A136" i="7"/>
  <c r="O136" i="7" s="1"/>
  <c r="A114" i="7"/>
  <c r="D114" i="7" s="1"/>
  <c r="A183" i="7"/>
  <c r="I183" i="7" s="1"/>
  <c r="A173" i="7"/>
  <c r="L173" i="7" s="1"/>
  <c r="A90" i="7"/>
  <c r="F90" i="7" s="1"/>
  <c r="A60" i="7"/>
  <c r="D60" i="7" s="1"/>
  <c r="A52" i="7"/>
  <c r="F52" i="7" s="1"/>
  <c r="A171" i="7"/>
  <c r="D171" i="7" s="1"/>
  <c r="A78" i="7"/>
  <c r="J78" i="7" s="1"/>
  <c r="A30" i="7"/>
  <c r="B30" i="7" s="1"/>
  <c r="A163" i="7"/>
  <c r="B163" i="7" s="1"/>
  <c r="A131" i="7"/>
  <c r="B131" i="7" s="1"/>
  <c r="A107" i="7"/>
  <c r="N107" i="7" s="1"/>
  <c r="A47" i="7"/>
  <c r="H47" i="7" s="1"/>
  <c r="A155" i="7"/>
  <c r="J155" i="7" s="1"/>
  <c r="A59" i="7"/>
  <c r="C59" i="7" s="1"/>
  <c r="A35" i="7"/>
  <c r="B35" i="7" s="1"/>
  <c r="A11" i="7"/>
  <c r="I11" i="7" s="1"/>
  <c r="A181" i="7"/>
  <c r="H181" i="7" s="1"/>
  <c r="A94" i="7"/>
  <c r="F94" i="7" s="1"/>
  <c r="A178" i="7"/>
  <c r="B178" i="7" s="1"/>
  <c r="A46" i="7"/>
  <c r="J46" i="7" s="1"/>
  <c r="A177" i="7"/>
  <c r="E177" i="7" s="1"/>
  <c r="A82" i="7"/>
  <c r="F82" i="7" s="1"/>
  <c r="B104" i="13"/>
  <c r="A130" i="7"/>
  <c r="B130" i="7" s="1"/>
  <c r="A80" i="7"/>
  <c r="K80" i="7" s="1"/>
  <c r="A34" i="7"/>
  <c r="G34" i="7" s="1"/>
  <c r="C240" i="2"/>
  <c r="F240" i="2" s="1"/>
  <c r="A169" i="7"/>
  <c r="F169" i="7" s="1"/>
  <c r="A127" i="7"/>
  <c r="B127" i="7" s="1"/>
  <c r="A67" i="7"/>
  <c r="O67" i="7" s="1"/>
  <c r="A16" i="7"/>
  <c r="H16" i="7" s="1"/>
  <c r="F19" i="14"/>
  <c r="A97" i="7"/>
  <c r="G97" i="7" s="1"/>
  <c r="L155" i="6"/>
  <c r="J155" i="6"/>
  <c r="E155" i="6"/>
  <c r="A146" i="7"/>
  <c r="D146" i="7" s="1"/>
  <c r="A122" i="7"/>
  <c r="A96" i="7"/>
  <c r="G96" i="7" s="1"/>
  <c r="A50" i="7"/>
  <c r="F50" i="7" s="1"/>
  <c r="A170" i="7"/>
  <c r="B170" i="7" s="1"/>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K13" i="7" s="1"/>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O23" i="12" s="1"/>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A137" i="7"/>
  <c r="A77" i="7"/>
  <c r="L77" i="7" s="1"/>
  <c r="A53" i="7"/>
  <c r="L53" i="7" s="1"/>
  <c r="H167" i="6"/>
  <c r="L109" i="6"/>
  <c r="M8" i="6"/>
  <c r="K120" i="10"/>
  <c r="E110" i="10"/>
  <c r="K113" i="11"/>
  <c r="E78" i="12"/>
  <c r="F13" i="13"/>
  <c r="I161" i="2"/>
  <c r="I36" i="5"/>
  <c r="A151" i="7"/>
  <c r="I151" i="7" s="1"/>
  <c r="A88" i="7"/>
  <c r="B88" i="7" s="1"/>
  <c r="A65" i="7"/>
  <c r="G65" i="7" s="1"/>
  <c r="A51" i="7"/>
  <c r="L51" i="7" s="1"/>
  <c r="O56" i="10"/>
  <c r="M146" i="11"/>
  <c r="C170" i="12"/>
  <c r="C161" i="14"/>
  <c r="E70" i="14"/>
  <c r="P140" i="2"/>
  <c r="C56" i="2"/>
  <c r="A176" i="7"/>
  <c r="O176" i="7" s="1"/>
  <c r="A149" i="7"/>
  <c r="G149" i="7" s="1"/>
  <c r="C3" i="21"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L10" i="7"/>
  <c r="N35" i="6"/>
  <c r="H242" i="2"/>
  <c r="B56" i="3"/>
  <c r="O165" i="5"/>
  <c r="A158" i="7"/>
  <c r="H158" i="7" s="1"/>
  <c r="F71" i="7"/>
  <c r="A9" i="7"/>
  <c r="B9" i="7" s="1"/>
  <c r="F131" i="6"/>
  <c r="L120" i="6"/>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E52" i="5" s="1"/>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I94" i="6"/>
  <c r="N77" i="6"/>
  <c r="I25" i="6"/>
  <c r="G16" i="6"/>
  <c r="E171" i="10"/>
  <c r="N164" i="10"/>
  <c r="J157" i="10"/>
  <c r="I156" i="10"/>
  <c r="I141" i="10"/>
  <c r="C141" i="10"/>
  <c r="I121" i="10"/>
  <c r="F120" i="10"/>
  <c r="I110" i="10"/>
  <c r="K96" i="10"/>
  <c r="L94" i="10"/>
  <c r="I86" i="10"/>
  <c r="K56" i="10"/>
  <c r="O112" i="7"/>
  <c r="H181" i="6"/>
  <c r="G122" i="6"/>
  <c r="O114" i="6"/>
  <c r="L69" i="6"/>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1" i="7"/>
  <c r="R191" i="2"/>
  <c r="Q173" i="2"/>
  <c r="L171" i="3"/>
  <c r="D171" i="3"/>
  <c r="G127" i="3"/>
  <c r="Q72" i="3"/>
  <c r="L189" i="7"/>
  <c r="I171" i="7"/>
  <c r="G113" i="7"/>
  <c r="M112" i="7"/>
  <c r="B90"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P47" i="3"/>
  <c r="J28" i="3"/>
  <c r="H189" i="7"/>
  <c r="E171" i="7"/>
  <c r="E113" i="7"/>
  <c r="S75" i="2"/>
  <c r="I100" i="7"/>
  <c r="I96" i="7"/>
  <c r="G72" i="7"/>
  <c r="C72" i="7"/>
  <c r="O72" i="7"/>
  <c r="D72" i="7"/>
  <c r="I72" i="7"/>
  <c r="I12" i="10"/>
  <c r="L18" i="7"/>
  <c r="I183" i="6"/>
  <c r="K169" i="6"/>
  <c r="L52" i="6"/>
  <c r="O52" i="12" s="1"/>
  <c r="M187" i="10"/>
  <c r="L133" i="10"/>
  <c r="H133" i="10"/>
  <c r="D133" i="10"/>
  <c r="O132" i="10"/>
  <c r="J132" i="10"/>
  <c r="E132" i="10"/>
  <c r="J125" i="10"/>
  <c r="N69" i="10"/>
  <c r="O68" i="10"/>
  <c r="L57" i="10"/>
  <c r="M49" i="10"/>
  <c r="F18" i="7"/>
  <c r="E183" i="6"/>
  <c r="I169" i="6"/>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P65" i="5" s="1"/>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F3" i="21" s="1"/>
  <c r="B137" i="14"/>
  <c r="C129" i="14"/>
  <c r="E126" i="14"/>
  <c r="E123" i="14"/>
  <c r="B95" i="14"/>
  <c r="E93" i="14"/>
  <c r="E17" i="14"/>
  <c r="E15" i="14"/>
  <c r="E14" i="14"/>
  <c r="E12" i="14"/>
  <c r="C165" i="6"/>
  <c r="E165" i="6"/>
  <c r="B138" i="6"/>
  <c r="K138" i="6"/>
  <c r="P120" i="2"/>
  <c r="E120" i="2"/>
  <c r="G120" i="2" s="1"/>
  <c r="P48" i="2"/>
  <c r="E48" i="2"/>
  <c r="Q34" i="2"/>
  <c r="L182" i="3"/>
  <c r="M166" i="3"/>
  <c r="M157" i="3"/>
  <c r="N147" i="3"/>
  <c r="Q133" i="3"/>
  <c r="O104" i="3"/>
  <c r="I94" i="3"/>
  <c r="Q93" i="3"/>
  <c r="G93" i="3"/>
  <c r="Q92" i="3"/>
  <c r="G92" i="3"/>
  <c r="O85" i="3"/>
  <c r="G85" i="3"/>
  <c r="E85" i="5" s="1"/>
  <c r="L47" i="3"/>
  <c r="P40" i="3"/>
  <c r="Q39" i="3"/>
  <c r="I91" i="7"/>
  <c r="O61" i="7"/>
  <c r="L165" i="6"/>
  <c r="F165" i="6"/>
  <c r="C161" i="6"/>
  <c r="I161" i="6"/>
  <c r="F161" i="6"/>
  <c r="E112" i="6"/>
  <c r="L112" i="6"/>
  <c r="I112" i="6"/>
  <c r="C95" i="6"/>
  <c r="L95" i="5" s="1"/>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Q31" i="12" s="1"/>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83" i="7"/>
  <c r="H113" i="7"/>
  <c r="J94" i="7"/>
  <c r="D93" i="7"/>
  <c r="K91" i="7"/>
  <c r="H72" i="7"/>
  <c r="N71" i="7"/>
  <c r="K27" i="7"/>
  <c r="E27" i="7"/>
  <c r="K21" i="7"/>
  <c r="L181" i="6"/>
  <c r="D181" i="6"/>
  <c r="I180" i="6"/>
  <c r="M180" i="12" s="1"/>
  <c r="M169" i="6"/>
  <c r="E169" i="6"/>
  <c r="I168" i="6"/>
  <c r="Q168" i="12" s="1"/>
  <c r="L167" i="6"/>
  <c r="E167" i="6"/>
  <c r="N165" i="6"/>
  <c r="I165" i="6"/>
  <c r="B165" i="6"/>
  <c r="B114" i="6"/>
  <c r="G114" i="6"/>
  <c r="E114" i="6"/>
  <c r="C71" i="6"/>
  <c r="K71" i="6"/>
  <c r="S71" i="12" s="1"/>
  <c r="O71" i="6"/>
  <c r="G71" i="6"/>
  <c r="D69" i="6"/>
  <c r="I69" i="6"/>
  <c r="N69" i="6"/>
  <c r="E69" i="6"/>
  <c r="J69" i="6"/>
  <c r="B69" i="6"/>
  <c r="H69" i="6"/>
  <c r="M69" i="6"/>
  <c r="B41" i="6"/>
  <c r="I41" i="6"/>
  <c r="Q41" i="12" s="1"/>
  <c r="N41" i="6"/>
  <c r="H41" i="6"/>
  <c r="E27" i="6"/>
  <c r="I27" i="6"/>
  <c r="K27" i="6"/>
  <c r="N27" i="12" s="1"/>
  <c r="G27" i="6"/>
  <c r="C166" i="10"/>
  <c r="G166" i="10"/>
  <c r="K166" i="10"/>
  <c r="E166" i="10"/>
  <c r="B148" i="10"/>
  <c r="G148" i="10"/>
  <c r="N148" i="10"/>
  <c r="C148" i="10"/>
  <c r="I122" i="6"/>
  <c r="I111" i="6"/>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G3" i="21" s="1"/>
  <c r="B148" i="14"/>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E4" i="21" s="1"/>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H4" i="21" s="1"/>
  <c r="D36" i="2"/>
  <c r="I4" i="21" s="1"/>
  <c r="M36" i="2"/>
  <c r="E36" i="2"/>
  <c r="J4" i="21" s="1"/>
  <c r="P36" i="2"/>
  <c r="D4" i="21" s="1"/>
  <c r="L189" i="3"/>
  <c r="F189" i="3"/>
  <c r="Q189" i="3"/>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3" i="21" s="1"/>
  <c r="I153" i="2"/>
  <c r="C107" i="2"/>
  <c r="I107" i="2"/>
  <c r="S107" i="2"/>
  <c r="D93" i="2"/>
  <c r="I93" i="2"/>
  <c r="L93" i="2"/>
  <c r="D92" i="2"/>
  <c r="B92" i="2"/>
  <c r="M92" i="2"/>
  <c r="E92" i="2"/>
  <c r="Q92" i="2"/>
  <c r="B88" i="2"/>
  <c r="E88" i="2"/>
  <c r="S88" i="2"/>
  <c r="I88" i="2"/>
  <c r="I79" i="2"/>
  <c r="Q79" i="2"/>
  <c r="D60" i="2"/>
  <c r="C60" i="2"/>
  <c r="I60" i="2"/>
  <c r="Q49" i="2"/>
  <c r="D49" i="2"/>
  <c r="H36" i="2"/>
  <c r="B4" i="21" s="1"/>
  <c r="L10" i="2"/>
  <c r="P10" i="2"/>
  <c r="M126" i="3"/>
  <c r="I126" i="3"/>
  <c r="Q126" i="3"/>
  <c r="D119" i="3"/>
  <c r="C119" i="3"/>
  <c r="N119" i="3"/>
  <c r="F119" i="3"/>
  <c r="P119" i="3"/>
  <c r="I119" i="3"/>
  <c r="B101" i="3"/>
  <c r="I101" i="3"/>
  <c r="J101" i="3"/>
  <c r="C157" i="7"/>
  <c r="L157" i="7"/>
  <c r="D152" i="7"/>
  <c r="E152" i="7"/>
  <c r="J152" i="7"/>
  <c r="O152" i="7"/>
  <c r="C145" i="7"/>
  <c r="G145" i="7"/>
  <c r="C136" i="7"/>
  <c r="C109" i="7"/>
  <c r="B107" i="7"/>
  <c r="I13" i="7"/>
  <c r="B187" i="6"/>
  <c r="M187" i="6"/>
  <c r="F187" i="6"/>
  <c r="H187" i="6"/>
  <c r="M172" i="6"/>
  <c r="A172" i="7"/>
  <c r="I172" i="7" s="1"/>
  <c r="I164" i="6"/>
  <c r="Q164" i="12" s="1"/>
  <c r="K164" i="6"/>
  <c r="A164" i="7"/>
  <c r="E164" i="7" s="1"/>
  <c r="B147" i="6"/>
  <c r="F147" i="6"/>
  <c r="I147" i="6"/>
  <c r="M147" i="12" s="1"/>
  <c r="L147" i="6"/>
  <c r="B135" i="6"/>
  <c r="F135" i="6"/>
  <c r="J135" i="6"/>
  <c r="N135" i="6"/>
  <c r="C135" i="6"/>
  <c r="G135" i="6"/>
  <c r="K135" i="6"/>
  <c r="O135" i="6"/>
  <c r="D135" i="6"/>
  <c r="H135" i="6"/>
  <c r="L135" i="6"/>
  <c r="B125" i="6"/>
  <c r="E125" i="6"/>
  <c r="H125" i="6"/>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E48" i="5" s="1"/>
  <c r="F48" i="5" s="1"/>
  <c r="G48" i="5" s="1"/>
  <c r="L46" i="3"/>
  <c r="O45" i="3"/>
  <c r="O40" i="3"/>
  <c r="J40" i="3"/>
  <c r="D40" i="3"/>
  <c r="N36" i="3"/>
  <c r="I36" i="3"/>
  <c r="C36" i="3"/>
  <c r="E36" i="3" s="1"/>
  <c r="O35" i="3"/>
  <c r="P34" i="3"/>
  <c r="M32" i="3"/>
  <c r="F32" i="3"/>
  <c r="O31" i="3"/>
  <c r="P28" i="3"/>
  <c r="G28" i="3"/>
  <c r="I25" i="3"/>
  <c r="P24" i="3"/>
  <c r="G24" i="3"/>
  <c r="I20" i="3"/>
  <c r="O19" i="3"/>
  <c r="N16" i="3"/>
  <c r="L14" i="3"/>
  <c r="O13" i="3"/>
  <c r="L7" i="3"/>
  <c r="F189" i="7"/>
  <c r="A187" i="7"/>
  <c r="C187" i="7" s="1"/>
  <c r="E180" i="7"/>
  <c r="M171" i="7"/>
  <c r="I161" i="7"/>
  <c r="M152" i="7"/>
  <c r="F152" i="7"/>
  <c r="J148" i="7"/>
  <c r="F136" i="7"/>
  <c r="A135" i="7"/>
  <c r="B135" i="7" s="1"/>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A66" i="7"/>
  <c r="M66" i="7" s="1"/>
  <c r="C62" i="6"/>
  <c r="A62" i="7"/>
  <c r="K62" i="7" s="1"/>
  <c r="B13" i="6"/>
  <c r="F13" i="6"/>
  <c r="J13" i="6"/>
  <c r="N13" i="6"/>
  <c r="C13" i="6"/>
  <c r="G13" i="6"/>
  <c r="K13" i="6"/>
  <c r="O13" i="6"/>
  <c r="D13" i="6"/>
  <c r="L13" i="6"/>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N104" i="2" s="1"/>
  <c r="O104" i="2" s="1"/>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B158" i="7"/>
  <c r="K152" i="7"/>
  <c r="C152" i="7"/>
  <c r="B151" i="7"/>
  <c r="K151" i="7"/>
  <c r="A147" i="7"/>
  <c r="L147" i="7" s="1"/>
  <c r="E136" i="7"/>
  <c r="C119" i="7"/>
  <c r="F119" i="7"/>
  <c r="C77" i="7"/>
  <c r="D77" i="7"/>
  <c r="O77" i="7"/>
  <c r="G77" i="7"/>
  <c r="I77" i="7"/>
  <c r="E185" i="6"/>
  <c r="I185" i="6"/>
  <c r="M185" i="6"/>
  <c r="B141" i="6"/>
  <c r="L141" i="6"/>
  <c r="A141" i="7"/>
  <c r="I135" i="6"/>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L134" i="7"/>
  <c r="F132" i="7"/>
  <c r="B14" i="7"/>
  <c r="H14" i="7"/>
  <c r="L187" i="6"/>
  <c r="K160" i="6"/>
  <c r="A160" i="7"/>
  <c r="I160" i="7" s="1"/>
  <c r="B152" i="6"/>
  <c r="I152" i="6"/>
  <c r="E135" i="6"/>
  <c r="F110" i="6"/>
  <c r="I110" i="6"/>
  <c r="K110" i="6"/>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O83" i="6"/>
  <c r="B51" i="6"/>
  <c r="G51" i="6"/>
  <c r="M51" i="6"/>
  <c r="C51" i="6"/>
  <c r="I51" i="6"/>
  <c r="M51" i="12" s="1"/>
  <c r="N51" i="6"/>
  <c r="E51" i="6"/>
  <c r="O51" i="6"/>
  <c r="F51" i="6"/>
  <c r="J51" i="6"/>
  <c r="E28" i="6"/>
  <c r="A28" i="7"/>
  <c r="K173" i="10"/>
  <c r="E94" i="7"/>
  <c r="C73" i="7"/>
  <c r="D61" i="7"/>
  <c r="F42" i="7"/>
  <c r="O33" i="7"/>
  <c r="D33" i="7"/>
  <c r="K31" i="7"/>
  <c r="M27" i="7"/>
  <c r="G27" i="7"/>
  <c r="O21" i="7"/>
  <c r="C21" i="7"/>
  <c r="M12" i="7"/>
  <c r="N10" i="7"/>
  <c r="K7" i="7"/>
  <c r="G180" i="6"/>
  <c r="M177" i="6"/>
  <c r="E177" i="6"/>
  <c r="I176" i="6"/>
  <c r="M176" i="12" s="1"/>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B52" i="7"/>
  <c r="L49" i="7"/>
  <c r="I31" i="7"/>
  <c r="I12" i="7"/>
  <c r="N183" i="6"/>
  <c r="F183" i="6"/>
  <c r="K181" i="6"/>
  <c r="E181" i="6"/>
  <c r="O180" i="6"/>
  <c r="E180" i="6"/>
  <c r="J177" i="6"/>
  <c r="F175" i="6"/>
  <c r="J161" i="6"/>
  <c r="D161" i="6"/>
  <c r="M155" i="6"/>
  <c r="H155" i="6"/>
  <c r="I139" i="6"/>
  <c r="F138" i="6"/>
  <c r="L133" i="6"/>
  <c r="K123" i="6"/>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12" s="1"/>
  <c r="L119" i="6"/>
  <c r="C112" i="6"/>
  <c r="D112" i="6"/>
  <c r="K112" i="6"/>
  <c r="D85" i="6"/>
  <c r="I85" i="6"/>
  <c r="N85" i="6"/>
  <c r="I63" i="6"/>
  <c r="Q63" i="12" s="1"/>
  <c r="M63" i="6"/>
  <c r="H60" i="6"/>
  <c r="L60" i="6"/>
  <c r="E36" i="6"/>
  <c r="C36" i="6"/>
  <c r="I36" i="6"/>
  <c r="M36" i="12" s="1"/>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P34" i="5" s="1"/>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P22" i="5" s="1"/>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G147" i="2" s="1"/>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N88" i="2" s="1"/>
  <c r="O88" i="2" s="1"/>
  <c r="D88" i="2"/>
  <c r="F88" i="2" s="1"/>
  <c r="Q87" i="2"/>
  <c r="L85" i="2"/>
  <c r="R84" i="2"/>
  <c r="L84" i="2"/>
  <c r="D78" i="2"/>
  <c r="L78" i="2"/>
  <c r="B76" i="2"/>
  <c r="H76" i="2"/>
  <c r="M76" i="2"/>
  <c r="R76" i="2"/>
  <c r="I74" i="2"/>
  <c r="R72" i="2"/>
  <c r="H72" i="2"/>
  <c r="S68" i="2"/>
  <c r="L68" i="2"/>
  <c r="Q64" i="2"/>
  <c r="S59" i="2"/>
  <c r="E56" i="2"/>
  <c r="H56" i="2"/>
  <c r="S56" i="2"/>
  <c r="D48" i="2"/>
  <c r="G48" i="2" s="1"/>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E79" i="3" s="1"/>
  <c r="J74" i="3"/>
  <c r="L62" i="3"/>
  <c r="J61" i="3"/>
  <c r="L60" i="3"/>
  <c r="S36" i="2"/>
  <c r="I36" i="2"/>
  <c r="L33" i="2"/>
  <c r="R32" i="2"/>
  <c r="D32" i="2"/>
  <c r="G32" i="2" s="1"/>
  <c r="S27" i="2"/>
  <c r="M20" i="2"/>
  <c r="I12" i="2"/>
  <c r="N187" i="3"/>
  <c r="I187" i="3"/>
  <c r="K187" i="3" s="1"/>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E53" i="5"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B183" i="7"/>
  <c r="D183" i="7"/>
  <c r="L183" i="7"/>
  <c r="E183" i="7"/>
  <c r="M183" i="7"/>
  <c r="I162" i="7"/>
  <c r="M162" i="7"/>
  <c r="J158" i="7"/>
  <c r="K155" i="7"/>
  <c r="N148" i="7"/>
  <c r="F148" i="7"/>
  <c r="O47" i="3"/>
  <c r="G47" i="3"/>
  <c r="J45" i="3"/>
  <c r="P44" i="3"/>
  <c r="M42" i="3"/>
  <c r="F42" i="3"/>
  <c r="Q37" i="3"/>
  <c r="G37" i="3"/>
  <c r="F34" i="3"/>
  <c r="M34" i="3"/>
  <c r="G31" i="3"/>
  <c r="E31" i="5" s="1"/>
  <c r="F31" i="5" s="1"/>
  <c r="G31" i="5" s="1"/>
  <c r="L31" i="3"/>
  <c r="C28" i="3"/>
  <c r="E28" i="3" s="1"/>
  <c r="I28" i="3"/>
  <c r="N28" i="3"/>
  <c r="Q26" i="3"/>
  <c r="D26" i="3"/>
  <c r="M23" i="3"/>
  <c r="J21" i="3"/>
  <c r="J13" i="3"/>
  <c r="I9" i="3"/>
  <c r="F9" i="3"/>
  <c r="C189" i="7"/>
  <c r="D189" i="7"/>
  <c r="I189" i="7"/>
  <c r="N189" i="7"/>
  <c r="J163" i="7"/>
  <c r="M148" i="7"/>
  <c r="M77" i="3"/>
  <c r="M72" i="3"/>
  <c r="F72" i="3"/>
  <c r="P71" i="3"/>
  <c r="M68" i="3"/>
  <c r="F68" i="3"/>
  <c r="O67" i="3"/>
  <c r="M66" i="3"/>
  <c r="M64" i="3"/>
  <c r="F64" i="3"/>
  <c r="N57" i="3"/>
  <c r="P56" i="3"/>
  <c r="G56" i="3"/>
  <c r="M47" i="3"/>
  <c r="F45" i="3"/>
  <c r="H45" i="3" s="1"/>
  <c r="L44" i="3"/>
  <c r="Q42" i="3"/>
  <c r="L42" i="3"/>
  <c r="L39" i="3"/>
  <c r="G39" i="3"/>
  <c r="O37" i="3"/>
  <c r="I35" i="3"/>
  <c r="G35" i="3"/>
  <c r="E35" i="5" s="1"/>
  <c r="F35" i="5" s="1"/>
  <c r="G35" i="5" s="1"/>
  <c r="C32" i="3"/>
  <c r="I32" i="3"/>
  <c r="N32" i="3"/>
  <c r="Q30" i="3"/>
  <c r="M28" i="3"/>
  <c r="F28" i="3"/>
  <c r="Q27" i="3"/>
  <c r="N26" i="3"/>
  <c r="L23" i="3"/>
  <c r="C21" i="3"/>
  <c r="M18" i="3"/>
  <c r="C16" i="3"/>
  <c r="G16" i="3"/>
  <c r="F13" i="3"/>
  <c r="G11" i="3"/>
  <c r="F10" i="3"/>
  <c r="L10" i="3"/>
  <c r="D167" i="7"/>
  <c r="C163" i="7"/>
  <c r="H163" i="7"/>
  <c r="B155" i="7"/>
  <c r="E155" i="7"/>
  <c r="O155" i="7"/>
  <c r="F155" i="7"/>
  <c r="F37" i="3"/>
  <c r="N37" i="3"/>
  <c r="I26" i="3"/>
  <c r="P26" i="3"/>
  <c r="C8" i="3"/>
  <c r="I8" i="3"/>
  <c r="N163" i="7"/>
  <c r="E158" i="7"/>
  <c r="L158" i="7"/>
  <c r="F158" i="7"/>
  <c r="M158" i="7"/>
  <c r="C148" i="7"/>
  <c r="G148" i="7"/>
  <c r="K148" i="7"/>
  <c r="O148" i="7"/>
  <c r="D148" i="7"/>
  <c r="H148" i="7"/>
  <c r="L148" i="7"/>
  <c r="H144" i="7"/>
  <c r="J134" i="7"/>
  <c r="N132" i="7"/>
  <c r="I132" i="7"/>
  <c r="C132" i="7"/>
  <c r="N114" i="7"/>
  <c r="I107" i="7"/>
  <c r="O68" i="7"/>
  <c r="G67" i="7"/>
  <c r="E67" i="7"/>
  <c r="J54" i="7"/>
  <c r="L45" i="7"/>
  <c r="E35" i="7"/>
  <c r="F35" i="7"/>
  <c r="O35" i="7"/>
  <c r="G35" i="7"/>
  <c r="E30" i="7"/>
  <c r="F30" i="7"/>
  <c r="H30" i="7"/>
  <c r="E25" i="7"/>
  <c r="G25" i="7"/>
  <c r="H25" i="7"/>
  <c r="H22" i="7"/>
  <c r="C14" i="7"/>
  <c r="E14" i="7"/>
  <c r="L14" i="7"/>
  <c r="F14" i="7"/>
  <c r="M14" i="7"/>
  <c r="B7" i="7"/>
  <c r="G7" i="7"/>
  <c r="I7" i="7"/>
  <c r="C179" i="6"/>
  <c r="F179" i="6"/>
  <c r="I179" i="6"/>
  <c r="I173" i="6"/>
  <c r="B172" i="6"/>
  <c r="E172" i="6"/>
  <c r="I172" i="6"/>
  <c r="D171" i="6"/>
  <c r="B171" i="6"/>
  <c r="J171" i="6"/>
  <c r="E171" i="6"/>
  <c r="L171" i="6"/>
  <c r="I149" i="6"/>
  <c r="B148" i="6"/>
  <c r="C148" i="6"/>
  <c r="K148" i="6"/>
  <c r="E148" i="6"/>
  <c r="M148" i="6"/>
  <c r="G148" i="6"/>
  <c r="O148" i="6"/>
  <c r="D144" i="6"/>
  <c r="C144" i="6"/>
  <c r="K144" i="6"/>
  <c r="E144" i="6"/>
  <c r="L144" i="6"/>
  <c r="G144" i="6"/>
  <c r="M144" i="6"/>
  <c r="I180" i="7"/>
  <c r="M144" i="7"/>
  <c r="E144" i="7"/>
  <c r="L136" i="7"/>
  <c r="H136" i="7"/>
  <c r="K135" i="7"/>
  <c r="F134" i="7"/>
  <c r="M132" i="7"/>
  <c r="G132" i="7"/>
  <c r="B132" i="7"/>
  <c r="L114" i="7"/>
  <c r="K112" i="7"/>
  <c r="K111" i="7"/>
  <c r="G107" i="7"/>
  <c r="M105" i="7"/>
  <c r="M97" i="7"/>
  <c r="M94" i="7"/>
  <c r="L92" i="7"/>
  <c r="K88" i="7"/>
  <c r="M72" i="7"/>
  <c r="N68" i="7"/>
  <c r="F68" i="7"/>
  <c r="K41" i="7"/>
  <c r="M35" i="7"/>
  <c r="M30" i="7"/>
  <c r="M25" i="7"/>
  <c r="C18" i="7"/>
  <c r="D18" i="7"/>
  <c r="I18" i="7"/>
  <c r="N18" i="7"/>
  <c r="E18" i="7"/>
  <c r="J18" i="7"/>
  <c r="J14" i="7"/>
  <c r="O7" i="7"/>
  <c r="E189" i="6"/>
  <c r="I189" i="6"/>
  <c r="M190" i="12" s="1"/>
  <c r="M189" i="6"/>
  <c r="C187" i="6"/>
  <c r="D187" i="6"/>
  <c r="I187" i="6"/>
  <c r="M187" i="12" s="1"/>
  <c r="N187" i="6"/>
  <c r="E187" i="6"/>
  <c r="J187" i="6"/>
  <c r="N179" i="6"/>
  <c r="C177" i="6"/>
  <c r="G177" i="6"/>
  <c r="K177" i="6"/>
  <c r="O177" i="6"/>
  <c r="D177" i="6"/>
  <c r="H177" i="6"/>
  <c r="L177" i="6"/>
  <c r="D176" i="6"/>
  <c r="E176" i="6"/>
  <c r="M176" i="6"/>
  <c r="G176" i="6"/>
  <c r="O176" i="6"/>
  <c r="M171" i="6"/>
  <c r="B164" i="6"/>
  <c r="C164" i="6"/>
  <c r="L164" i="5" s="1"/>
  <c r="O164" i="6"/>
  <c r="G164" i="6"/>
  <c r="C157" i="6"/>
  <c r="E157" i="6"/>
  <c r="I157" i="6"/>
  <c r="M157" i="6"/>
  <c r="B151" i="6"/>
  <c r="H151" i="6"/>
  <c r="M151" i="6"/>
  <c r="D151" i="6"/>
  <c r="I151" i="6"/>
  <c r="M151" i="12" s="1"/>
  <c r="N151" i="6"/>
  <c r="E151" i="6"/>
  <c r="J151" i="6"/>
  <c r="C143" i="6"/>
  <c r="L143" i="5" s="1"/>
  <c r="E143" i="6"/>
  <c r="I143" i="6"/>
  <c r="M143" i="6"/>
  <c r="D49" i="7"/>
  <c r="C45" i="7"/>
  <c r="D45" i="7"/>
  <c r="O45" i="7"/>
  <c r="G45" i="7"/>
  <c r="C22" i="7"/>
  <c r="B22" i="7"/>
  <c r="J22" i="7"/>
  <c r="E22" i="7"/>
  <c r="L22" i="7"/>
  <c r="E20" i="7"/>
  <c r="M20" i="7"/>
  <c r="B173" i="6"/>
  <c r="C173" i="6"/>
  <c r="K173" i="6"/>
  <c r="E173" i="6"/>
  <c r="M173" i="6"/>
  <c r="B160" i="6"/>
  <c r="C160" i="6"/>
  <c r="L160" i="5" s="1"/>
  <c r="O160" i="6"/>
  <c r="G160" i="6"/>
  <c r="I160" i="6"/>
  <c r="B149" i="6"/>
  <c r="F149" i="6"/>
  <c r="J149" i="6"/>
  <c r="N149" i="6"/>
  <c r="C149" i="6"/>
  <c r="G149" i="6"/>
  <c r="K149" i="6"/>
  <c r="O149" i="6"/>
  <c r="D149" i="6"/>
  <c r="H149" i="6"/>
  <c r="L149" i="6"/>
  <c r="B58" i="7"/>
  <c r="F58" i="7"/>
  <c r="L58" i="7"/>
  <c r="C57" i="7"/>
  <c r="B54" i="7"/>
  <c r="H54" i="7"/>
  <c r="M54" i="7"/>
  <c r="D54" i="7"/>
  <c r="I54" i="7"/>
  <c r="N54" i="7"/>
  <c r="N52" i="7"/>
  <c r="J52" i="7"/>
  <c r="E41" i="7"/>
  <c r="C41" i="7"/>
  <c r="M41" i="7"/>
  <c r="G41" i="7"/>
  <c r="M22" i="7"/>
  <c r="C31" i="7"/>
  <c r="O13" i="7"/>
  <c r="C13" i="7"/>
  <c r="I186" i="6"/>
  <c r="M186" i="12" s="1"/>
  <c r="M183" i="6"/>
  <c r="H183" i="6"/>
  <c r="B183" i="6"/>
  <c r="N181" i="6"/>
  <c r="J181" i="6"/>
  <c r="F181" i="6"/>
  <c r="K180" i="6"/>
  <c r="N180" i="12" s="1"/>
  <c r="C180" i="6"/>
  <c r="N175" i="6"/>
  <c r="D175" i="6"/>
  <c r="F163" i="6"/>
  <c r="M161" i="6"/>
  <c r="H161" i="6"/>
  <c r="B161" i="6"/>
  <c r="L159" i="6"/>
  <c r="I156" i="6"/>
  <c r="Q156" i="12" s="1"/>
  <c r="I153" i="6"/>
  <c r="N147" i="6"/>
  <c r="D147" i="6"/>
  <c r="K142" i="6"/>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O99" i="6"/>
  <c r="I99" i="6"/>
  <c r="D99" i="6"/>
  <c r="F97" i="6"/>
  <c r="G95" i="6"/>
  <c r="J93" i="6"/>
  <c r="E93" i="6"/>
  <c r="O92" i="6"/>
  <c r="L91" i="6"/>
  <c r="L89" i="6"/>
  <c r="K88" i="6"/>
  <c r="L85" i="6"/>
  <c r="E85" i="6"/>
  <c r="K84" i="6"/>
  <c r="R84" i="12" s="1"/>
  <c r="H81" i="6"/>
  <c r="E80" i="6"/>
  <c r="I80" i="6"/>
  <c r="M80" i="12" s="1"/>
  <c r="L77" i="6"/>
  <c r="O77" i="12" s="1"/>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L116" i="6"/>
  <c r="F115" i="6"/>
  <c r="G107" i="6"/>
  <c r="H105" i="6"/>
  <c r="M99" i="6"/>
  <c r="H99" i="6"/>
  <c r="L99" i="12" s="1"/>
  <c r="M97" i="6"/>
  <c r="B97" i="6"/>
  <c r="O95" i="6"/>
  <c r="D95" i="6"/>
  <c r="N93" i="6"/>
  <c r="I93" i="6"/>
  <c r="M93" i="12" s="1"/>
  <c r="D93" i="6"/>
  <c r="K92" i="6"/>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L92" i="5" s="1"/>
  <c r="E89" i="6"/>
  <c r="B85" i="6"/>
  <c r="H85" i="6"/>
  <c r="M85" i="6"/>
  <c r="G84" i="6"/>
  <c r="I84" i="6"/>
  <c r="Q84" i="12" s="1"/>
  <c r="M81" i="6"/>
  <c r="B77" i="6"/>
  <c r="H77" i="6"/>
  <c r="M77" i="6"/>
  <c r="G76" i="6"/>
  <c r="I76" i="6"/>
  <c r="O67" i="6"/>
  <c r="D64" i="6"/>
  <c r="G64" i="6"/>
  <c r="K62" i="6"/>
  <c r="N55" i="6"/>
  <c r="E46" i="6"/>
  <c r="C46" i="6"/>
  <c r="L46" i="5" s="1"/>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L55" i="5" s="1"/>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P119" i="5" s="1"/>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C36" i="5"/>
  <c r="K34" i="5"/>
  <c r="N33" i="5"/>
  <c r="O32" i="5"/>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P159" i="5" s="1"/>
  <c r="N155" i="5"/>
  <c r="I150" i="5"/>
  <c r="N143" i="5"/>
  <c r="O137" i="5"/>
  <c r="P137" i="5" s="1"/>
  <c r="C135" i="5"/>
  <c r="I134" i="5"/>
  <c r="N127" i="5"/>
  <c r="O121" i="5"/>
  <c r="C119" i="5"/>
  <c r="I118" i="5"/>
  <c r="N111" i="5"/>
  <c r="P111" i="5" s="1"/>
  <c r="N108" i="5"/>
  <c r="N107" i="5"/>
  <c r="N104" i="5"/>
  <c r="N103" i="5"/>
  <c r="N100" i="5"/>
  <c r="N99" i="5"/>
  <c r="N96" i="5"/>
  <c r="N95" i="5"/>
  <c r="N92" i="5"/>
  <c r="N91" i="5"/>
  <c r="N88" i="5"/>
  <c r="N87" i="5"/>
  <c r="P87" i="5" s="1"/>
  <c r="N84" i="5"/>
  <c r="N83" i="5"/>
  <c r="P83" i="5" s="1"/>
  <c r="N80" i="5"/>
  <c r="N79" i="5"/>
  <c r="N76" i="5"/>
  <c r="N75" i="5"/>
  <c r="N72" i="5"/>
  <c r="N71" i="5"/>
  <c r="N68" i="5"/>
  <c r="N67" i="5"/>
  <c r="P67" i="5" s="1"/>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G189"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E150" i="5" s="1"/>
  <c r="O150" i="3"/>
  <c r="B139" i="3"/>
  <c r="G139" i="3"/>
  <c r="M139" i="3"/>
  <c r="Q139" i="3"/>
  <c r="B138" i="3"/>
  <c r="G138" i="3"/>
  <c r="E138" i="5" s="1"/>
  <c r="O138" i="3"/>
  <c r="F136" i="3"/>
  <c r="Q136"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J60" i="2" s="1"/>
  <c r="K60" i="2" s="1"/>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F52" i="2" s="1"/>
  <c r="C51" i="2"/>
  <c r="I51" i="2"/>
  <c r="D44" i="2"/>
  <c r="F44" i="2" s="1"/>
  <c r="P44" i="2"/>
  <c r="I42" i="2"/>
  <c r="P40" i="2"/>
  <c r="E40" i="2"/>
  <c r="C32" i="2"/>
  <c r="H32" i="2"/>
  <c r="J32" i="2" s="1"/>
  <c r="K32" i="2" s="1"/>
  <c r="P32" i="2"/>
  <c r="S24" i="2"/>
  <c r="L24" i="2"/>
  <c r="C24" i="2"/>
  <c r="Q13" i="2"/>
  <c r="S12" i="2"/>
  <c r="L12" i="2"/>
  <c r="E12" i="2"/>
  <c r="G12" i="2" s="1"/>
  <c r="Q186" i="3"/>
  <c r="I186" i="3"/>
  <c r="Q185" i="3"/>
  <c r="J184" i="3"/>
  <c r="L181" i="3"/>
  <c r="C179" i="3"/>
  <c r="I179" i="3"/>
  <c r="N179" i="3"/>
  <c r="J176" i="3"/>
  <c r="L173" i="3"/>
  <c r="Q170" i="3"/>
  <c r="I170" i="3"/>
  <c r="Q169" i="3"/>
  <c r="J168" i="3"/>
  <c r="K168" i="3" s="1"/>
  <c r="Q167" i="3"/>
  <c r="L167" i="3"/>
  <c r="C167" i="3"/>
  <c r="M160" i="3"/>
  <c r="B160" i="3"/>
  <c r="N160" i="3"/>
  <c r="M159" i="3"/>
  <c r="F159" i="3"/>
  <c r="H159" i="3" s="1"/>
  <c r="P158" i="3"/>
  <c r="G158" i="3"/>
  <c r="C155" i="3"/>
  <c r="E155" i="3" s="1"/>
  <c r="I155" i="3"/>
  <c r="K155" i="3" s="1"/>
  <c r="N155" i="3"/>
  <c r="L151" i="3"/>
  <c r="D151" i="3"/>
  <c r="P150" i="3"/>
  <c r="D150" i="3"/>
  <c r="M149" i="3"/>
  <c r="D147" i="3"/>
  <c r="E147" i="3" s="1"/>
  <c r="J147" i="3"/>
  <c r="K147" i="3" s="1"/>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E95" i="5" s="1"/>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E60" i="3" s="1"/>
  <c r="Q59" i="3"/>
  <c r="Q58" i="3"/>
  <c r="L58" i="3"/>
  <c r="D58" i="3"/>
  <c r="N56" i="3"/>
  <c r="I56" i="3"/>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D24" i="3"/>
  <c r="J24" i="3"/>
  <c r="O24" i="3"/>
  <c r="B22" i="3"/>
  <c r="L22" i="3"/>
  <c r="B21" i="3"/>
  <c r="I21" i="3"/>
  <c r="K21" i="3" s="1"/>
  <c r="O21" i="3"/>
  <c r="M20" i="3"/>
  <c r="F20" i="3"/>
  <c r="H20" i="3" s="1"/>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K64" i="3" s="1"/>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H24" i="3" s="1"/>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K20" i="3" s="1"/>
  <c r="O20" i="3"/>
  <c r="L18" i="3"/>
  <c r="D16" i="3"/>
  <c r="J16" i="3"/>
  <c r="O16" i="3"/>
  <c r="I15" i="3"/>
  <c r="C11" i="3"/>
  <c r="L11" i="3"/>
  <c r="B10" i="3"/>
  <c r="J10" i="3"/>
  <c r="P10" i="3"/>
  <c r="N8" i="3"/>
  <c r="F8" i="3"/>
  <c r="I184" i="7"/>
  <c r="I179" i="7"/>
  <c r="F173" i="7"/>
  <c r="O183" i="7"/>
  <c r="K183" i="7"/>
  <c r="G183" i="7"/>
  <c r="C183" i="7"/>
  <c r="I177" i="7"/>
  <c r="O171" i="7"/>
  <c r="K171" i="7"/>
  <c r="G171" i="7"/>
  <c r="C171" i="7"/>
  <c r="M164" i="7"/>
  <c r="I157" i="7"/>
  <c r="N155" i="7"/>
  <c r="I155" i="7"/>
  <c r="C155" i="7"/>
  <c r="F151" i="7"/>
  <c r="K145" i="7"/>
  <c r="E145" i="7"/>
  <c r="O144" i="7"/>
  <c r="K144" i="7"/>
  <c r="G144" i="7"/>
  <c r="C144" i="7"/>
  <c r="I135" i="7"/>
  <c r="N134" i="7"/>
  <c r="I134" i="7"/>
  <c r="D134" i="7"/>
  <c r="B119" i="7"/>
  <c r="I119" i="7"/>
  <c r="D118" i="7"/>
  <c r="N118" i="7"/>
  <c r="K113" i="7"/>
  <c r="B112" i="7"/>
  <c r="F112" i="7"/>
  <c r="J112" i="7"/>
  <c r="N112" i="7"/>
  <c r="K107" i="7"/>
  <c r="K105" i="7"/>
  <c r="N103" i="7"/>
  <c r="G92" i="7"/>
  <c r="F88" i="7"/>
  <c r="K83" i="7"/>
  <c r="N183" i="7"/>
  <c r="J183" i="7"/>
  <c r="F183" i="7"/>
  <c r="O180" i="7"/>
  <c r="G180" i="7"/>
  <c r="N171" i="7"/>
  <c r="J171" i="7"/>
  <c r="F171" i="7"/>
  <c r="H167" i="7"/>
  <c r="M166" i="7"/>
  <c r="K164" i="7"/>
  <c r="G157" i="7"/>
  <c r="M155" i="7"/>
  <c r="G155" i="7"/>
  <c r="L152" i="7"/>
  <c r="H152" i="7"/>
  <c r="N151" i="7"/>
  <c r="C151" i="7"/>
  <c r="O145" i="7"/>
  <c r="I145" i="7"/>
  <c r="D145" i="7"/>
  <c r="N144" i="7"/>
  <c r="J144" i="7"/>
  <c r="F144" i="7"/>
  <c r="F135" i="7"/>
  <c r="M134" i="7"/>
  <c r="H134" i="7"/>
  <c r="L132" i="7"/>
  <c r="H132" i="7"/>
  <c r="K119" i="7"/>
  <c r="B114" i="7"/>
  <c r="I114" i="7"/>
  <c r="D113" i="7"/>
  <c r="I113" i="7"/>
  <c r="O113" i="7"/>
  <c r="E107" i="7"/>
  <c r="J107" i="7"/>
  <c r="O107" i="7"/>
  <c r="F107" i="7"/>
  <c r="M107" i="7"/>
  <c r="G105" i="7"/>
  <c r="F103" i="7"/>
  <c r="M92" i="7"/>
  <c r="M88" i="7"/>
  <c r="D82" i="7"/>
  <c r="E166" i="7"/>
  <c r="O157" i="7"/>
  <c r="D157" i="7"/>
  <c r="M145" i="7"/>
  <c r="H145" i="7"/>
  <c r="N135" i="7"/>
  <c r="C135" i="7"/>
  <c r="N130" i="7"/>
  <c r="G117" i="7"/>
  <c r="C101" i="7"/>
  <c r="G101" i="7"/>
  <c r="L101" i="7"/>
  <c r="B92" i="7"/>
  <c r="F92" i="7"/>
  <c r="J92" i="7"/>
  <c r="N92" i="7"/>
  <c r="D92" i="7"/>
  <c r="I92" i="7"/>
  <c r="O92" i="7"/>
  <c r="E92" i="7"/>
  <c r="K92" i="7"/>
  <c r="D88" i="7"/>
  <c r="H88" i="7"/>
  <c r="L88" i="7"/>
  <c r="C88" i="7"/>
  <c r="I88" i="7"/>
  <c r="N88" i="7"/>
  <c r="E88" i="7"/>
  <c r="J88" i="7"/>
  <c r="O88" i="7"/>
  <c r="E105" i="7"/>
  <c r="L105" i="7"/>
  <c r="H105" i="7"/>
  <c r="B103" i="7"/>
  <c r="I103" i="7"/>
  <c r="K103" i="7"/>
  <c r="H92" i="7"/>
  <c r="G88" i="7"/>
  <c r="F83" i="7"/>
  <c r="M83" i="7"/>
  <c r="E83" i="7"/>
  <c r="O83" i="7"/>
  <c r="G83" i="7"/>
  <c r="L80" i="7"/>
  <c r="E80" i="7"/>
  <c r="O80" i="7"/>
  <c r="B96" i="7"/>
  <c r="F96" i="7"/>
  <c r="J96" i="7"/>
  <c r="N96" i="7"/>
  <c r="C93" i="7"/>
  <c r="G93" i="7"/>
  <c r="M91"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I98" i="7"/>
  <c r="D97" i="7"/>
  <c r="K96" i="7"/>
  <c r="E96" i="7"/>
  <c r="L93" i="7"/>
  <c r="F91" i="7"/>
  <c r="E73" i="7"/>
  <c r="K72" i="7"/>
  <c r="E72" i="7"/>
  <c r="B71" i="7"/>
  <c r="I71" i="7"/>
  <c r="K64"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89" i="6"/>
  <c r="O190" i="12" s="1"/>
  <c r="B189" i="6"/>
  <c r="F189" i="6"/>
  <c r="J189" i="6"/>
  <c r="N189" i="6"/>
  <c r="D64" i="7"/>
  <c r="H64" i="7"/>
  <c r="L64" i="7"/>
  <c r="B64" i="7"/>
  <c r="F64" i="7"/>
  <c r="J64" i="7"/>
  <c r="N64" i="7"/>
  <c r="B60" i="7"/>
  <c r="K24" i="7"/>
  <c r="D24" i="7"/>
  <c r="C19" i="7"/>
  <c r="I19" i="7"/>
  <c r="M19" i="7"/>
  <c r="E19" i="7"/>
  <c r="D184" i="6"/>
  <c r="E184" i="6"/>
  <c r="M184" i="6"/>
  <c r="G184" i="6"/>
  <c r="O184" i="6"/>
  <c r="C184" i="6"/>
  <c r="K184" i="6"/>
  <c r="B74" i="7"/>
  <c r="L74" i="7"/>
  <c r="G69" i="7"/>
  <c r="F67" i="7"/>
  <c r="M67" i="7"/>
  <c r="B67" i="7"/>
  <c r="J67" i="7"/>
  <c r="O64" i="7"/>
  <c r="G64" i="7"/>
  <c r="C53" i="7"/>
  <c r="G53" i="7"/>
  <c r="J51" i="7"/>
  <c r="M51" i="7"/>
  <c r="G11" i="7"/>
  <c r="D188" i="6"/>
  <c r="E188" i="6"/>
  <c r="M188" i="6"/>
  <c r="G188" i="6"/>
  <c r="O188" i="6"/>
  <c r="C188" i="6"/>
  <c r="K188" i="6"/>
  <c r="I65" i="7"/>
  <c r="L46" i="7"/>
  <c r="L42" i="7"/>
  <c r="L41" i="7"/>
  <c r="K35" i="7"/>
  <c r="F31" i="7"/>
  <c r="L30" i="7"/>
  <c r="L25" i="7"/>
  <c r="N22" i="7"/>
  <c r="I22" i="7"/>
  <c r="D22" i="7"/>
  <c r="M21" i="7"/>
  <c r="N14" i="7"/>
  <c r="I14" i="7"/>
  <c r="D14" i="7"/>
  <c r="M13" i="7"/>
  <c r="K8" i="7"/>
  <c r="M7" i="7"/>
  <c r="E7" i="7"/>
  <c r="J179" i="6"/>
  <c r="E179" i="6"/>
  <c r="I178" i="6"/>
  <c r="M178" i="12" s="1"/>
  <c r="J175" i="6"/>
  <c r="E175" i="6"/>
  <c r="L173" i="6"/>
  <c r="H173" i="6"/>
  <c r="D173" i="6"/>
  <c r="O172" i="6"/>
  <c r="G172" i="6"/>
  <c r="N171" i="6"/>
  <c r="I171" i="6"/>
  <c r="Q171" i="12" s="1"/>
  <c r="L169" i="6"/>
  <c r="H169" i="6"/>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C156" i="6"/>
  <c r="L156" i="5" s="1"/>
  <c r="N153" i="6"/>
  <c r="J153" i="6"/>
  <c r="F153" i="6"/>
  <c r="B153" i="6"/>
  <c r="K152" i="6"/>
  <c r="C152" i="6"/>
  <c r="L152" i="5" s="1"/>
  <c r="J147" i="6"/>
  <c r="E147" i="6"/>
  <c r="I146" i="6"/>
  <c r="O144" i="6"/>
  <c r="I144" i="6"/>
  <c r="N143" i="6"/>
  <c r="J143" i="6"/>
  <c r="F143" i="6"/>
  <c r="B143" i="6"/>
  <c r="I142" i="6"/>
  <c r="M141" i="6"/>
  <c r="F141" i="6"/>
  <c r="L139" i="6"/>
  <c r="H139" i="6"/>
  <c r="D139" i="6"/>
  <c r="O138" i="6"/>
  <c r="J138" i="6"/>
  <c r="E138" i="6"/>
  <c r="N137" i="6"/>
  <c r="D137" i="6"/>
  <c r="K136" i="6"/>
  <c r="C136" i="6"/>
  <c r="M133" i="6"/>
  <c r="H133" i="6"/>
  <c r="B133" i="6"/>
  <c r="I132" i="6"/>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L110" i="5" s="1"/>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L67" i="6"/>
  <c r="O67" i="12" s="1"/>
  <c r="B67" i="6"/>
  <c r="F67" i="6"/>
  <c r="J67" i="6"/>
  <c r="N67" i="6"/>
  <c r="O63" i="6"/>
  <c r="G63" i="6"/>
  <c r="N62" i="6"/>
  <c r="D61" i="6"/>
  <c r="N61" i="6"/>
  <c r="I61" i="6"/>
  <c r="Q61" i="12" s="1"/>
  <c r="C60" i="6"/>
  <c r="K60" i="6"/>
  <c r="S60" i="12" s="1"/>
  <c r="G60" i="6"/>
  <c r="M60" i="6"/>
  <c r="I57" i="6"/>
  <c r="M57" i="12" s="1"/>
  <c r="O54" i="6"/>
  <c r="B127" i="6"/>
  <c r="F127" i="6"/>
  <c r="J127" i="6"/>
  <c r="N127" i="6"/>
  <c r="D123" i="6"/>
  <c r="H123" i="6"/>
  <c r="L123" i="6"/>
  <c r="B117" i="6"/>
  <c r="H117" i="6"/>
  <c r="M117" i="6"/>
  <c r="C115" i="6"/>
  <c r="G115" i="6"/>
  <c r="K115" i="6"/>
  <c r="O115" i="6"/>
  <c r="D105" i="6"/>
  <c r="I105" i="6"/>
  <c r="M105" i="12" s="1"/>
  <c r="N105" i="6"/>
  <c r="C102" i="6"/>
  <c r="L102" i="5" s="1"/>
  <c r="E102" i="6"/>
  <c r="B91" i="6"/>
  <c r="F91" i="6"/>
  <c r="J91" i="6"/>
  <c r="N91" i="6"/>
  <c r="E88" i="6"/>
  <c r="M88" i="6"/>
  <c r="D79" i="6"/>
  <c r="H79" i="6"/>
  <c r="L79" i="6"/>
  <c r="B79" i="6"/>
  <c r="F79" i="6"/>
  <c r="J79" i="6"/>
  <c r="N79" i="6"/>
  <c r="B65" i="6"/>
  <c r="J65" i="6"/>
  <c r="F65" i="6"/>
  <c r="M65" i="6"/>
  <c r="E62" i="6"/>
  <c r="J62" i="6"/>
  <c r="O62" i="6"/>
  <c r="B62" i="6"/>
  <c r="G62" i="6"/>
  <c r="M62" i="6"/>
  <c r="D53" i="6"/>
  <c r="N53" i="6"/>
  <c r="L53" i="6"/>
  <c r="O53" i="12" s="1"/>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D115" i="6"/>
  <c r="B107" i="6"/>
  <c r="F107" i="6"/>
  <c r="J107" i="6"/>
  <c r="N107" i="6"/>
  <c r="L105" i="6"/>
  <c r="E105" i="6"/>
  <c r="E104" i="6"/>
  <c r="M104" i="6"/>
  <c r="M102" i="6"/>
  <c r="I100" i="6"/>
  <c r="M100" i="12" s="1"/>
  <c r="B95" i="6"/>
  <c r="F95" i="6"/>
  <c r="J95" i="6"/>
  <c r="N95" i="6"/>
  <c r="O91" i="6"/>
  <c r="I91" i="6"/>
  <c r="M91" i="12" s="1"/>
  <c r="D91" i="6"/>
  <c r="D89" i="6"/>
  <c r="I89" i="6"/>
  <c r="Q89" i="12" s="1"/>
  <c r="N89" i="6"/>
  <c r="G88" i="6"/>
  <c r="M79" i="6"/>
  <c r="E79" i="6"/>
  <c r="C78" i="6"/>
  <c r="M78" i="6"/>
  <c r="E78" i="6"/>
  <c r="D75" i="6"/>
  <c r="H75" i="6"/>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P55" i="12" s="1"/>
  <c r="D55" i="6"/>
  <c r="D51" i="6"/>
  <c r="H51" i="6"/>
  <c r="P51" i="12" s="1"/>
  <c r="L51" i="6"/>
  <c r="O51" i="12" s="1"/>
  <c r="C50" i="6"/>
  <c r="L50" i="5" s="1"/>
  <c r="N50" i="6"/>
  <c r="L48" i="6"/>
  <c r="M47" i="6"/>
  <c r="H47" i="6"/>
  <c r="K46" i="6"/>
  <c r="S46" i="12" s="1"/>
  <c r="M43" i="6"/>
  <c r="G43" i="6"/>
  <c r="M39" i="6"/>
  <c r="H39" i="6"/>
  <c r="L39" i="12" s="1"/>
  <c r="E38" i="6"/>
  <c r="K38" i="6"/>
  <c r="M35" i="6"/>
  <c r="D31" i="6"/>
  <c r="H31" i="6"/>
  <c r="L31" i="6"/>
  <c r="O31" i="12" s="1"/>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S39" i="12" s="1"/>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M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O33" i="12" s="1"/>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H92" i="3"/>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P163" i="5"/>
  <c r="K146" i="5"/>
  <c r="K142" i="5"/>
  <c r="P139" i="5"/>
  <c r="K138" i="5"/>
  <c r="K134" i="5"/>
  <c r="K130" i="5"/>
  <c r="K126" i="5"/>
  <c r="K122" i="5"/>
  <c r="K118" i="5"/>
  <c r="K114" i="5"/>
  <c r="K110" i="5"/>
  <c r="O108" i="5"/>
  <c r="C108" i="5"/>
  <c r="P107" i="5"/>
  <c r="K106" i="5"/>
  <c r="O104" i="5"/>
  <c r="C104" i="5"/>
  <c r="K102" i="5"/>
  <c r="O100" i="5"/>
  <c r="C100" i="5"/>
  <c r="K98" i="5"/>
  <c r="O96" i="5"/>
  <c r="C96" i="5"/>
  <c r="K94" i="5"/>
  <c r="O92" i="5"/>
  <c r="C92" i="5"/>
  <c r="K90" i="5"/>
  <c r="O88" i="5"/>
  <c r="C88" i="5"/>
  <c r="K86" i="5"/>
  <c r="O84" i="5"/>
  <c r="C84" i="5"/>
  <c r="K82" i="5"/>
  <c r="O80" i="5"/>
  <c r="C80" i="5"/>
  <c r="K78" i="5"/>
  <c r="O76" i="5"/>
  <c r="C76" i="5"/>
  <c r="K74" i="5"/>
  <c r="O72" i="5"/>
  <c r="P72" i="5" s="1"/>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H36" i="3"/>
  <c r="P149" i="5"/>
  <c r="O146" i="5"/>
  <c r="O142" i="5"/>
  <c r="O138" i="5"/>
  <c r="O134" i="5"/>
  <c r="P134" i="5" s="1"/>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K72" i="5"/>
  <c r="O70" i="5"/>
  <c r="K68" i="5"/>
  <c r="O66" i="5"/>
  <c r="K64" i="5"/>
  <c r="O49" i="5"/>
  <c r="P49" i="5" s="1"/>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12"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N50" i="2" s="1"/>
  <c r="O50" i="2" s="1"/>
  <c r="R50" i="2"/>
  <c r="E50" i="2"/>
  <c r="P50" i="2"/>
  <c r="S47" i="2"/>
  <c r="Q46"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J180" i="2" s="1"/>
  <c r="K180" i="2" s="1"/>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H3" i="21" s="1"/>
  <c r="S153" i="2"/>
  <c r="B153" i="2"/>
  <c r="H153" i="2"/>
  <c r="B3" i="21" s="1"/>
  <c r="M153" i="2"/>
  <c r="R153" i="2"/>
  <c r="E153" i="2"/>
  <c r="J3" i="21" s="1"/>
  <c r="P153" i="2"/>
  <c r="C145" i="2"/>
  <c r="F145" i="2" s="1"/>
  <c r="S145" i="2"/>
  <c r="B145" i="2"/>
  <c r="H145" i="2"/>
  <c r="M145" i="2"/>
  <c r="N145" i="2" s="1"/>
  <c r="O145" i="2" s="1"/>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J67" i="2" s="1"/>
  <c r="K67" i="2" s="1"/>
  <c r="L67" i="2"/>
  <c r="P67" i="2"/>
  <c r="E67" i="2"/>
  <c r="B67" i="2"/>
  <c r="M67" i="2"/>
  <c r="R67" i="2"/>
  <c r="B61" i="2"/>
  <c r="R61" i="2"/>
  <c r="C61" i="2"/>
  <c r="H61" i="2"/>
  <c r="J61" i="2" s="1"/>
  <c r="K61" i="2" s="1"/>
  <c r="M61" i="2"/>
  <c r="S61" i="2"/>
  <c r="E61" i="2"/>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S142" i="2"/>
  <c r="E142" i="2"/>
  <c r="P142" i="2"/>
  <c r="B142" i="2"/>
  <c r="H142" i="2"/>
  <c r="M142" i="2"/>
  <c r="N142" i="2" s="1"/>
  <c r="O142" i="2" s="1"/>
  <c r="R142" i="2"/>
  <c r="C134" i="2"/>
  <c r="S134" i="2"/>
  <c r="E134" i="2"/>
  <c r="P134" i="2"/>
  <c r="B134" i="2"/>
  <c r="H134" i="2"/>
  <c r="M134" i="2"/>
  <c r="N134" i="2" s="1"/>
  <c r="O134" i="2" s="1"/>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N94" i="2" s="1"/>
  <c r="O94" i="2" s="1"/>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F46" i="2" s="1"/>
  <c r="S46" i="2"/>
  <c r="E46" i="2"/>
  <c r="G46" i="2" s="1"/>
  <c r="P46" i="2"/>
  <c r="B46" i="2"/>
  <c r="H46" i="2"/>
  <c r="M46" i="2"/>
  <c r="N46" i="2" s="1"/>
  <c r="O46" i="2" s="1"/>
  <c r="R46" i="2"/>
  <c r="C38" i="2"/>
  <c r="S38" i="2"/>
  <c r="E38" i="2"/>
  <c r="P38" i="2"/>
  <c r="B38" i="2"/>
  <c r="H38" i="2"/>
  <c r="M38" i="2"/>
  <c r="R38" i="2"/>
  <c r="C30" i="2"/>
  <c r="S30" i="2"/>
  <c r="E30" i="2"/>
  <c r="P30" i="2"/>
  <c r="B30" i="2"/>
  <c r="H30" i="2"/>
  <c r="M30" i="2"/>
  <c r="N30" i="2" s="1"/>
  <c r="O30" i="2" s="1"/>
  <c r="R30" i="2"/>
  <c r="C14" i="2"/>
  <c r="S14" i="2"/>
  <c r="D14" i="2"/>
  <c r="I14" i="2"/>
  <c r="E14" i="2"/>
  <c r="P14" i="2"/>
  <c r="B14" i="2"/>
  <c r="H14" i="2"/>
  <c r="M14" i="2"/>
  <c r="N14" i="2" s="1"/>
  <c r="O14" i="2" s="1"/>
  <c r="R14" i="2"/>
  <c r="I170" i="2"/>
  <c r="Q192" i="2"/>
  <c r="I192" i="2"/>
  <c r="D190" i="2"/>
  <c r="H190" i="2"/>
  <c r="J190" i="2" s="1"/>
  <c r="K190" i="2" s="1"/>
  <c r="L190" i="2"/>
  <c r="N190" i="2" s="1"/>
  <c r="O190" i="2" s="1"/>
  <c r="P190" i="2"/>
  <c r="B190" i="2"/>
  <c r="R190" i="2"/>
  <c r="M188" i="2"/>
  <c r="E188" i="2"/>
  <c r="M186" i="2"/>
  <c r="E186" i="2"/>
  <c r="B184" i="2"/>
  <c r="R184" i="2"/>
  <c r="D184" i="2"/>
  <c r="H184" i="2"/>
  <c r="L184" i="2"/>
  <c r="N184" i="2" s="1"/>
  <c r="O184" i="2" s="1"/>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D3" i="21" s="1"/>
  <c r="B149" i="2"/>
  <c r="H149" i="2"/>
  <c r="J149" i="2" s="1"/>
  <c r="K149" i="2" s="1"/>
  <c r="M149" i="2"/>
  <c r="R149" i="2"/>
  <c r="E3" i="21" s="1"/>
  <c r="I148" i="2"/>
  <c r="S146" i="2"/>
  <c r="I146" i="2"/>
  <c r="Q145" i="2"/>
  <c r="D143" i="2"/>
  <c r="H143" i="2"/>
  <c r="J143" i="2" s="1"/>
  <c r="M143" i="2"/>
  <c r="N143" i="2" s="1"/>
  <c r="O143" i="2" s="1"/>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M113" i="2"/>
  <c r="N113" i="2" s="1"/>
  <c r="O113" i="2" s="1"/>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N89" i="2" s="1"/>
  <c r="O89" i="2" s="1"/>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N33" i="2" s="1"/>
  <c r="O33" i="2" s="1"/>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K184"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O168" i="3"/>
  <c r="C165" i="3"/>
  <c r="E165" i="3" s="1"/>
  <c r="G165" i="3"/>
  <c r="O165" i="3"/>
  <c r="B165" i="3"/>
  <c r="F165" i="3"/>
  <c r="J165" i="3"/>
  <c r="K165" i="3" s="1"/>
  <c r="N165" i="3"/>
  <c r="J164" i="3"/>
  <c r="L161" i="3"/>
  <c r="N156" i="3"/>
  <c r="F156" i="3"/>
  <c r="P153" i="3"/>
  <c r="D152" i="3"/>
  <c r="L152" i="3"/>
  <c r="P152" i="3"/>
  <c r="C152" i="3"/>
  <c r="G152" i="3"/>
  <c r="O152" i="3"/>
  <c r="C149" i="3"/>
  <c r="E149" i="3" s="1"/>
  <c r="G149" i="3"/>
  <c r="E149" i="5" s="1"/>
  <c r="O149" i="3"/>
  <c r="B149" i="3"/>
  <c r="F149" i="3"/>
  <c r="J149" i="3"/>
  <c r="N149" i="3"/>
  <c r="J148" i="3"/>
  <c r="L145" i="3"/>
  <c r="N140" i="3"/>
  <c r="F140" i="3"/>
  <c r="P137" i="3"/>
  <c r="D136" i="3"/>
  <c r="L136" i="3"/>
  <c r="P136" i="3"/>
  <c r="C136" i="3"/>
  <c r="G136" i="3"/>
  <c r="O136" i="3"/>
  <c r="C133" i="3"/>
  <c r="G133" i="3"/>
  <c r="E133" i="5" s="1"/>
  <c r="O133" i="3"/>
  <c r="B133" i="3"/>
  <c r="F133" i="3"/>
  <c r="J133" i="3"/>
  <c r="K133" i="3" s="1"/>
  <c r="N133" i="3"/>
  <c r="J132" i="3"/>
  <c r="K132" i="3" s="1"/>
  <c r="D124" i="3"/>
  <c r="L124" i="3"/>
  <c r="P124" i="3"/>
  <c r="B124" i="3"/>
  <c r="F124" i="3"/>
  <c r="J124" i="3"/>
  <c r="N124" i="3"/>
  <c r="C124" i="3"/>
  <c r="G124" i="3"/>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E145" i="5" s="1"/>
  <c r="O145" i="3"/>
  <c r="B145" i="3"/>
  <c r="F145" i="3"/>
  <c r="J145" i="3"/>
  <c r="K145" i="3" s="1"/>
  <c r="N145" i="3"/>
  <c r="D132" i="3"/>
  <c r="L132" i="3"/>
  <c r="P132" i="3"/>
  <c r="C132" i="3"/>
  <c r="G132" i="3"/>
  <c r="E132" i="5" s="1"/>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R18" i="2"/>
  <c r="M18" i="2"/>
  <c r="H18" i="2"/>
  <c r="J18" i="2" s="1"/>
  <c r="K18" i="2" s="1"/>
  <c r="R15" i="2"/>
  <c r="M15" i="2"/>
  <c r="S13" i="2"/>
  <c r="M13" i="2"/>
  <c r="N13" i="2" s="1"/>
  <c r="O13" i="2" s="1"/>
  <c r="H13" i="2"/>
  <c r="J13" i="2" s="1"/>
  <c r="K13" i="2" s="1"/>
  <c r="I6" i="3"/>
  <c r="L6" i="3"/>
  <c r="F6" i="3"/>
  <c r="D188" i="3"/>
  <c r="L188" i="3"/>
  <c r="P188" i="3"/>
  <c r="L185" i="3"/>
  <c r="M184" i="3"/>
  <c r="N180" i="3"/>
  <c r="F180" i="3"/>
  <c r="P177" i="3"/>
  <c r="D176" i="3"/>
  <c r="L176" i="3"/>
  <c r="P176" i="3"/>
  <c r="C176" i="3"/>
  <c r="G176" i="3"/>
  <c r="O176" i="3"/>
  <c r="C173" i="3"/>
  <c r="G173" i="3"/>
  <c r="O173" i="3"/>
  <c r="B173" i="3"/>
  <c r="F173" i="3"/>
  <c r="J173" i="3"/>
  <c r="N173" i="3"/>
  <c r="J172" i="3"/>
  <c r="H171" i="3"/>
  <c r="L169" i="3"/>
  <c r="M168" i="3"/>
  <c r="N164" i="3"/>
  <c r="F164" i="3"/>
  <c r="P161" i="3"/>
  <c r="D160" i="3"/>
  <c r="L160" i="3"/>
  <c r="P160" i="3"/>
  <c r="C160" i="3"/>
  <c r="G160" i="3"/>
  <c r="O160" i="3"/>
  <c r="C157" i="3"/>
  <c r="E157" i="3" s="1"/>
  <c r="G157" i="3"/>
  <c r="E157" i="5" s="1"/>
  <c r="O157" i="3"/>
  <c r="B157" i="3"/>
  <c r="F157" i="3"/>
  <c r="J157" i="3"/>
  <c r="K157" i="3" s="1"/>
  <c r="N157" i="3"/>
  <c r="J156" i="3"/>
  <c r="K156" i="3" s="1"/>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H110" i="3" s="1"/>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O78" i="3"/>
  <c r="O75" i="3"/>
  <c r="I75" i="3"/>
  <c r="D75" i="3"/>
  <c r="D73" i="3"/>
  <c r="E73" i="3" s="1"/>
  <c r="L73" i="3"/>
  <c r="P73" i="3"/>
  <c r="N70" i="3"/>
  <c r="I70" i="3"/>
  <c r="D70" i="3"/>
  <c r="B67" i="3"/>
  <c r="F67" i="3"/>
  <c r="H67" i="3" s="1"/>
  <c r="J67" i="3"/>
  <c r="N67" i="3"/>
  <c r="N65" i="3"/>
  <c r="I65" i="3"/>
  <c r="C65" i="3"/>
  <c r="C62" i="3"/>
  <c r="G62" i="3"/>
  <c r="O62" i="3"/>
  <c r="O59" i="3"/>
  <c r="I59" i="3"/>
  <c r="D59" i="3"/>
  <c r="E59" i="3" s="1"/>
  <c r="D57" i="3"/>
  <c r="E57" i="3" s="1"/>
  <c r="L57" i="3"/>
  <c r="P57" i="3"/>
  <c r="N54" i="3"/>
  <c r="I54" i="3"/>
  <c r="D54" i="3"/>
  <c r="B51" i="3"/>
  <c r="F51" i="3"/>
  <c r="H51" i="3" s="1"/>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E30" i="3" s="1"/>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L60" i="5"/>
  <c r="D59" i="5"/>
  <c r="H59" i="5"/>
  <c r="D58" i="5"/>
  <c r="H58" i="5"/>
  <c r="D57" i="5"/>
  <c r="H57" i="5"/>
  <c r="D56" i="5"/>
  <c r="H56" i="5"/>
  <c r="D55" i="5"/>
  <c r="H55" i="5"/>
  <c r="D54" i="5"/>
  <c r="H54" i="5"/>
  <c r="D53" i="5"/>
  <c r="H53" i="5"/>
  <c r="D52" i="5"/>
  <c r="H52" i="5"/>
  <c r="D51" i="5"/>
  <c r="H51" i="5"/>
  <c r="D50" i="5"/>
  <c r="H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K78" i="3" s="1"/>
  <c r="H77"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H39" i="3" s="1"/>
  <c r="J39" i="3"/>
  <c r="N39" i="3"/>
  <c r="M38" i="3"/>
  <c r="P35" i="3"/>
  <c r="C34" i="3"/>
  <c r="G34" i="3"/>
  <c r="O34" i="3"/>
  <c r="M33" i="3"/>
  <c r="G33" i="3"/>
  <c r="E33" i="5" s="1"/>
  <c r="F33" i="5" s="1"/>
  <c r="G33" i="5" s="1"/>
  <c r="P30" i="3"/>
  <c r="J30" i="3"/>
  <c r="K30" i="3" s="1"/>
  <c r="H29" i="3"/>
  <c r="D29" i="3"/>
  <c r="L29" i="3"/>
  <c r="P29" i="3"/>
  <c r="M27" i="3"/>
  <c r="O25" i="3"/>
  <c r="J25" i="3"/>
  <c r="K25" i="3" s="1"/>
  <c r="B23" i="3"/>
  <c r="F23" i="3"/>
  <c r="H23" i="3" s="1"/>
  <c r="J23" i="3"/>
  <c r="N23" i="3"/>
  <c r="M22" i="3"/>
  <c r="P19" i="3"/>
  <c r="C18" i="3"/>
  <c r="G18" i="3"/>
  <c r="O18" i="3"/>
  <c r="M17" i="3"/>
  <c r="G17" i="3"/>
  <c r="E17" i="5" s="1"/>
  <c r="F17" i="5" s="1"/>
  <c r="G17" i="5" s="1"/>
  <c r="P14" i="3"/>
  <c r="J14" i="3"/>
  <c r="K14" i="3" s="1"/>
  <c r="H13" i="3"/>
  <c r="D13" i="3"/>
  <c r="L13" i="3"/>
  <c r="P13" i="3"/>
  <c r="M11" i="3"/>
  <c r="O9" i="3"/>
  <c r="J9" i="3"/>
  <c r="B7" i="3"/>
  <c r="F7" i="3"/>
  <c r="J7" i="3"/>
  <c r="N7" i="3"/>
  <c r="E166" i="5"/>
  <c r="E162" i="5"/>
  <c r="E159" i="5"/>
  <c r="E158" i="5"/>
  <c r="E151" i="5"/>
  <c r="E147" i="5"/>
  <c r="E123" i="5"/>
  <c r="E116" i="5"/>
  <c r="E109" i="5"/>
  <c r="E103" i="5"/>
  <c r="E101" i="5"/>
  <c r="E93" i="5"/>
  <c r="E92" i="5"/>
  <c r="E84" i="5"/>
  <c r="E71" i="5"/>
  <c r="E68" i="5"/>
  <c r="E67" i="5"/>
  <c r="E64" i="5"/>
  <c r="N62" i="5"/>
  <c r="K61" i="5"/>
  <c r="K60" i="5"/>
  <c r="K59" i="5"/>
  <c r="K58" i="5"/>
  <c r="K57" i="5"/>
  <c r="K56" i="5"/>
  <c r="K55" i="5"/>
  <c r="K54" i="5"/>
  <c r="K53" i="5"/>
  <c r="K52" i="5"/>
  <c r="K51" i="5"/>
  <c r="K50" i="5"/>
  <c r="D170" i="7"/>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H59" i="3" s="1"/>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59" i="5"/>
  <c r="E56" i="5"/>
  <c r="E47" i="5"/>
  <c r="F47" i="5" s="1"/>
  <c r="G47" i="5" s="1"/>
  <c r="E43" i="5"/>
  <c r="F43" i="5" s="1"/>
  <c r="G43" i="5" s="1"/>
  <c r="E39" i="5"/>
  <c r="F39" i="5" s="1"/>
  <c r="G39" i="5" s="1"/>
  <c r="E29" i="5"/>
  <c r="F29" i="5" s="1"/>
  <c r="G29" i="5" s="1"/>
  <c r="E13" i="5"/>
  <c r="F13" i="5" s="1"/>
  <c r="G13" i="5" s="1"/>
  <c r="E7" i="5"/>
  <c r="F7" i="5" s="1"/>
  <c r="G7"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F162" i="3"/>
  <c r="H162" i="3" s="1"/>
  <c r="N158" i="3"/>
  <c r="J158" i="3"/>
  <c r="K158" i="3" s="1"/>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K122" i="3" s="1"/>
  <c r="F122" i="3"/>
  <c r="O121" i="3"/>
  <c r="G121" i="3"/>
  <c r="D117" i="3"/>
  <c r="E117" i="3" s="1"/>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J95" i="3"/>
  <c r="K95" i="3" s="1"/>
  <c r="N95" i="3"/>
  <c r="M94" i="3"/>
  <c r="B94" i="3"/>
  <c r="N93" i="3"/>
  <c r="I93" i="3"/>
  <c r="K93" i="3" s="1"/>
  <c r="C93" i="3"/>
  <c r="P91" i="3"/>
  <c r="C90" i="3"/>
  <c r="E90" i="3" s="1"/>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H57" i="3" s="1"/>
  <c r="B57" i="3"/>
  <c r="O55" i="3"/>
  <c r="I55" i="3"/>
  <c r="D55" i="3"/>
  <c r="P54" i="3"/>
  <c r="J54" i="3"/>
  <c r="D53" i="3"/>
  <c r="L53" i="3"/>
  <c r="P53" i="3"/>
  <c r="M51" i="3"/>
  <c r="C51" i="3"/>
  <c r="N50" i="3"/>
  <c r="I50" i="3"/>
  <c r="K50" i="3" s="1"/>
  <c r="D50" i="3"/>
  <c r="O49" i="3"/>
  <c r="J49" i="3"/>
  <c r="B47" i="3"/>
  <c r="F47" i="3"/>
  <c r="H47" i="3" s="1"/>
  <c r="J47" i="3"/>
  <c r="N47" i="3"/>
  <c r="M46" i="3"/>
  <c r="B46" i="3"/>
  <c r="N45" i="3"/>
  <c r="I45" i="3"/>
  <c r="C45" i="3"/>
  <c r="P43" i="3"/>
  <c r="C42" i="3"/>
  <c r="E42" i="3" s="1"/>
  <c r="G42" i="3"/>
  <c r="H42" i="3" s="1"/>
  <c r="O42" i="3"/>
  <c r="M41" i="3"/>
  <c r="G41" i="3"/>
  <c r="H41" i="3" s="1"/>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H25" i="3" s="1"/>
  <c r="B25" i="3"/>
  <c r="O23" i="3"/>
  <c r="I23" i="3"/>
  <c r="D23" i="3"/>
  <c r="E23" i="3" s="1"/>
  <c r="P22" i="3"/>
  <c r="J22" i="3"/>
  <c r="D21" i="3"/>
  <c r="E21" i="3" s="1"/>
  <c r="L21" i="3"/>
  <c r="P21" i="3"/>
  <c r="M19" i="3"/>
  <c r="C19" i="3"/>
  <c r="E19" i="3" s="1"/>
  <c r="N18" i="3"/>
  <c r="I18" i="3"/>
  <c r="K18" i="3" s="1"/>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J157" i="5" s="1"/>
  <c r="D156" i="5"/>
  <c r="H156" i="5"/>
  <c r="D155" i="5"/>
  <c r="H155" i="5"/>
  <c r="J155" i="5" s="1"/>
  <c r="D154" i="5"/>
  <c r="H154" i="5"/>
  <c r="J154" i="5" s="1"/>
  <c r="D153" i="5"/>
  <c r="H153" i="5"/>
  <c r="J153" i="5" s="1"/>
  <c r="D152" i="5"/>
  <c r="H152" i="5"/>
  <c r="D151" i="5"/>
  <c r="H151" i="5"/>
  <c r="J151" i="5" s="1"/>
  <c r="D150" i="5"/>
  <c r="H150" i="5"/>
  <c r="J150" i="5" s="1"/>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L126" i="5"/>
  <c r="M126" i="5" s="1"/>
  <c r="D125" i="5"/>
  <c r="H125" i="5"/>
  <c r="J125" i="5" s="1"/>
  <c r="D124" i="5"/>
  <c r="H124" i="5"/>
  <c r="D123" i="5"/>
  <c r="H123" i="5"/>
  <c r="J123" i="5" s="1"/>
  <c r="D122" i="5"/>
  <c r="H122" i="5"/>
  <c r="J122" i="5" s="1"/>
  <c r="L122" i="5"/>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M88" i="5" s="1"/>
  <c r="D87" i="5"/>
  <c r="H87" i="5"/>
  <c r="J87" i="5" s="1"/>
  <c r="D86" i="5"/>
  <c r="H86" i="5"/>
  <c r="D85" i="5"/>
  <c r="H85" i="5"/>
  <c r="J85" i="5" s="1"/>
  <c r="D84" i="5"/>
  <c r="H84" i="5"/>
  <c r="J84" i="5" s="1"/>
  <c r="L84" i="5"/>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32" i="5"/>
  <c r="P20" i="5"/>
  <c r="P8" i="5"/>
  <c r="C182" i="7"/>
  <c r="G182" i="7"/>
  <c r="K182" i="7"/>
  <c r="O182" i="7"/>
  <c r="D182" i="7"/>
  <c r="H182" i="7"/>
  <c r="H182" i="12" s="1"/>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H180" i="12" s="1"/>
  <c r="D180" i="7"/>
  <c r="H176" i="7"/>
  <c r="L172" i="7"/>
  <c r="H172" i="7"/>
  <c r="D172" i="7"/>
  <c r="L164" i="7"/>
  <c r="H164" i="7"/>
  <c r="D164" i="7"/>
  <c r="L160" i="7"/>
  <c r="H160" i="7"/>
  <c r="D160" i="7"/>
  <c r="C158" i="7"/>
  <c r="G158" i="7"/>
  <c r="K158" i="7"/>
  <c r="O158" i="7"/>
  <c r="K157" i="7"/>
  <c r="E157" i="7"/>
  <c r="O151" i="7"/>
  <c r="J151" i="7"/>
  <c r="E151" i="7"/>
  <c r="E146" i="7"/>
  <c r="O135" i="7"/>
  <c r="J135" i="7"/>
  <c r="E135" i="7"/>
  <c r="L131" i="7"/>
  <c r="M127" i="7"/>
  <c r="O119" i="7"/>
  <c r="J119" i="7"/>
  <c r="E119" i="7"/>
  <c r="J114" i="7"/>
  <c r="E114" i="7"/>
  <c r="M111" i="7"/>
  <c r="G111" i="7"/>
  <c r="K109" i="7"/>
  <c r="E109" i="7"/>
  <c r="M106" i="7"/>
  <c r="B105" i="7"/>
  <c r="F105" i="7"/>
  <c r="J105" i="7"/>
  <c r="N105" i="7"/>
  <c r="O103" i="7"/>
  <c r="J103" i="7"/>
  <c r="E103" i="7"/>
  <c r="M101" i="7"/>
  <c r="H101" i="7"/>
  <c r="D99" i="7"/>
  <c r="H99" i="7"/>
  <c r="J98" i="7"/>
  <c r="E98" i="7"/>
  <c r="M95" i="7"/>
  <c r="G95" i="7"/>
  <c r="C94" i="7"/>
  <c r="G94" i="7"/>
  <c r="K94" i="7"/>
  <c r="O94" i="7"/>
  <c r="K93" i="7"/>
  <c r="E93" i="7"/>
  <c r="M90" i="7"/>
  <c r="H90" i="7"/>
  <c r="D83" i="7"/>
  <c r="H83" i="7"/>
  <c r="L83" i="7"/>
  <c r="M79" i="7"/>
  <c r="G79" i="7"/>
  <c r="K77" i="7"/>
  <c r="E77" i="7"/>
  <c r="M74" i="7"/>
  <c r="H74" i="7"/>
  <c r="F73" i="7"/>
  <c r="O71" i="7"/>
  <c r="J71" i="7"/>
  <c r="E71" i="7"/>
  <c r="D67" i="7"/>
  <c r="H67" i="7"/>
  <c r="L67" i="7"/>
  <c r="M63" i="7"/>
  <c r="G63" i="7"/>
  <c r="G62" i="7"/>
  <c r="M58" i="7"/>
  <c r="H58" i="7"/>
  <c r="B57" i="7"/>
  <c r="F57" i="7"/>
  <c r="J57" i="7"/>
  <c r="N57" i="7"/>
  <c r="M53" i="7"/>
  <c r="H53" i="7"/>
  <c r="H51" i="7"/>
  <c r="J50" i="7"/>
  <c r="E50" i="7"/>
  <c r="C46" i="7"/>
  <c r="G46" i="7"/>
  <c r="K46" i="7"/>
  <c r="O46" i="7"/>
  <c r="K45" i="7"/>
  <c r="E45" i="7"/>
  <c r="M42" i="7"/>
  <c r="H42" i="7"/>
  <c r="B41" i="7"/>
  <c r="F41" i="7"/>
  <c r="J41" i="7"/>
  <c r="N41" i="7"/>
  <c r="M37" i="7"/>
  <c r="H37" i="7"/>
  <c r="D35" i="7"/>
  <c r="H35" i="7"/>
  <c r="L35" i="7"/>
  <c r="M31" i="7"/>
  <c r="G31" i="7"/>
  <c r="C30" i="7"/>
  <c r="G30" i="7"/>
  <c r="K30" i="7"/>
  <c r="O30" i="7"/>
  <c r="K29" i="7"/>
  <c r="E29" i="7"/>
  <c r="M26" i="7"/>
  <c r="H26" i="7"/>
  <c r="B25" i="7"/>
  <c r="F25" i="7"/>
  <c r="J25" i="7"/>
  <c r="N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G113" i="6"/>
  <c r="K113" i="6"/>
  <c r="R113" i="12" s="1"/>
  <c r="O113" i="6"/>
  <c r="B113" i="6"/>
  <c r="H113" i="6"/>
  <c r="M113" i="6"/>
  <c r="D113" i="6"/>
  <c r="I113" i="6"/>
  <c r="N113" i="6"/>
  <c r="E113" i="6"/>
  <c r="J113" i="6"/>
  <c r="H127" i="7"/>
  <c r="K122" i="7"/>
  <c r="J80" i="12"/>
  <c r="I183" i="12"/>
  <c r="D111" i="7"/>
  <c r="H111" i="7"/>
  <c r="L111" i="7"/>
  <c r="B101" i="7"/>
  <c r="F101" i="7"/>
  <c r="J101" i="7"/>
  <c r="N101" i="7"/>
  <c r="D95" i="7"/>
  <c r="H95" i="7"/>
  <c r="L95" i="7"/>
  <c r="K95" i="12" s="1"/>
  <c r="C90" i="7"/>
  <c r="G90" i="7"/>
  <c r="K90" i="7"/>
  <c r="O90" i="7"/>
  <c r="D79" i="7"/>
  <c r="H79" i="7"/>
  <c r="L79" i="7"/>
  <c r="C74" i="7"/>
  <c r="G74" i="7"/>
  <c r="K74" i="7"/>
  <c r="O74" i="7"/>
  <c r="N69" i="7"/>
  <c r="D63" i="7"/>
  <c r="H63" i="7"/>
  <c r="L63" i="7"/>
  <c r="C58" i="7"/>
  <c r="G58" i="7"/>
  <c r="K58" i="7"/>
  <c r="O58" i="7"/>
  <c r="B53" i="7"/>
  <c r="F53" i="7"/>
  <c r="J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O162" i="6"/>
  <c r="D162" i="6"/>
  <c r="H162" i="6"/>
  <c r="P162" i="12" s="1"/>
  <c r="L162" i="6"/>
  <c r="O162" i="12" s="1"/>
  <c r="I158" i="6"/>
  <c r="Q158" i="12" s="1"/>
  <c r="B154" i="6"/>
  <c r="F154" i="6"/>
  <c r="J154" i="6"/>
  <c r="N154" i="6"/>
  <c r="C154" i="6"/>
  <c r="G154" i="6"/>
  <c r="K154" i="6"/>
  <c r="O154" i="6"/>
  <c r="D154" i="6"/>
  <c r="H154" i="6"/>
  <c r="L154" i="12" s="1"/>
  <c r="L154" i="6"/>
  <c r="O154" i="12" s="1"/>
  <c r="I150" i="6"/>
  <c r="Q150" i="12" s="1"/>
  <c r="Q146" i="12"/>
  <c r="B146" i="6"/>
  <c r="F146" i="6"/>
  <c r="J146" i="6"/>
  <c r="N146" i="6"/>
  <c r="C146" i="6"/>
  <c r="G146" i="6"/>
  <c r="K146" i="6"/>
  <c r="O146" i="6"/>
  <c r="D146" i="6"/>
  <c r="H146" i="6"/>
  <c r="L146" i="12" s="1"/>
  <c r="L146" i="6"/>
  <c r="O146" i="12" s="1"/>
  <c r="L140" i="6"/>
  <c r="O140" i="12" s="1"/>
  <c r="B124" i="6"/>
  <c r="F124" i="6"/>
  <c r="J124" i="6"/>
  <c r="N124" i="6"/>
  <c r="C124" i="6"/>
  <c r="H124" i="6"/>
  <c r="L124" i="12" s="1"/>
  <c r="M124" i="6"/>
  <c r="A124" i="7"/>
  <c r="D124" i="6"/>
  <c r="I124" i="6"/>
  <c r="O124" i="6"/>
  <c r="E124" i="6"/>
  <c r="K124" i="6"/>
  <c r="H49" i="5"/>
  <c r="H48" i="5"/>
  <c r="H47" i="5"/>
  <c r="J47" i="5" s="1"/>
  <c r="H46" i="5"/>
  <c r="H45" i="5"/>
  <c r="H44" i="5"/>
  <c r="H43" i="5"/>
  <c r="H42" i="5"/>
  <c r="H41" i="5"/>
  <c r="J41" i="5" s="1"/>
  <c r="H40" i="5"/>
  <c r="L39" i="5"/>
  <c r="H39" i="5"/>
  <c r="J39" i="5" s="1"/>
  <c r="H38" i="5"/>
  <c r="J38" i="5" s="1"/>
  <c r="H37" i="5"/>
  <c r="H36" i="5"/>
  <c r="J36" i="5" s="1"/>
  <c r="H35" i="5"/>
  <c r="L34" i="5"/>
  <c r="M34" i="5" s="1"/>
  <c r="H34" i="5"/>
  <c r="H33" i="5"/>
  <c r="H32" i="5"/>
  <c r="J32" i="5" s="1"/>
  <c r="H31" i="5"/>
  <c r="H30" i="5"/>
  <c r="L29" i="5"/>
  <c r="H29" i="5"/>
  <c r="H28" i="5"/>
  <c r="J28" i="5" s="1"/>
  <c r="H27" i="5"/>
  <c r="J27" i="5" s="1"/>
  <c r="H26" i="5"/>
  <c r="J26" i="5" s="1"/>
  <c r="H25" i="5"/>
  <c r="H24" i="5"/>
  <c r="H23" i="5"/>
  <c r="H22" i="5"/>
  <c r="H21" i="5"/>
  <c r="J21" i="5" s="1"/>
  <c r="H20" i="5"/>
  <c r="H19" i="5"/>
  <c r="H18" i="5"/>
  <c r="H17" i="5"/>
  <c r="L16" i="5"/>
  <c r="H16" i="5"/>
  <c r="H15" i="5"/>
  <c r="H14" i="5"/>
  <c r="J14" i="5" s="1"/>
  <c r="H13" i="5"/>
  <c r="H12" i="5"/>
  <c r="J12" i="5" s="1"/>
  <c r="H11" i="5"/>
  <c r="H10" i="5"/>
  <c r="H9" i="5"/>
  <c r="L8" i="5"/>
  <c r="H8" i="5"/>
  <c r="H7" i="5"/>
  <c r="J7" i="5" s="1"/>
  <c r="O189" i="7"/>
  <c r="K189" i="7"/>
  <c r="G189" i="7"/>
  <c r="O185" i="7"/>
  <c r="K185" i="7"/>
  <c r="G185" i="7"/>
  <c r="N184" i="7"/>
  <c r="J184" i="7"/>
  <c r="F184" i="7"/>
  <c r="N180" i="7"/>
  <c r="J180" i="7"/>
  <c r="F180" i="7"/>
  <c r="O177" i="7"/>
  <c r="K177" i="7"/>
  <c r="G177" i="7"/>
  <c r="O173" i="7"/>
  <c r="K173" i="7"/>
  <c r="G173" i="7"/>
  <c r="N172" i="7"/>
  <c r="J172" i="7"/>
  <c r="F172" i="7"/>
  <c r="N164" i="7"/>
  <c r="J164" i="7"/>
  <c r="F164" i="7"/>
  <c r="K161" i="7"/>
  <c r="G161" i="7"/>
  <c r="N160" i="7"/>
  <c r="J160" i="7"/>
  <c r="F160" i="7"/>
  <c r="N158" i="7"/>
  <c r="I158" i="7"/>
  <c r="D158" i="7"/>
  <c r="M157" i="7"/>
  <c r="H157" i="7"/>
  <c r="D155" i="7"/>
  <c r="H155" i="7"/>
  <c r="L155" i="7"/>
  <c r="M151" i="7"/>
  <c r="G151" i="7"/>
  <c r="B145" i="7"/>
  <c r="F145" i="7"/>
  <c r="J145" i="7"/>
  <c r="N145" i="7"/>
  <c r="H141" i="7"/>
  <c r="M135" i="7"/>
  <c r="G135" i="7"/>
  <c r="C134" i="7"/>
  <c r="G134" i="7"/>
  <c r="K134" i="7"/>
  <c r="O134" i="7"/>
  <c r="N131" i="7"/>
  <c r="O127"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H98" i="7"/>
  <c r="B97" i="7"/>
  <c r="F97" i="7"/>
  <c r="J97" i="7"/>
  <c r="N97" i="7"/>
  <c r="O95" i="7"/>
  <c r="J95" i="7"/>
  <c r="E95" i="7"/>
  <c r="N94" i="7"/>
  <c r="I94" i="7"/>
  <c r="D94" i="7"/>
  <c r="M93" i="7"/>
  <c r="H93" i="7"/>
  <c r="H91" i="7"/>
  <c r="J90" i="7"/>
  <c r="E90"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C54" i="7"/>
  <c r="G54" i="7"/>
  <c r="K54" i="7"/>
  <c r="O54" i="7"/>
  <c r="K53" i="7"/>
  <c r="E53" i="7"/>
  <c r="I51" i="7"/>
  <c r="M50" i="7"/>
  <c r="B49" i="7"/>
  <c r="F49" i="7"/>
  <c r="J49" i="7"/>
  <c r="N49" i="7"/>
  <c r="N46" i="7"/>
  <c r="I46" i="7"/>
  <c r="D46" i="7"/>
  <c r="M45" i="7"/>
  <c r="H45" i="7"/>
  <c r="J42" i="7"/>
  <c r="E42" i="7"/>
  <c r="O41" i="7"/>
  <c r="I41" i="7"/>
  <c r="D41" i="7"/>
  <c r="K37" i="7"/>
  <c r="E37" i="7"/>
  <c r="N35" i="7"/>
  <c r="I35" i="7"/>
  <c r="C35" i="7"/>
  <c r="B33" i="7"/>
  <c r="O31" i="7"/>
  <c r="J31" i="7"/>
  <c r="E31" i="7"/>
  <c r="N30" i="7"/>
  <c r="I30" i="7"/>
  <c r="D30" i="7"/>
  <c r="M29" i="7"/>
  <c r="H29" i="7"/>
  <c r="D27" i="7"/>
  <c r="H27" i="7"/>
  <c r="L27" i="7"/>
  <c r="J26" i="7"/>
  <c r="E26" i="7"/>
  <c r="O25" i="7"/>
  <c r="I25" i="7"/>
  <c r="D25" i="7"/>
  <c r="K23" i="7"/>
  <c r="B21" i="7"/>
  <c r="F21" i="7"/>
  <c r="J21" i="7"/>
  <c r="N21" i="7"/>
  <c r="D21" i="7"/>
  <c r="H21" i="7"/>
  <c r="L21" i="7"/>
  <c r="O19" i="7"/>
  <c r="G19" i="7"/>
  <c r="B13" i="7"/>
  <c r="F13" i="7"/>
  <c r="J13" i="7"/>
  <c r="N13" i="7"/>
  <c r="D13" i="7"/>
  <c r="H13" i="7"/>
  <c r="L13" i="7"/>
  <c r="M186" i="6"/>
  <c r="M178" i="6"/>
  <c r="M170" i="6"/>
  <c r="M162" i="6"/>
  <c r="M154" i="6"/>
  <c r="M146" i="6"/>
  <c r="L145" i="6"/>
  <c r="S134" i="12"/>
  <c r="D134" i="6"/>
  <c r="H134" i="6"/>
  <c r="L134" i="6"/>
  <c r="O134" i="12" s="1"/>
  <c r="B134" i="6"/>
  <c r="G134" i="6"/>
  <c r="M134" i="6"/>
  <c r="C134" i="6"/>
  <c r="L134" i="5" s="1"/>
  <c r="M134" i="5" s="1"/>
  <c r="I134" i="6"/>
  <c r="Q134" i="12" s="1"/>
  <c r="N134" i="6"/>
  <c r="E134" i="6"/>
  <c r="J134" i="6"/>
  <c r="O134" i="6"/>
  <c r="C129" i="6"/>
  <c r="G129" i="6"/>
  <c r="K129" i="6"/>
  <c r="O129" i="6"/>
  <c r="B129" i="6"/>
  <c r="H129" i="6"/>
  <c r="M129" i="6"/>
  <c r="D129" i="6"/>
  <c r="I129" i="6"/>
  <c r="N129" i="6"/>
  <c r="E129" i="6"/>
  <c r="J129" i="6"/>
  <c r="K118" i="6"/>
  <c r="S118" i="12" s="1"/>
  <c r="L113" i="6"/>
  <c r="Q106" i="12"/>
  <c r="D106" i="6"/>
  <c r="H106" i="6"/>
  <c r="L106" i="12" s="1"/>
  <c r="L106" i="6"/>
  <c r="B106" i="6"/>
  <c r="F106" i="6"/>
  <c r="J106" i="6"/>
  <c r="N106" i="6"/>
  <c r="C106" i="6"/>
  <c r="L106" i="5" s="1"/>
  <c r="M106" i="5" s="1"/>
  <c r="K106" i="6"/>
  <c r="S106" i="12" s="1"/>
  <c r="E106" i="6"/>
  <c r="M106" i="6"/>
  <c r="G106" i="6"/>
  <c r="O106" i="6"/>
  <c r="B157" i="7"/>
  <c r="F157" i="7"/>
  <c r="J157" i="7"/>
  <c r="N157" i="7"/>
  <c r="D151" i="7"/>
  <c r="H151" i="7"/>
  <c r="L151" i="7"/>
  <c r="O146" i="7"/>
  <c r="B141" i="7"/>
  <c r="J141" i="7"/>
  <c r="D135" i="7"/>
  <c r="H135" i="7"/>
  <c r="L135" i="7"/>
  <c r="D119" i="7"/>
  <c r="H119" i="7"/>
  <c r="L119" i="7"/>
  <c r="I117" i="7"/>
  <c r="C114" i="7"/>
  <c r="G114" i="7"/>
  <c r="K114" i="7"/>
  <c r="O114" i="7"/>
  <c r="N111" i="7"/>
  <c r="I111" i="7"/>
  <c r="I111" i="12" s="1"/>
  <c r="C111" i="7"/>
  <c r="B109" i="7"/>
  <c r="F109" i="7"/>
  <c r="J109" i="7"/>
  <c r="N109" i="7"/>
  <c r="D103" i="7"/>
  <c r="H103" i="7"/>
  <c r="L103" i="7"/>
  <c r="O101" i="7"/>
  <c r="I101" i="7"/>
  <c r="D101" i="7"/>
  <c r="C98" i="7"/>
  <c r="G98" i="7"/>
  <c r="K98" i="7"/>
  <c r="O98" i="7"/>
  <c r="N95" i="7"/>
  <c r="I95" i="7"/>
  <c r="C95" i="7"/>
  <c r="B93" i="7"/>
  <c r="F93" i="7"/>
  <c r="J93" i="7"/>
  <c r="N93" i="7"/>
  <c r="N90" i="7"/>
  <c r="I90" i="7"/>
  <c r="D90" i="7"/>
  <c r="D87" i="7"/>
  <c r="C82" i="7"/>
  <c r="G82" i="7"/>
  <c r="K82" i="7"/>
  <c r="O82" i="7"/>
  <c r="N79" i="7"/>
  <c r="I79" i="7"/>
  <c r="C79" i="7"/>
  <c r="B77" i="7"/>
  <c r="F77" i="7"/>
  <c r="J77" i="7"/>
  <c r="N77" i="7"/>
  <c r="N74" i="7"/>
  <c r="I74" i="7"/>
  <c r="D74" i="7"/>
  <c r="D71" i="7"/>
  <c r="H71" i="7"/>
  <c r="L71" i="7"/>
  <c r="O66" i="7"/>
  <c r="N63" i="7"/>
  <c r="I63" i="7"/>
  <c r="C63" i="7"/>
  <c r="N58" i="7"/>
  <c r="I58" i="7"/>
  <c r="D58" i="7"/>
  <c r="O53" i="7"/>
  <c r="I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12" s="1"/>
  <c r="L174" i="6"/>
  <c r="O174" i="12" s="1"/>
  <c r="B166" i="6"/>
  <c r="F166" i="6"/>
  <c r="J166" i="6"/>
  <c r="N166" i="6"/>
  <c r="C166" i="6"/>
  <c r="G166" i="6"/>
  <c r="K166" i="6"/>
  <c r="O166" i="6"/>
  <c r="D166" i="6"/>
  <c r="H166" i="6"/>
  <c r="L166" i="12" s="1"/>
  <c r="L166" i="6"/>
  <c r="O166" i="12" s="1"/>
  <c r="B158" i="6"/>
  <c r="F158" i="6"/>
  <c r="J158" i="6"/>
  <c r="N158" i="6"/>
  <c r="C158" i="6"/>
  <c r="G158" i="6"/>
  <c r="K158" i="6"/>
  <c r="O158" i="6"/>
  <c r="D158" i="6"/>
  <c r="H158" i="6"/>
  <c r="L158" i="6"/>
  <c r="O158" i="12" s="1"/>
  <c r="B150" i="6"/>
  <c r="F150" i="6"/>
  <c r="J150" i="6"/>
  <c r="N150" i="6"/>
  <c r="C150" i="6"/>
  <c r="G150" i="6"/>
  <c r="K150" i="6"/>
  <c r="O150" i="6"/>
  <c r="D150" i="6"/>
  <c r="H150" i="6"/>
  <c r="L150" i="6"/>
  <c r="O150" i="12" s="1"/>
  <c r="B140" i="6"/>
  <c r="F140" i="6"/>
  <c r="J140" i="6"/>
  <c r="N140" i="6"/>
  <c r="C140" i="6"/>
  <c r="H140" i="6"/>
  <c r="L140" i="12" s="1"/>
  <c r="M140" i="6"/>
  <c r="A140" i="7"/>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S40" i="12" s="1"/>
  <c r="C40" i="6"/>
  <c r="L43" i="5" s="1"/>
  <c r="H40" i="6"/>
  <c r="M40" i="6"/>
  <c r="B32" i="6"/>
  <c r="F32" i="6"/>
  <c r="J32" i="6"/>
  <c r="N32" i="6"/>
  <c r="C32" i="6"/>
  <c r="L32" i="5" s="1"/>
  <c r="H32" i="6"/>
  <c r="P32" i="12" s="1"/>
  <c r="M32" i="6"/>
  <c r="E32" i="6"/>
  <c r="K32" i="6"/>
  <c r="O13" i="12"/>
  <c r="M23" i="12"/>
  <c r="O25" i="12"/>
  <c r="M27" i="12"/>
  <c r="M13" i="12"/>
  <c r="M25" i="12"/>
  <c r="M61" i="12"/>
  <c r="L19" i="12"/>
  <c r="L31" i="12"/>
  <c r="O40" i="12"/>
  <c r="M46" i="12"/>
  <c r="L47" i="12"/>
  <c r="M74" i="12"/>
  <c r="M78" i="12"/>
  <c r="M12" i="12"/>
  <c r="L13" i="12"/>
  <c r="O61" i="12"/>
  <c r="O48" i="12"/>
  <c r="O65" i="12"/>
  <c r="M82" i="12"/>
  <c r="M86" i="12"/>
  <c r="M90" i="12"/>
  <c r="M94" i="12"/>
  <c r="M98" i="12"/>
  <c r="O49" i="12"/>
  <c r="M55" i="12"/>
  <c r="O64" i="12"/>
  <c r="L79" i="12"/>
  <c r="M85" i="12"/>
  <c r="O87" i="12"/>
  <c r="O115" i="12"/>
  <c r="M121" i="12"/>
  <c r="M88" i="12"/>
  <c r="M111" i="12"/>
  <c r="M115" i="12"/>
  <c r="O131" i="12"/>
  <c r="M138" i="12"/>
  <c r="M144" i="12"/>
  <c r="N149" i="12"/>
  <c r="M156" i="12"/>
  <c r="M160" i="12"/>
  <c r="O127" i="12"/>
  <c r="L135" i="12"/>
  <c r="O173" i="12"/>
  <c r="M175" i="12"/>
  <c r="M179" i="12"/>
  <c r="O123" i="12"/>
  <c r="N134" i="12"/>
  <c r="N135" i="12"/>
  <c r="O144" i="12"/>
  <c r="M146" i="12"/>
  <c r="L105" i="12"/>
  <c r="L117" i="12"/>
  <c r="M161" i="12"/>
  <c r="M169" i="12"/>
  <c r="M185" i="12"/>
  <c r="L153" i="12"/>
  <c r="M184" i="12"/>
  <c r="M188" i="12"/>
  <c r="L165" i="12"/>
  <c r="L169"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Q108" i="12"/>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9" i="12" s="1"/>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Q48" i="12"/>
  <c r="B48" i="6"/>
  <c r="F48" i="6"/>
  <c r="J48" i="6"/>
  <c r="N48" i="6"/>
  <c r="C48" i="6"/>
  <c r="H48" i="6"/>
  <c r="P48" i="12" s="1"/>
  <c r="M48" i="6"/>
  <c r="E48" i="6"/>
  <c r="K48" i="6"/>
  <c r="N45" i="6"/>
  <c r="I40" i="6"/>
  <c r="Q40" i="12" s="1"/>
  <c r="N37" i="6"/>
  <c r="N34" i="6"/>
  <c r="I32" i="6"/>
  <c r="B10" i="6"/>
  <c r="F10" i="6"/>
  <c r="J10" i="6"/>
  <c r="N10" i="6"/>
  <c r="C10" i="6"/>
  <c r="L10" i="5" s="1"/>
  <c r="M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S156" i="12"/>
  <c r="Q148" i="12"/>
  <c r="D142" i="6"/>
  <c r="H142" i="6"/>
  <c r="L142" i="6"/>
  <c r="C137" i="6"/>
  <c r="G137" i="6"/>
  <c r="K137" i="6"/>
  <c r="R137" i="12" s="1"/>
  <c r="O137" i="6"/>
  <c r="Q132" i="12"/>
  <c r="B132" i="6"/>
  <c r="F132" i="6"/>
  <c r="J132" i="6"/>
  <c r="N132" i="6"/>
  <c r="D126" i="6"/>
  <c r="H126" i="6"/>
  <c r="P126" i="12" s="1"/>
  <c r="L126" i="6"/>
  <c r="Q121" i="12"/>
  <c r="C121" i="6"/>
  <c r="G121" i="6"/>
  <c r="K121" i="6"/>
  <c r="O121" i="6"/>
  <c r="B116" i="6"/>
  <c r="F116" i="6"/>
  <c r="J116" i="6"/>
  <c r="N116" i="6"/>
  <c r="D110" i="6"/>
  <c r="H110" i="6"/>
  <c r="P110" i="12" s="1"/>
  <c r="L110" i="6"/>
  <c r="Q102" i="12"/>
  <c r="D102" i="6"/>
  <c r="H102" i="6"/>
  <c r="L101" i="12" s="1"/>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B233" i="2" s="1"/>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N28" i="12" s="1"/>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D172" i="6"/>
  <c r="O171" i="6"/>
  <c r="K171" i="6"/>
  <c r="G171" i="6"/>
  <c r="C171" i="6"/>
  <c r="S169" i="12"/>
  <c r="Q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D160" i="6"/>
  <c r="O159" i="6"/>
  <c r="K159" i="6"/>
  <c r="G159" i="6"/>
  <c r="C159" i="6"/>
  <c r="S157" i="12"/>
  <c r="L156" i="6"/>
  <c r="O156" i="12" s="1"/>
  <c r="H156" i="6"/>
  <c r="P156" i="12" s="1"/>
  <c r="D156" i="6"/>
  <c r="O155" i="6"/>
  <c r="K155" i="6"/>
  <c r="N155" i="12" s="1"/>
  <c r="G155" i="6"/>
  <c r="C155" i="6"/>
  <c r="Q153" i="12"/>
  <c r="L152" i="6"/>
  <c r="O152" i="12" s="1"/>
  <c r="H152" i="6"/>
  <c r="L152" i="12" s="1"/>
  <c r="D152" i="6"/>
  <c r="O151" i="6"/>
  <c r="K151" i="6"/>
  <c r="G151" i="6"/>
  <c r="C151" i="6"/>
  <c r="L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Q138" i="12"/>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P117" i="12"/>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3" i="12" s="1"/>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105" i="12"/>
  <c r="P101" i="12"/>
  <c r="P97" i="12"/>
  <c r="P89" i="12"/>
  <c r="P85" i="12"/>
  <c r="Q85" i="12"/>
  <c r="Q77" i="12"/>
  <c r="Q73" i="12"/>
  <c r="Q69" i="12"/>
  <c r="C65" i="6"/>
  <c r="G65" i="6"/>
  <c r="K65" i="6"/>
  <c r="N65" i="12" s="1"/>
  <c r="O65" i="6"/>
  <c r="B60" i="6"/>
  <c r="F60" i="6"/>
  <c r="J60" i="6"/>
  <c r="N60" i="6"/>
  <c r="D54" i="6"/>
  <c r="H54" i="6"/>
  <c r="L54" i="12" s="1"/>
  <c r="L54" i="6"/>
  <c r="O54" i="12" s="1"/>
  <c r="C49" i="6"/>
  <c r="L49" i="5" s="1"/>
  <c r="M49" i="5" s="1"/>
  <c r="G49" i="6"/>
  <c r="K49" i="6"/>
  <c r="N49" i="12" s="1"/>
  <c r="O49" i="6"/>
  <c r="S44" i="12"/>
  <c r="B44" i="6"/>
  <c r="F44" i="6"/>
  <c r="J44" i="6"/>
  <c r="N44" i="6"/>
  <c r="D38" i="6"/>
  <c r="H38" i="6"/>
  <c r="P38" i="12" s="1"/>
  <c r="L38" i="6"/>
  <c r="C33" i="6"/>
  <c r="L33" i="5" s="1"/>
  <c r="M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P135" i="12"/>
  <c r="R135" i="12"/>
  <c r="S135" i="12"/>
  <c r="S127" i="12"/>
  <c r="R127" i="12"/>
  <c r="P119" i="12"/>
  <c r="Q115" i="12"/>
  <c r="S111" i="12"/>
  <c r="Q111"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Q91" i="12"/>
  <c r="O89" i="6"/>
  <c r="K89" i="6"/>
  <c r="N89" i="12" s="1"/>
  <c r="G89" i="6"/>
  <c r="C89" i="6"/>
  <c r="L89" i="5" s="1"/>
  <c r="O85" i="6"/>
  <c r="K85" i="6"/>
  <c r="N85" i="12" s="1"/>
  <c r="G85" i="6"/>
  <c r="C85" i="6"/>
  <c r="L85" i="5" s="1"/>
  <c r="R83" i="12"/>
  <c r="S83" i="12"/>
  <c r="P83" i="12"/>
  <c r="O81" i="6"/>
  <c r="K81" i="6"/>
  <c r="R81" i="12" s="1"/>
  <c r="G81" i="6"/>
  <c r="C81" i="6"/>
  <c r="P79" i="12"/>
  <c r="O77" i="6"/>
  <c r="K77" i="6"/>
  <c r="S77" i="12" s="1"/>
  <c r="G77" i="6"/>
  <c r="C77" i="6"/>
  <c r="L77" i="5" s="1"/>
  <c r="O73" i="6"/>
  <c r="K73" i="6"/>
  <c r="R73" i="12" s="1"/>
  <c r="G73" i="6"/>
  <c r="C73" i="6"/>
  <c r="O69" i="6"/>
  <c r="K69" i="6"/>
  <c r="N69" i="12" s="1"/>
  <c r="G69" i="6"/>
  <c r="C69" i="6"/>
  <c r="L69" i="5" s="1"/>
  <c r="M69" i="5" s="1"/>
  <c r="N65" i="6"/>
  <c r="I65" i="6"/>
  <c r="D65" i="6"/>
  <c r="Q62" i="12"/>
  <c r="S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M44" i="12" s="1"/>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12" s="1"/>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55" i="12"/>
  <c r="R55" i="12"/>
  <c r="P47" i="12"/>
  <c r="Q47" i="12"/>
  <c r="R47" i="12"/>
  <c r="P31" i="12"/>
  <c r="O29" i="6"/>
  <c r="K29" i="6"/>
  <c r="G29" i="6"/>
  <c r="Q27" i="12"/>
  <c r="R27" i="12"/>
  <c r="N24" i="6"/>
  <c r="I24" i="6"/>
  <c r="M24" i="12" s="1"/>
  <c r="B22" i="6"/>
  <c r="F22" i="6"/>
  <c r="J22" i="6"/>
  <c r="N22" i="6"/>
  <c r="N19" i="6"/>
  <c r="I19" i="6"/>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P19" i="12"/>
  <c r="C19" i="6"/>
  <c r="G19" i="6"/>
  <c r="K19" i="6"/>
  <c r="N19" i="12" s="1"/>
  <c r="O19" i="6"/>
  <c r="B14" i="6"/>
  <c r="F14" i="6"/>
  <c r="J14" i="6"/>
  <c r="N14" i="6"/>
  <c r="D8" i="6"/>
  <c r="H8" i="6"/>
  <c r="L9" i="12" s="1"/>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S13" i="12"/>
  <c r="Q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O172" i="12"/>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N188" i="12"/>
  <c r="D188" i="12"/>
  <c r="B184" i="12"/>
  <c r="F184" i="12"/>
  <c r="N184" i="12"/>
  <c r="D184" i="12"/>
  <c r="B180" i="12"/>
  <c r="F180" i="12"/>
  <c r="D180" i="12"/>
  <c r="B176" i="12"/>
  <c r="F176" i="12"/>
  <c r="N176" i="12"/>
  <c r="D176" i="12"/>
  <c r="M172" i="12"/>
  <c r="E172" i="12"/>
  <c r="M168" i="12"/>
  <c r="E168" i="12"/>
  <c r="E164" i="12"/>
  <c r="C162" i="12"/>
  <c r="G162" i="12"/>
  <c r="D162" i="12"/>
  <c r="L162" i="12"/>
  <c r="B162" i="12"/>
  <c r="F162" i="12"/>
  <c r="R162" i="12"/>
  <c r="C154" i="12"/>
  <c r="G154" i="12"/>
  <c r="S154" i="12"/>
  <c r="D154" i="12"/>
  <c r="B154" i="12"/>
  <c r="F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L172" i="12"/>
  <c r="P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G171" i="12"/>
  <c r="O167" i="12"/>
  <c r="G167" i="12"/>
  <c r="G163" i="12"/>
  <c r="P160" i="12"/>
  <c r="L160" i="12"/>
  <c r="D160" i="12"/>
  <c r="G159" i="12"/>
  <c r="D156" i="12"/>
  <c r="O155" i="12"/>
  <c r="G155" i="12"/>
  <c r="D152" i="12"/>
  <c r="G151" i="12"/>
  <c r="F150" i="12"/>
  <c r="B150" i="12"/>
  <c r="H148" i="12"/>
  <c r="D148" i="12"/>
  <c r="O147" i="12"/>
  <c r="G147" i="12"/>
  <c r="F146" i="12"/>
  <c r="B146" i="12"/>
  <c r="P144" i="12"/>
  <c r="L144" i="12"/>
  <c r="D144" i="12"/>
  <c r="R142"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S112" i="12"/>
  <c r="B110" i="12"/>
  <c r="F110" i="12"/>
  <c r="R110" i="12"/>
  <c r="D110" i="12"/>
  <c r="S108" i="12"/>
  <c r="B106" i="12"/>
  <c r="F106" i="12"/>
  <c r="D106" i="12"/>
  <c r="B102" i="12"/>
  <c r="F102" i="12"/>
  <c r="N102" i="12"/>
  <c r="R102" i="12"/>
  <c r="D102" i="12"/>
  <c r="D142" i="12"/>
  <c r="B140" i="12"/>
  <c r="F140" i="12"/>
  <c r="C133" i="12"/>
  <c r="G133" i="12"/>
  <c r="O133" i="12"/>
  <c r="D126" i="12"/>
  <c r="B124" i="12"/>
  <c r="F124" i="12"/>
  <c r="D120" i="12"/>
  <c r="P120" i="12"/>
  <c r="B120" i="12"/>
  <c r="F120" i="12"/>
  <c r="D116" i="12"/>
  <c r="B116" i="12"/>
  <c r="F116" i="12"/>
  <c r="D112" i="12"/>
  <c r="P112" i="12"/>
  <c r="B112" i="12"/>
  <c r="F112" i="12"/>
  <c r="N112" i="12"/>
  <c r="R112" i="12"/>
  <c r="D108" i="12"/>
  <c r="B108" i="12"/>
  <c r="F108" i="12"/>
  <c r="D104" i="12"/>
  <c r="L104" i="12"/>
  <c r="B104" i="12"/>
  <c r="F104" i="12"/>
  <c r="R104" i="12"/>
  <c r="D100" i="12"/>
  <c r="B100" i="12"/>
  <c r="F100" i="12"/>
  <c r="F160" i="12"/>
  <c r="R156" i="12"/>
  <c r="N156" i="12"/>
  <c r="F156" i="12"/>
  <c r="F152" i="12"/>
  <c r="D150" i="12"/>
  <c r="J148" i="12"/>
  <c r="F148" i="12"/>
  <c r="P146" i="12"/>
  <c r="D146" i="12"/>
  <c r="F144" i="12"/>
  <c r="O142" i="12"/>
  <c r="E142" i="12"/>
  <c r="E140" i="12"/>
  <c r="C137" i="12"/>
  <c r="G137" i="12"/>
  <c r="R134" i="12"/>
  <c r="G134" i="12"/>
  <c r="E133" i="12"/>
  <c r="D130" i="12"/>
  <c r="B128" i="12"/>
  <c r="F128" i="12"/>
  <c r="O126" i="12"/>
  <c r="E126" i="12"/>
  <c r="P124" i="12"/>
  <c r="E124" i="12"/>
  <c r="G120" i="12"/>
  <c r="G116" i="12"/>
  <c r="O112" i="12"/>
  <c r="G112" i="12"/>
  <c r="G108" i="12"/>
  <c r="M106" i="12"/>
  <c r="E106" i="12"/>
  <c r="G104" i="12"/>
  <c r="M102" i="12"/>
  <c r="E102" i="12"/>
  <c r="G100" i="12"/>
  <c r="C96" i="12"/>
  <c r="G96" i="12"/>
  <c r="S96" i="12"/>
  <c r="D96" i="12"/>
  <c r="L96" i="12"/>
  <c r="B96" i="12"/>
  <c r="F96" i="12"/>
  <c r="J96" i="12"/>
  <c r="N96" i="12"/>
  <c r="R96" i="12"/>
  <c r="G150" i="12"/>
  <c r="G146" i="12"/>
  <c r="S142" i="12"/>
  <c r="N142" i="12"/>
  <c r="C142" i="12"/>
  <c r="C141" i="12"/>
  <c r="G141" i="12"/>
  <c r="O141" i="12"/>
  <c r="D140" i="12"/>
  <c r="D134" i="12"/>
  <c r="L134" i="12"/>
  <c r="P134" i="12"/>
  <c r="D133" i="12"/>
  <c r="B132" i="12"/>
  <c r="F132" i="12"/>
  <c r="S126" i="12"/>
  <c r="C126" i="12"/>
  <c r="C125" i="12"/>
  <c r="G125" i="12"/>
  <c r="D124" i="12"/>
  <c r="E120" i="12"/>
  <c r="E116" i="12"/>
  <c r="M112" i="12"/>
  <c r="E112" i="12"/>
  <c r="M108" i="12"/>
  <c r="E108" i="12"/>
  <c r="E104" i="12"/>
  <c r="E100" i="12"/>
  <c r="G121" i="12"/>
  <c r="G117" i="12"/>
  <c r="O113" i="12"/>
  <c r="G113" i="12"/>
  <c r="G109" i="12"/>
  <c r="G105" i="12"/>
  <c r="O101" i="12"/>
  <c r="G101" i="12"/>
  <c r="D98" i="12"/>
  <c r="O97" i="12"/>
  <c r="G97" i="12"/>
  <c r="D94" i="12"/>
  <c r="G93" i="12"/>
  <c r="R92" i="12"/>
  <c r="N92" i="12"/>
  <c r="F92" i="12"/>
  <c r="B92" i="12"/>
  <c r="D90" i="12"/>
  <c r="G89" i="12"/>
  <c r="R88" i="12"/>
  <c r="N88" i="12"/>
  <c r="F88" i="12"/>
  <c r="B88" i="12"/>
  <c r="D86" i="12"/>
  <c r="O85" i="12"/>
  <c r="G85" i="12"/>
  <c r="F84" i="12"/>
  <c r="B84" i="12"/>
  <c r="C80" i="12"/>
  <c r="G80" i="12"/>
  <c r="S80" i="12"/>
  <c r="M77" i="12"/>
  <c r="G77" i="12"/>
  <c r="P76" i="12"/>
  <c r="E76" i="12"/>
  <c r="D73" i="12"/>
  <c r="B71" i="12"/>
  <c r="F71" i="12"/>
  <c r="D71" i="12"/>
  <c r="O69" i="12"/>
  <c r="G69" i="12"/>
  <c r="R68" i="12"/>
  <c r="D60" i="12"/>
  <c r="L60" i="12"/>
  <c r="P60" i="12"/>
  <c r="B60" i="12"/>
  <c r="G60" i="12"/>
  <c r="E60" i="12"/>
  <c r="O60" i="12"/>
  <c r="Q52" i="12"/>
  <c r="N51" i="12"/>
  <c r="D77" i="12"/>
  <c r="L77" i="12"/>
  <c r="P77" i="12"/>
  <c r="B75" i="12"/>
  <c r="F75" i="12"/>
  <c r="B66" i="12"/>
  <c r="F66" i="12"/>
  <c r="E66" i="12"/>
  <c r="C66" i="12"/>
  <c r="M66" i="12"/>
  <c r="C51" i="12"/>
  <c r="G51" i="12"/>
  <c r="S51" i="12"/>
  <c r="B51" i="12"/>
  <c r="R51" i="12"/>
  <c r="E51" i="12"/>
  <c r="B50" i="12"/>
  <c r="F50" i="12"/>
  <c r="N50" i="12"/>
  <c r="R50" i="12"/>
  <c r="D50" i="12"/>
  <c r="O50" i="12"/>
  <c r="E50" i="12"/>
  <c r="C50" i="12"/>
  <c r="S50" i="12"/>
  <c r="F98" i="12"/>
  <c r="F94" i="12"/>
  <c r="D92" i="12"/>
  <c r="R90" i="12"/>
  <c r="F90" i="12"/>
  <c r="D88" i="12"/>
  <c r="R86" i="12"/>
  <c r="N86" i="12"/>
  <c r="F86" i="12"/>
  <c r="D84" i="12"/>
  <c r="D81" i="12"/>
  <c r="B79" i="12"/>
  <c r="F79" i="12"/>
  <c r="E77" i="12"/>
  <c r="P75" i="12"/>
  <c r="E75" i="12"/>
  <c r="S69" i="12"/>
  <c r="N68" i="12"/>
  <c r="C67" i="12"/>
  <c r="G67" i="12"/>
  <c r="S67" i="12"/>
  <c r="B67" i="12"/>
  <c r="E67" i="12"/>
  <c r="P67" i="12"/>
  <c r="N59" i="12"/>
  <c r="B58" i="12"/>
  <c r="F58" i="12"/>
  <c r="N58" i="12"/>
  <c r="R58" i="12"/>
  <c r="C58" i="12"/>
  <c r="H58" i="12"/>
  <c r="S58" i="12"/>
  <c r="E58" i="12"/>
  <c r="K58" i="12"/>
  <c r="D52" i="12"/>
  <c r="L52" i="12"/>
  <c r="P52" i="12"/>
  <c r="E52" i="12"/>
  <c r="B52" i="12"/>
  <c r="G52" i="12"/>
  <c r="M52" i="12"/>
  <c r="S92" i="12"/>
  <c r="G92" i="12"/>
  <c r="S88" i="12"/>
  <c r="G88" i="12"/>
  <c r="G84" i="12"/>
  <c r="C77" i="12"/>
  <c r="C76" i="12"/>
  <c r="G76" i="12"/>
  <c r="D75" i="12"/>
  <c r="D69" i="12"/>
  <c r="L69" i="12"/>
  <c r="P69" i="12"/>
  <c r="B69" i="12"/>
  <c r="F69" i="12"/>
  <c r="D68" i="12"/>
  <c r="E68" i="12"/>
  <c r="S68" i="12"/>
  <c r="B68" i="12"/>
  <c r="G68" i="12"/>
  <c r="M68" i="12"/>
  <c r="Q68" i="12"/>
  <c r="Q66" i="12"/>
  <c r="G66" i="12"/>
  <c r="C59" i="12"/>
  <c r="G59" i="12"/>
  <c r="O59" i="12"/>
  <c r="S59" i="12"/>
  <c r="E59" i="12"/>
  <c r="B59" i="12"/>
  <c r="R59" i="12"/>
  <c r="Q51" i="12"/>
  <c r="F51" i="12"/>
  <c r="D64" i="12"/>
  <c r="B62" i="12"/>
  <c r="F62" i="12"/>
  <c r="N62" i="12"/>
  <c r="R62" i="12"/>
  <c r="C55" i="12"/>
  <c r="G55" i="12"/>
  <c r="O55" i="12"/>
  <c r="S55" i="12"/>
  <c r="D48" i="12"/>
  <c r="B46" i="12"/>
  <c r="F46" i="12"/>
  <c r="R46" i="12"/>
  <c r="O44" i="12"/>
  <c r="E44" i="12"/>
  <c r="R43" i="12"/>
  <c r="E42" i="12"/>
  <c r="C39" i="12"/>
  <c r="G39" i="12"/>
  <c r="O39" i="12"/>
  <c r="R36" i="12"/>
  <c r="G36" i="12"/>
  <c r="D34" i="12"/>
  <c r="B34" i="12"/>
  <c r="F34" i="12"/>
  <c r="O32" i="12"/>
  <c r="G32" i="12"/>
  <c r="D30" i="12"/>
  <c r="P30" i="12"/>
  <c r="B30" i="12"/>
  <c r="F30" i="12"/>
  <c r="G28" i="12"/>
  <c r="D26" i="12"/>
  <c r="B26" i="12"/>
  <c r="F26" i="12"/>
  <c r="R26" i="12"/>
  <c r="G24" i="12"/>
  <c r="D22" i="12"/>
  <c r="L22" i="12"/>
  <c r="P22" i="12"/>
  <c r="B22" i="12"/>
  <c r="F22" i="12"/>
  <c r="N22" i="12"/>
  <c r="R22" i="12"/>
  <c r="G20" i="12"/>
  <c r="D18" i="12"/>
  <c r="B18" i="12"/>
  <c r="F18" i="12"/>
  <c r="G16" i="12"/>
  <c r="D14" i="12"/>
  <c r="B14" i="12"/>
  <c r="F14" i="12"/>
  <c r="G12" i="12"/>
  <c r="D10" i="12"/>
  <c r="B10" i="12"/>
  <c r="F10" i="12"/>
  <c r="G8" i="12"/>
  <c r="C43" i="12"/>
  <c r="G43" i="12"/>
  <c r="S43" i="12"/>
  <c r="D36" i="12"/>
  <c r="L36" i="12"/>
  <c r="P36" i="12"/>
  <c r="E8" i="12"/>
  <c r="B187" i="13"/>
  <c r="F187" i="13"/>
  <c r="D187" i="13"/>
  <c r="B183" i="13"/>
  <c r="F183" i="13"/>
  <c r="D183" i="13"/>
  <c r="B179" i="13"/>
  <c r="F179" i="13"/>
  <c r="D179" i="13"/>
  <c r="K72" i="12"/>
  <c r="G72" i="12"/>
  <c r="I64" i="12"/>
  <c r="C64" i="12"/>
  <c r="C63" i="12"/>
  <c r="G63" i="12"/>
  <c r="O63" i="12"/>
  <c r="D62" i="12"/>
  <c r="D56" i="12"/>
  <c r="N55" i="12"/>
  <c r="D55" i="12"/>
  <c r="B54" i="12"/>
  <c r="F54" i="12"/>
  <c r="N54" i="12"/>
  <c r="R54" i="12"/>
  <c r="C48" i="12"/>
  <c r="C47" i="12"/>
  <c r="G47" i="12"/>
  <c r="O47" i="12"/>
  <c r="D46" i="12"/>
  <c r="R44" i="12"/>
  <c r="G44" i="12"/>
  <c r="E43" i="12"/>
  <c r="D40" i="12"/>
  <c r="L40" i="12"/>
  <c r="P40" i="12"/>
  <c r="D39" i="12"/>
  <c r="B38" i="12"/>
  <c r="F38" i="12"/>
  <c r="O36" i="12"/>
  <c r="E36" i="12"/>
  <c r="E34" i="12"/>
  <c r="M30" i="12"/>
  <c r="E30" i="12"/>
  <c r="M26" i="12"/>
  <c r="E26" i="12"/>
  <c r="E22" i="12"/>
  <c r="M18" i="12"/>
  <c r="E18" i="12"/>
  <c r="E14" i="12"/>
  <c r="S12"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B28" i="12"/>
  <c r="F28" i="12"/>
  <c r="D28" i="12"/>
  <c r="B24" i="12"/>
  <c r="F24" i="12"/>
  <c r="R24" i="12"/>
  <c r="D24" i="12"/>
  <c r="B20" i="12"/>
  <c r="F20" i="12"/>
  <c r="D20" i="12"/>
  <c r="B16" i="12"/>
  <c r="F16" i="12"/>
  <c r="R16" i="12"/>
  <c r="D16" i="12"/>
  <c r="B12" i="12"/>
  <c r="F12" i="12"/>
  <c r="N12" i="12"/>
  <c r="R12" i="12"/>
  <c r="D12" i="12"/>
  <c r="B8" i="12"/>
  <c r="F8" i="12"/>
  <c r="D8" i="12"/>
  <c r="S35" i="12"/>
  <c r="O35" i="12"/>
  <c r="G35" i="12"/>
  <c r="G31" i="12"/>
  <c r="S27" i="12"/>
  <c r="G27" i="12"/>
  <c r="G23" i="12"/>
  <c r="G19" i="12"/>
  <c r="O15" i="12"/>
  <c r="G15"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G162" i="14" s="1"/>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G96" i="14" s="1"/>
  <c r="F96" i="14"/>
  <c r="D96" i="14"/>
  <c r="D90" i="14"/>
  <c r="B90" i="14"/>
  <c r="F90" i="14"/>
  <c r="E88" i="14"/>
  <c r="C82" i="14"/>
  <c r="D82" i="14"/>
  <c r="B82" i="14"/>
  <c r="G82" i="14" s="1"/>
  <c r="F82" i="14"/>
  <c r="B166" i="14"/>
  <c r="F166" i="14"/>
  <c r="D163"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G4" i="21" s="1"/>
  <c r="F32" i="14"/>
  <c r="D32" i="14"/>
  <c r="D26" i="14"/>
  <c r="B26" i="14"/>
  <c r="G26" i="14" s="1"/>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F4" i="21" s="1"/>
  <c r="B24" i="14"/>
  <c r="F24" i="14"/>
  <c r="D24" i="14"/>
  <c r="D20" i="14"/>
  <c r="F18" i="14"/>
  <c r="B18" i="14"/>
  <c r="G18" i="14" s="1"/>
  <c r="D16" i="14"/>
  <c r="F14" i="14"/>
  <c r="B14" i="14"/>
  <c r="G14" i="14" s="1"/>
  <c r="D12" i="14"/>
  <c r="F10" i="14"/>
  <c r="B10" i="14"/>
  <c r="D8" i="14"/>
  <c r="F20" i="14"/>
  <c r="D18" i="14"/>
  <c r="F16" i="14"/>
  <c r="D14" i="14"/>
  <c r="F12" i="14"/>
  <c r="D10" i="14"/>
  <c r="F8" i="14"/>
  <c r="M56" i="5" l="1"/>
  <c r="L32" i="12"/>
  <c r="S137" i="12"/>
  <c r="L110" i="12"/>
  <c r="O104" i="12"/>
  <c r="P102" i="12"/>
  <c r="S116" i="12"/>
  <c r="L98" i="12"/>
  <c r="N137" i="12"/>
  <c r="S155" i="12"/>
  <c r="H48" i="3"/>
  <c r="L109" i="12"/>
  <c r="O107" i="12"/>
  <c r="S150" i="12"/>
  <c r="Q124" i="12"/>
  <c r="S162" i="12"/>
  <c r="K111" i="12"/>
  <c r="R145" i="12"/>
  <c r="L108" i="5"/>
  <c r="O105" i="12"/>
  <c r="R100" i="12"/>
  <c r="L107" i="12"/>
  <c r="O153" i="12"/>
  <c r="P157" i="12"/>
  <c r="P123" i="12"/>
  <c r="L100" i="5"/>
  <c r="R131" i="12"/>
  <c r="O121" i="12"/>
  <c r="J111" i="12"/>
  <c r="R148" i="12"/>
  <c r="M173" i="12"/>
  <c r="O151" i="12"/>
  <c r="N160" i="12"/>
  <c r="E117" i="5"/>
  <c r="O135" i="12"/>
  <c r="M122" i="12"/>
  <c r="Q112" i="12"/>
  <c r="O109" i="12"/>
  <c r="L121" i="12"/>
  <c r="S124" i="12"/>
  <c r="L124" i="5"/>
  <c r="L146" i="5"/>
  <c r="R170" i="12"/>
  <c r="H111" i="12"/>
  <c r="E128" i="5"/>
  <c r="O117" i="12"/>
  <c r="L116" i="5"/>
  <c r="Q128" i="12"/>
  <c r="O157" i="12"/>
  <c r="R115" i="12"/>
  <c r="N152" i="12"/>
  <c r="E139" i="5"/>
  <c r="E115" i="5"/>
  <c r="O137" i="12"/>
  <c r="N126" i="12"/>
  <c r="P141" i="12"/>
  <c r="M153" i="12"/>
  <c r="M143" i="12"/>
  <c r="M157" i="12"/>
  <c r="S110" i="12"/>
  <c r="Q152" i="12"/>
  <c r="P125" i="12"/>
  <c r="Q109" i="12"/>
  <c r="N169" i="12"/>
  <c r="N128" i="12"/>
  <c r="S104" i="12"/>
  <c r="R119" i="12"/>
  <c r="Q140" i="12"/>
  <c r="L150" i="5"/>
  <c r="Q113" i="12"/>
  <c r="L113" i="5"/>
  <c r="M113" i="5" s="1"/>
  <c r="P145" i="12"/>
  <c r="L145" i="5"/>
  <c r="M145" i="5" s="1"/>
  <c r="N120" i="12"/>
  <c r="P139" i="12"/>
  <c r="R165" i="12"/>
  <c r="Q117" i="12"/>
  <c r="S114" i="12"/>
  <c r="L151" i="12"/>
  <c r="E119" i="5"/>
  <c r="S123" i="12"/>
  <c r="P155" i="12"/>
  <c r="L128" i="5"/>
  <c r="L137" i="12"/>
  <c r="S140" i="12"/>
  <c r="L140" i="5"/>
  <c r="S158" i="12"/>
  <c r="L129" i="5"/>
  <c r="M129" i="5" s="1"/>
  <c r="E124" i="5"/>
  <c r="Q123" i="12"/>
  <c r="N157" i="12"/>
  <c r="P153" i="12"/>
  <c r="Q104" i="12"/>
  <c r="O139" i="12"/>
  <c r="O116" i="12"/>
  <c r="O125" i="12"/>
  <c r="R149" i="12"/>
  <c r="L157" i="5"/>
  <c r="M157" i="5" s="1"/>
  <c r="M149" i="12"/>
  <c r="O163" i="12"/>
  <c r="Q135" i="12"/>
  <c r="N108" i="12"/>
  <c r="P128" i="12"/>
  <c r="O120" i="12"/>
  <c r="C11" i="28"/>
  <c r="B8" i="28"/>
  <c r="E232" i="2"/>
  <c r="K10" i="3"/>
  <c r="N182" i="12"/>
  <c r="M177" i="12"/>
  <c r="N174" i="12"/>
  <c r="N178" i="12"/>
  <c r="N185" i="12"/>
  <c r="N177" i="12"/>
  <c r="E29" i="3"/>
  <c r="N96" i="2"/>
  <c r="O96" i="2" s="1"/>
  <c r="G163" i="2"/>
  <c r="L146" i="7"/>
  <c r="F193" i="2"/>
  <c r="P165" i="5"/>
  <c r="P13" i="5"/>
  <c r="P37" i="5"/>
  <c r="P73" i="5"/>
  <c r="P71" i="12"/>
  <c r="S89" i="12"/>
  <c r="M97" i="5"/>
  <c r="S115" i="12"/>
  <c r="O132" i="12"/>
  <c r="L51" i="12"/>
  <c r="M20" i="12"/>
  <c r="L15" i="7"/>
  <c r="D117" i="7"/>
  <c r="C51" i="7"/>
  <c r="D91" i="7"/>
  <c r="J127" i="7"/>
  <c r="E15" i="7"/>
  <c r="L127" i="7"/>
  <c r="D51" i="7"/>
  <c r="C62" i="7"/>
  <c r="B188" i="7"/>
  <c r="H170" i="7"/>
  <c r="J49" i="2"/>
  <c r="K49" i="2" s="1"/>
  <c r="F89" i="2"/>
  <c r="N105" i="2"/>
  <c r="O105" i="2" s="1"/>
  <c r="P108" i="5"/>
  <c r="I15" i="7"/>
  <c r="O8" i="7"/>
  <c r="F51" i="7"/>
  <c r="D16" i="7"/>
  <c r="O24" i="7"/>
  <c r="N91" i="7"/>
  <c r="E60" i="7"/>
  <c r="C84" i="7"/>
  <c r="I118" i="7"/>
  <c r="I170" i="7"/>
  <c r="P36" i="5"/>
  <c r="M16" i="7"/>
  <c r="E52" i="7"/>
  <c r="M38" i="7"/>
  <c r="F38" i="7"/>
  <c r="H65" i="7"/>
  <c r="C65" i="7"/>
  <c r="I33" i="7"/>
  <c r="C8" i="7"/>
  <c r="N181" i="7"/>
  <c r="J69" i="7"/>
  <c r="J182" i="12"/>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K171" i="12"/>
  <c r="R123" i="12"/>
  <c r="S128" i="12"/>
  <c r="P159" i="12"/>
  <c r="K117" i="7"/>
  <c r="F69" i="7"/>
  <c r="H171" i="12"/>
  <c r="J86" i="5"/>
  <c r="K13" i="3"/>
  <c r="H74" i="3"/>
  <c r="K170" i="7"/>
  <c r="J170" i="12" s="1"/>
  <c r="G61" i="2"/>
  <c r="C24" i="7"/>
  <c r="J43" i="7"/>
  <c r="B91" i="7"/>
  <c r="G187" i="2"/>
  <c r="G123" i="14"/>
  <c r="E38" i="7"/>
  <c r="D52" i="7"/>
  <c r="I60" i="7"/>
  <c r="F62" i="7"/>
  <c r="J118" i="7"/>
  <c r="L52" i="7"/>
  <c r="H86" i="7"/>
  <c r="J169" i="7"/>
  <c r="G33" i="7"/>
  <c r="F127" i="7"/>
  <c r="E117" i="7"/>
  <c r="H170" i="12"/>
  <c r="S34" i="12"/>
  <c r="S152" i="12"/>
  <c r="O118" i="7"/>
  <c r="B69" i="7"/>
  <c r="H181" i="12"/>
  <c r="K78" i="7"/>
  <c r="H31" i="3"/>
  <c r="E74" i="3"/>
  <c r="G170" i="7"/>
  <c r="E25" i="3"/>
  <c r="F121" i="2"/>
  <c r="G167" i="14"/>
  <c r="P66" i="5"/>
  <c r="G52" i="7"/>
  <c r="K11" i="7"/>
  <c r="N60" i="7"/>
  <c r="K60" i="7"/>
  <c r="J60" i="12" s="1"/>
  <c r="N123" i="7"/>
  <c r="K129" i="3"/>
  <c r="N38" i="7"/>
  <c r="C52" i="7"/>
  <c r="C60" i="7"/>
  <c r="E62" i="7"/>
  <c r="E86" i="7"/>
  <c r="F167" i="7"/>
  <c r="I188" i="7"/>
  <c r="N136" i="2"/>
  <c r="O136" i="2" s="1"/>
  <c r="F86" i="7"/>
  <c r="M170" i="7"/>
  <c r="M52" i="7"/>
  <c r="K127" i="7"/>
  <c r="E33" i="7"/>
  <c r="L33" i="7"/>
  <c r="Q97" i="12"/>
  <c r="R69" i="12"/>
  <c r="R128" i="12"/>
  <c r="R152" i="12"/>
  <c r="R25" i="12"/>
  <c r="K15" i="7"/>
  <c r="O38" i="7"/>
  <c r="K118" i="7"/>
  <c r="H117" i="7"/>
  <c r="G188" i="7"/>
  <c r="C170" i="7"/>
  <c r="E27" i="3"/>
  <c r="K164" i="3"/>
  <c r="N85" i="2"/>
  <c r="O85" i="2" s="1"/>
  <c r="F106" i="2"/>
  <c r="P84" i="5"/>
  <c r="K52" i="7"/>
  <c r="C11" i="7"/>
  <c r="G60" i="7"/>
  <c r="N24" i="7"/>
  <c r="J60" i="7"/>
  <c r="D129" i="7"/>
  <c r="K56" i="3"/>
  <c r="E170" i="3"/>
  <c r="M67" i="5"/>
  <c r="I38" i="7"/>
  <c r="L65" i="7"/>
  <c r="O164" i="7"/>
  <c r="H38" i="7"/>
  <c r="J86" i="7"/>
  <c r="I169" i="7"/>
  <c r="C188" i="7"/>
  <c r="J68" i="2"/>
  <c r="K68" i="2" s="1"/>
  <c r="J177" i="2"/>
  <c r="K177" i="2" s="1"/>
  <c r="K65" i="7"/>
  <c r="M86" i="7"/>
  <c r="E170" i="7"/>
  <c r="F181" i="7"/>
  <c r="N39" i="12"/>
  <c r="M124" i="12"/>
  <c r="Q122" i="12"/>
  <c r="R34" i="12"/>
  <c r="N98" i="12"/>
  <c r="R75" i="12"/>
  <c r="M75" i="12"/>
  <c r="R116" i="12"/>
  <c r="M166" i="12"/>
  <c r="R72" i="12"/>
  <c r="M151" i="5"/>
  <c r="M89" i="12"/>
  <c r="C127" i="7"/>
  <c r="K38" i="7"/>
  <c r="D62" i="7"/>
  <c r="G118" i="7"/>
  <c r="H69" i="7"/>
  <c r="M117" i="7"/>
  <c r="O188" i="7"/>
  <c r="J110" i="5"/>
  <c r="L188" i="7"/>
  <c r="L178" i="7"/>
  <c r="N102" i="2"/>
  <c r="O102" i="2" s="1"/>
  <c r="O52" i="7"/>
  <c r="O11" i="7"/>
  <c r="O60" i="7"/>
  <c r="J24" i="7"/>
  <c r="F60" i="7"/>
  <c r="I24" i="7"/>
  <c r="I129" i="7"/>
  <c r="P99" i="5"/>
  <c r="D38" i="7"/>
  <c r="E65" i="7"/>
  <c r="L181" i="7"/>
  <c r="K181" i="12" s="1"/>
  <c r="N175" i="2"/>
  <c r="O175" i="2" s="1"/>
  <c r="B86" i="7"/>
  <c r="M181" i="7"/>
  <c r="E178" i="3"/>
  <c r="M65" i="7"/>
  <c r="D15" i="7"/>
  <c r="R98" i="12"/>
  <c r="I127" i="7"/>
  <c r="G38" i="7"/>
  <c r="I62" i="7"/>
  <c r="E69" i="7"/>
  <c r="C118" i="7"/>
  <c r="J63" i="12"/>
  <c r="N117" i="7"/>
  <c r="M69" i="7"/>
  <c r="K77" i="3"/>
  <c r="H188" i="7"/>
  <c r="N170" i="7"/>
  <c r="K188" i="7"/>
  <c r="F61" i="2"/>
  <c r="N169" i="2"/>
  <c r="O169" i="2" s="1"/>
  <c r="G157" i="14"/>
  <c r="F24" i="7"/>
  <c r="E181" i="7"/>
  <c r="M8" i="7"/>
  <c r="D65" i="7"/>
  <c r="E129" i="7"/>
  <c r="O51" i="7"/>
  <c r="D181" i="7"/>
  <c r="H33" i="7"/>
  <c r="D86" i="7"/>
  <c r="O117" i="7"/>
  <c r="D127" i="7"/>
  <c r="R126" i="12"/>
  <c r="R106" i="12"/>
  <c r="N15" i="7"/>
  <c r="D69" i="7"/>
  <c r="N127" i="7"/>
  <c r="N33" i="7"/>
  <c r="C38" i="7"/>
  <c r="N62" i="7"/>
  <c r="K69" i="7"/>
  <c r="G181" i="7"/>
  <c r="J117" i="7"/>
  <c r="G15" i="7"/>
  <c r="H95" i="3"/>
  <c r="D188" i="7"/>
  <c r="J170" i="7"/>
  <c r="E161" i="3"/>
  <c r="J113" i="2"/>
  <c r="K113" i="2" s="1"/>
  <c r="N176" i="2"/>
  <c r="O176" i="2" s="1"/>
  <c r="J75" i="2"/>
  <c r="K75" i="2" s="1"/>
  <c r="J123" i="2"/>
  <c r="K123" i="2" s="1"/>
  <c r="N130" i="2"/>
  <c r="O130" i="2" s="1"/>
  <c r="E233" i="2"/>
  <c r="O65" i="7"/>
  <c r="M11" i="7"/>
  <c r="B24" i="7"/>
  <c r="L60" i="7"/>
  <c r="K60" i="12" s="1"/>
  <c r="J99" i="7"/>
  <c r="J181" i="7"/>
  <c r="P143" i="5"/>
  <c r="I86" i="7"/>
  <c r="E51" i="7"/>
  <c r="H64" i="3"/>
  <c r="K28" i="3"/>
  <c r="I181" i="7"/>
  <c r="I180" i="12" s="1"/>
  <c r="M33" i="7"/>
  <c r="K129" i="7"/>
  <c r="E91" i="7"/>
  <c r="K33" i="7"/>
  <c r="J33" i="12" s="1"/>
  <c r="J91" i="7"/>
  <c r="P152" i="12"/>
  <c r="N51" i="7"/>
  <c r="Q103" i="12"/>
  <c r="J15" i="7"/>
  <c r="I69" i="7"/>
  <c r="J33" i="7"/>
  <c r="M55" i="7"/>
  <c r="K181" i="7"/>
  <c r="J181" i="12" s="1"/>
  <c r="F117" i="7"/>
  <c r="O15" i="7"/>
  <c r="O62" i="7"/>
  <c r="H172" i="12"/>
  <c r="J152" i="5"/>
  <c r="K162" i="3"/>
  <c r="N188" i="7"/>
  <c r="F170" i="7"/>
  <c r="H30" i="3"/>
  <c r="N45" i="2"/>
  <c r="O45" i="2" s="1"/>
  <c r="N117" i="2"/>
  <c r="O117" i="2" s="1"/>
  <c r="E11" i="7"/>
  <c r="L24" i="7"/>
  <c r="H60" i="7"/>
  <c r="K51" i="7"/>
  <c r="J51" i="12" s="1"/>
  <c r="B99" i="7"/>
  <c r="M143" i="5"/>
  <c r="N86" i="7"/>
  <c r="G51" i="7"/>
  <c r="B181" i="7"/>
  <c r="L38" i="7"/>
  <c r="G31" i="14"/>
  <c r="O91" i="7"/>
  <c r="M75" i="5"/>
  <c r="K69" i="12"/>
  <c r="M56" i="12"/>
  <c r="L55" i="12"/>
  <c r="F15" i="7"/>
  <c r="O69" i="7"/>
  <c r="F33" i="7"/>
  <c r="L91" i="7"/>
  <c r="L123" i="7"/>
  <c r="O181" i="7"/>
  <c r="B117" i="7"/>
  <c r="J89" i="7"/>
  <c r="G127" i="7"/>
  <c r="K172" i="12"/>
  <c r="K182" i="12"/>
  <c r="M84" i="5"/>
  <c r="E53" i="3"/>
  <c r="J188" i="7"/>
  <c r="N161" i="2"/>
  <c r="O161" i="2" s="1"/>
  <c r="D11" i="7"/>
  <c r="H24" i="7"/>
  <c r="C164" i="7"/>
  <c r="M24" i="7"/>
  <c r="H52" i="7"/>
  <c r="C181" i="7"/>
  <c r="H187" i="3"/>
  <c r="K136" i="3"/>
  <c r="E76" i="3"/>
  <c r="P10" i="12"/>
  <c r="S125" i="12"/>
  <c r="G40" i="2"/>
  <c r="N181" i="2"/>
  <c r="O181" i="2" s="1"/>
  <c r="J88" i="2"/>
  <c r="K88" i="2" s="1"/>
  <c r="D98" i="7"/>
  <c r="O132" i="7"/>
  <c r="B134" i="7"/>
  <c r="B144" i="7"/>
  <c r="K136" i="7"/>
  <c r="M136" i="7"/>
  <c r="G13" i="7"/>
  <c r="D136" i="7"/>
  <c r="E100" i="7"/>
  <c r="P101" i="5"/>
  <c r="C96" i="7"/>
  <c r="B100" i="7"/>
  <c r="G136" i="7"/>
  <c r="H96" i="7"/>
  <c r="M96" i="7"/>
  <c r="E183" i="3"/>
  <c r="O96" i="7"/>
  <c r="J95" i="12"/>
  <c r="R125" i="12"/>
  <c r="H68" i="3"/>
  <c r="G122" i="2"/>
  <c r="H100" i="7"/>
  <c r="F98" i="7"/>
  <c r="E132" i="7"/>
  <c r="B136" i="7"/>
  <c r="K132" i="7"/>
  <c r="L144" i="7"/>
  <c r="E13" i="7"/>
  <c r="N136" i="7"/>
  <c r="N92" i="2"/>
  <c r="O92" i="2" s="1"/>
  <c r="J100" i="7"/>
  <c r="M188" i="7"/>
  <c r="P69" i="5"/>
  <c r="L96" i="7"/>
  <c r="K100" i="7"/>
  <c r="D100" i="7"/>
  <c r="K171" i="3"/>
  <c r="L90" i="7"/>
  <c r="K90" i="12" s="1"/>
  <c r="G100" i="7"/>
  <c r="M100" i="7"/>
  <c r="P131" i="5"/>
  <c r="L100" i="7"/>
  <c r="J35" i="7"/>
  <c r="C107" i="7"/>
  <c r="D132" i="7"/>
  <c r="J136" i="7"/>
  <c r="L121" i="7"/>
  <c r="I136" i="7"/>
  <c r="P42" i="5"/>
  <c r="O100" i="7"/>
  <c r="D96" i="7"/>
  <c r="C100" i="7"/>
  <c r="L113" i="7"/>
  <c r="N100" i="7"/>
  <c r="C25" i="7"/>
  <c r="N24" i="12"/>
  <c r="S28" i="12"/>
  <c r="N110" i="12"/>
  <c r="P63" i="12"/>
  <c r="Q157" i="12"/>
  <c r="M128" i="12"/>
  <c r="L43" i="7"/>
  <c r="H123" i="7"/>
  <c r="G78" i="7"/>
  <c r="F89" i="7"/>
  <c r="H178" i="7"/>
  <c r="G137" i="2"/>
  <c r="F134" i="2"/>
  <c r="O16" i="7"/>
  <c r="E43" i="7"/>
  <c r="K55" i="7"/>
  <c r="E16" i="7"/>
  <c r="C121" i="7"/>
  <c r="C89" i="7"/>
  <c r="E89" i="7"/>
  <c r="F123" i="7"/>
  <c r="M77" i="5"/>
  <c r="H43" i="7"/>
  <c r="G87" i="7"/>
  <c r="D123" i="7"/>
  <c r="C78" i="7"/>
  <c r="B89" i="7"/>
  <c r="N121" i="7"/>
  <c r="D178" i="7"/>
  <c r="K16" i="7"/>
  <c r="M43" i="7"/>
  <c r="F78" i="7"/>
  <c r="H121" i="7"/>
  <c r="K87" i="7"/>
  <c r="M178" i="7"/>
  <c r="M121" i="7"/>
  <c r="L89" i="7"/>
  <c r="O123" i="7"/>
  <c r="S131" i="12"/>
  <c r="Q93" i="12"/>
  <c r="N122" i="12"/>
  <c r="D43" i="7"/>
  <c r="M87" i="7"/>
  <c r="I126" i="7"/>
  <c r="N133" i="7"/>
  <c r="J121" i="7"/>
  <c r="O178" i="7"/>
  <c r="E133" i="3"/>
  <c r="K148" i="3"/>
  <c r="J122" i="2"/>
  <c r="K122" i="2" s="1"/>
  <c r="G16" i="7"/>
  <c r="G43" i="7"/>
  <c r="M78" i="7"/>
  <c r="G123" i="7"/>
  <c r="I87" i="7"/>
  <c r="I178" i="7"/>
  <c r="I178" i="12" s="1"/>
  <c r="I43" i="7"/>
  <c r="E123" i="7"/>
  <c r="P97" i="5"/>
  <c r="N66" i="2"/>
  <c r="O66" i="2" s="1"/>
  <c r="C16" i="7"/>
  <c r="B43" i="7"/>
  <c r="B78" i="7"/>
  <c r="M123" i="7"/>
  <c r="N87" i="7"/>
  <c r="E178" i="7"/>
  <c r="F43" i="7"/>
  <c r="M89" i="7"/>
  <c r="B123" i="7"/>
  <c r="H89" i="7"/>
  <c r="G66" i="14"/>
  <c r="R28" i="12"/>
  <c r="L56" i="12"/>
  <c r="L123" i="12"/>
  <c r="H55" i="7"/>
  <c r="D133" i="7"/>
  <c r="I89" i="7"/>
  <c r="I89" i="12" s="1"/>
  <c r="F133" i="7"/>
  <c r="B121" i="7"/>
  <c r="G178" i="7"/>
  <c r="K149" i="3"/>
  <c r="J39" i="2"/>
  <c r="K39" i="2" s="1"/>
  <c r="N65" i="2"/>
  <c r="O65" i="2" s="1"/>
  <c r="H78" i="7"/>
  <c r="H78" i="12" s="1"/>
  <c r="C87" i="7"/>
  <c r="C43" i="7"/>
  <c r="E126" i="7"/>
  <c r="K89" i="7"/>
  <c r="D89" i="7"/>
  <c r="J133" i="7"/>
  <c r="F121" i="7"/>
  <c r="K178" i="7"/>
  <c r="P35" i="12"/>
  <c r="S122" i="12"/>
  <c r="D55" i="7"/>
  <c r="I133" i="7"/>
  <c r="I133" i="12" s="1"/>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E78" i="7"/>
  <c r="G191" i="2"/>
  <c r="G133" i="7"/>
  <c r="K123" i="7"/>
  <c r="L55" i="7"/>
  <c r="N20" i="12"/>
  <c r="P168" i="12"/>
  <c r="Q143" i="12"/>
  <c r="I78" i="7"/>
  <c r="I78" i="12" s="1"/>
  <c r="E133" i="7"/>
  <c r="J55" i="7"/>
  <c r="E87" i="7"/>
  <c r="J128" i="5"/>
  <c r="N178" i="7"/>
  <c r="F16" i="7"/>
  <c r="N55" i="7"/>
  <c r="N170" i="12"/>
  <c r="L168" i="12"/>
  <c r="Q107" i="12"/>
  <c r="N78" i="7"/>
  <c r="D121" i="7"/>
  <c r="K133" i="7"/>
  <c r="O55" i="7"/>
  <c r="J87" i="7"/>
  <c r="H133" i="7"/>
  <c r="J140" i="5"/>
  <c r="J178" i="7"/>
  <c r="F81" i="2"/>
  <c r="B16" i="7"/>
  <c r="C55" i="7"/>
  <c r="K121" i="7"/>
  <c r="S113" i="12"/>
  <c r="R124" i="12"/>
  <c r="L87" i="7"/>
  <c r="I121" i="7"/>
  <c r="O87" i="7"/>
  <c r="M133" i="7"/>
  <c r="F178" i="7"/>
  <c r="J174" i="2"/>
  <c r="K174" i="2" s="1"/>
  <c r="L16" i="7"/>
  <c r="I55" i="7"/>
  <c r="C123" i="7"/>
  <c r="L133" i="7"/>
  <c r="M186" i="7"/>
  <c r="N124" i="12"/>
  <c r="H87" i="7"/>
  <c r="G55" i="7"/>
  <c r="O121" i="7"/>
  <c r="O78" i="7"/>
  <c r="N89" i="7"/>
  <c r="G81" i="2"/>
  <c r="F137" i="2"/>
  <c r="G134" i="2"/>
  <c r="B55" i="7"/>
  <c r="O43" i="7"/>
  <c r="N43" i="7"/>
  <c r="I123" i="7"/>
  <c r="G21" i="7"/>
  <c r="S11" i="12"/>
  <c r="F123" i="5"/>
  <c r="G123" i="5" s="1"/>
  <c r="O168" i="12"/>
  <c r="N90" i="12"/>
  <c r="M134" i="12"/>
  <c r="L116" i="12"/>
  <c r="E97" i="5"/>
  <c r="N98" i="7"/>
  <c r="M49" i="7"/>
  <c r="D163" i="7"/>
  <c r="H97" i="7"/>
  <c r="H97" i="12" s="1"/>
  <c r="J180" i="12"/>
  <c r="L97" i="7"/>
  <c r="K97" i="12" s="1"/>
  <c r="N106" i="12"/>
  <c r="H121" i="3"/>
  <c r="H49" i="7"/>
  <c r="H49" i="12" s="1"/>
  <c r="G49" i="7"/>
  <c r="O163" i="7"/>
  <c r="O175" i="7"/>
  <c r="P81" i="5"/>
  <c r="G116" i="7"/>
  <c r="P107" i="12"/>
  <c r="L111" i="12"/>
  <c r="O97" i="7"/>
  <c r="C49" i="7"/>
  <c r="K163" i="7"/>
  <c r="I181" i="12"/>
  <c r="E182" i="7"/>
  <c r="L109" i="7"/>
  <c r="J175" i="7"/>
  <c r="F111" i="7"/>
  <c r="P80" i="5"/>
  <c r="G37" i="7"/>
  <c r="I97" i="7"/>
  <c r="D177" i="7"/>
  <c r="G163" i="7"/>
  <c r="I182" i="7"/>
  <c r="E175" i="7"/>
  <c r="K97" i="7"/>
  <c r="J97" i="12" s="1"/>
  <c r="G175" i="7"/>
  <c r="I116" i="7"/>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J49" i="12" s="1"/>
  <c r="M57" i="7"/>
  <c r="L37" i="7"/>
  <c r="F175" i="7"/>
  <c r="F154" i="7"/>
  <c r="F116" i="7"/>
  <c r="M171" i="12"/>
  <c r="M39" i="5"/>
  <c r="L57" i="7"/>
  <c r="K57" i="12" s="1"/>
  <c r="E163" i="7"/>
  <c r="I37" i="7"/>
  <c r="G109" i="7"/>
  <c r="L118" i="7"/>
  <c r="K118" i="12" s="1"/>
  <c r="M175" i="7"/>
  <c r="F177" i="7"/>
  <c r="S167" i="12"/>
  <c r="J162" i="5"/>
  <c r="N49" i="2"/>
  <c r="O49" i="2" s="1"/>
  <c r="P104" i="5"/>
  <c r="E57" i="7"/>
  <c r="O49" i="7"/>
  <c r="H175" i="7"/>
  <c r="H175" i="12" s="1"/>
  <c r="M163" i="7"/>
  <c r="D37" i="7"/>
  <c r="I163" i="7"/>
  <c r="O109" i="7"/>
  <c r="K175" i="7"/>
  <c r="B175" i="7"/>
  <c r="C97" i="7"/>
  <c r="L20" i="12"/>
  <c r="J31" i="5"/>
  <c r="F69" i="2"/>
  <c r="I170" i="12"/>
  <c r="K57" i="7"/>
  <c r="J57" i="12" s="1"/>
  <c r="I49" i="7"/>
  <c r="L175" i="7"/>
  <c r="F163" i="7"/>
  <c r="L163" i="7"/>
  <c r="C37" i="7"/>
  <c r="L177" i="7"/>
  <c r="E97" i="7"/>
  <c r="D13" i="28"/>
  <c r="D12" i="28"/>
  <c r="G153" i="2"/>
  <c r="E158" i="3"/>
  <c r="F179" i="2"/>
  <c r="K53" i="3"/>
  <c r="E142" i="3"/>
  <c r="F153" i="2"/>
  <c r="S85" i="12"/>
  <c r="J153" i="2"/>
  <c r="K153" i="2" s="1"/>
  <c r="P155" i="5"/>
  <c r="B10" i="28"/>
  <c r="J171" i="2"/>
  <c r="K171" i="2" s="1"/>
  <c r="D10" i="28"/>
  <c r="E234" i="2"/>
  <c r="D11" i="28"/>
  <c r="I171" i="12"/>
  <c r="P151" i="5"/>
  <c r="G74" i="2"/>
  <c r="N75" i="12"/>
  <c r="M158" i="12"/>
  <c r="J66" i="5"/>
  <c r="K170" i="3"/>
  <c r="K172" i="3"/>
  <c r="B82" i="7"/>
  <c r="C179" i="7"/>
  <c r="B10" i="7"/>
  <c r="N26" i="7"/>
  <c r="E10" i="7"/>
  <c r="J58" i="12"/>
  <c r="L90" i="12"/>
  <c r="S141" i="12"/>
  <c r="O161" i="7"/>
  <c r="K26" i="7"/>
  <c r="I179" i="12"/>
  <c r="H131" i="7"/>
  <c r="H131" i="12" s="1"/>
  <c r="J74" i="2"/>
  <c r="K74" i="2" s="1"/>
  <c r="P68" i="5"/>
  <c r="N70" i="7"/>
  <c r="N179" i="7"/>
  <c r="E131" i="7"/>
  <c r="F161" i="7"/>
  <c r="F131" i="7"/>
  <c r="H10" i="7"/>
  <c r="H161" i="7"/>
  <c r="H161" i="12" s="1"/>
  <c r="J10" i="7"/>
  <c r="Q149" i="12"/>
  <c r="G26" i="7"/>
  <c r="M118" i="5"/>
  <c r="D131" i="7"/>
  <c r="I70" i="7"/>
  <c r="E161" i="7"/>
  <c r="J179" i="7"/>
  <c r="H44" i="3"/>
  <c r="K131" i="7"/>
  <c r="M161" i="7"/>
  <c r="M131" i="7"/>
  <c r="M10" i="7"/>
  <c r="C161" i="7"/>
  <c r="O131" i="7"/>
  <c r="K116" i="7"/>
  <c r="C26" i="7"/>
  <c r="G18" i="2"/>
  <c r="J83" i="2"/>
  <c r="K83" i="2" s="1"/>
  <c r="D70" i="7"/>
  <c r="J161" i="7"/>
  <c r="F179" i="7"/>
  <c r="I26" i="7"/>
  <c r="J70" i="7"/>
  <c r="E165" i="7"/>
  <c r="L26" i="7"/>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J69" i="12"/>
  <c r="I131" i="7"/>
  <c r="I131" i="12" s="1"/>
  <c r="O165" i="7"/>
  <c r="M16" i="5"/>
  <c r="E82" i="7"/>
  <c r="F73" i="2"/>
  <c r="P92" i="5"/>
  <c r="H165" i="7"/>
  <c r="D165" i="7"/>
  <c r="H179" i="7"/>
  <c r="H179" i="12" s="1"/>
  <c r="D26" i="7"/>
  <c r="D161" i="7"/>
  <c r="M70" i="7"/>
  <c r="F10" i="7"/>
  <c r="C116" i="7"/>
  <c r="L8" i="12"/>
  <c r="R169" i="12"/>
  <c r="N35" i="12"/>
  <c r="O70" i="7"/>
  <c r="J83" i="12"/>
  <c r="J82" i="7"/>
  <c r="N34" i="2"/>
  <c r="O34" i="2" s="1"/>
  <c r="F26" i="7"/>
  <c r="L82" i="7"/>
  <c r="K82" i="12" s="1"/>
  <c r="M165" i="7"/>
  <c r="I165" i="7"/>
  <c r="D179" i="7"/>
  <c r="F32" i="2"/>
  <c r="F165" i="7"/>
  <c r="L165" i="7"/>
  <c r="K165" i="12" s="1"/>
  <c r="O116" i="7"/>
  <c r="L130" i="12"/>
  <c r="R141" i="12"/>
  <c r="M150" i="12"/>
  <c r="K70" i="7"/>
  <c r="J70" i="12" s="1"/>
  <c r="K83" i="12"/>
  <c r="K79" i="3"/>
  <c r="E188" i="3"/>
  <c r="I82" i="7"/>
  <c r="I82" i="12" s="1"/>
  <c r="O179" i="7"/>
  <c r="D10" i="7"/>
  <c r="H70" i="7"/>
  <c r="M34" i="12"/>
  <c r="G70" i="7"/>
  <c r="H83" i="12"/>
  <c r="H164" i="12"/>
  <c r="F18" i="2"/>
  <c r="F98" i="2"/>
  <c r="N82" i="7"/>
  <c r="M150" i="7"/>
  <c r="I10" i="7"/>
  <c r="B116" i="7"/>
  <c r="L70" i="7"/>
  <c r="G19" i="14"/>
  <c r="H22" i="12"/>
  <c r="H135" i="3"/>
  <c r="H52" i="3"/>
  <c r="J116" i="7"/>
  <c r="M160" i="5"/>
  <c r="K40" i="3"/>
  <c r="H131" i="3"/>
  <c r="H96" i="3"/>
  <c r="K119" i="3"/>
  <c r="P79" i="5"/>
  <c r="P123" i="5"/>
  <c r="K32" i="3"/>
  <c r="H112" i="3"/>
  <c r="L64" i="12"/>
  <c r="D47" i="7"/>
  <c r="N73" i="2"/>
  <c r="O73" i="2" s="1"/>
  <c r="G152" i="2"/>
  <c r="O156" i="7"/>
  <c r="D187" i="7"/>
  <c r="J187" i="7"/>
  <c r="I47" i="7"/>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M124" i="5"/>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H125" i="7"/>
  <c r="H125" i="12" s="1"/>
  <c r="B125" i="7"/>
  <c r="E125" i="7"/>
  <c r="F125" i="7"/>
  <c r="J125" i="7"/>
  <c r="O125" i="7"/>
  <c r="N125" i="7"/>
  <c r="D125" i="7"/>
  <c r="G125" i="7"/>
  <c r="B122" i="7"/>
  <c r="L122" i="7"/>
  <c r="K122" i="12" s="1"/>
  <c r="O122" i="7"/>
  <c r="M122" i="7"/>
  <c r="H122" i="7"/>
  <c r="J122" i="7"/>
  <c r="N122" i="7"/>
  <c r="E122" i="7"/>
  <c r="I122" i="7"/>
  <c r="F122" i="7"/>
  <c r="G122" i="7"/>
  <c r="B48" i="7"/>
  <c r="H72" i="3"/>
  <c r="D102" i="7"/>
  <c r="I102" i="7"/>
  <c r="I102" i="12" s="1"/>
  <c r="N102" i="7"/>
  <c r="L102" i="7"/>
  <c r="K102" i="12" s="1"/>
  <c r="F102" i="7"/>
  <c r="M102" i="7"/>
  <c r="C102" i="7"/>
  <c r="G102" i="7"/>
  <c r="K102" i="7"/>
  <c r="O102" i="7"/>
  <c r="G137" i="7"/>
  <c r="O137" i="7"/>
  <c r="K113" i="12"/>
  <c r="E137" i="7"/>
  <c r="I157" i="12"/>
  <c r="I137" i="7"/>
  <c r="I137" i="12" s="1"/>
  <c r="K154" i="12"/>
  <c r="K163" i="12"/>
  <c r="D137" i="7"/>
  <c r="H162" i="12"/>
  <c r="M137" i="7"/>
  <c r="K112" i="12"/>
  <c r="H154" i="12"/>
  <c r="C137" i="7"/>
  <c r="H112" i="12"/>
  <c r="H132" i="12"/>
  <c r="H137" i="7"/>
  <c r="H137" i="12" s="1"/>
  <c r="J162" i="12"/>
  <c r="H144" i="12"/>
  <c r="K162" i="12"/>
  <c r="I158" i="12"/>
  <c r="K133"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H56" i="7"/>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E48" i="7"/>
  <c r="O48" i="7"/>
  <c r="I48" i="7"/>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89" i="12"/>
  <c r="K93" i="12"/>
  <c r="L11" i="12"/>
  <c r="Q151" i="12"/>
  <c r="I69" i="12"/>
  <c r="H50" i="7"/>
  <c r="I62" i="12"/>
  <c r="N99" i="7"/>
  <c r="E106" i="7"/>
  <c r="J45" i="5"/>
  <c r="H95" i="12"/>
  <c r="J89" i="12"/>
  <c r="H89" i="12"/>
  <c r="B73" i="7"/>
  <c r="L99" i="7"/>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H160" i="12"/>
  <c r="K31" i="3"/>
  <c r="K150" i="3"/>
  <c r="H81" i="12"/>
  <c r="H92" i="12"/>
  <c r="H90" i="12"/>
  <c r="H94" i="12"/>
  <c r="M116" i="12"/>
  <c r="Q57" i="12"/>
  <c r="S149" i="12"/>
  <c r="K50" i="7"/>
  <c r="J50" i="12" s="1"/>
  <c r="N61" i="7"/>
  <c r="K146" i="7"/>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K70" i="12"/>
  <c r="H69" i="12"/>
  <c r="J77" i="12"/>
  <c r="M76" i="5"/>
  <c r="J118" i="5"/>
  <c r="K45" i="3"/>
  <c r="H138" i="3"/>
  <c r="H154" i="3"/>
  <c r="G93" i="2"/>
  <c r="J84" i="7"/>
  <c r="D80" i="7"/>
  <c r="O99" i="7"/>
  <c r="N132" i="2"/>
  <c r="O132" i="2" s="1"/>
  <c r="E32" i="3"/>
  <c r="H169" i="7"/>
  <c r="H169" i="12" s="1"/>
  <c r="B84" i="7"/>
  <c r="M99" i="7"/>
  <c r="I61" i="7"/>
  <c r="I61" i="12" s="1"/>
  <c r="L61" i="7"/>
  <c r="K61" i="12" s="1"/>
  <c r="L169" i="7"/>
  <c r="M73" i="7"/>
  <c r="P94" i="5"/>
  <c r="K88" i="12"/>
  <c r="N8" i="12"/>
  <c r="R14" i="12"/>
  <c r="M59" i="12"/>
  <c r="H96" i="12"/>
  <c r="C50" i="7"/>
  <c r="F61" i="7"/>
  <c r="C146" i="7"/>
  <c r="K91" i="12"/>
  <c r="F129" i="7"/>
  <c r="H146" i="7"/>
  <c r="J176" i="7"/>
  <c r="J30" i="5"/>
  <c r="H79" i="12"/>
  <c r="H72" i="12"/>
  <c r="I70"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78" i="12"/>
  <c r="J102" i="5"/>
  <c r="F25" i="2"/>
  <c r="F105" i="2"/>
  <c r="J138" i="2"/>
  <c r="K138" i="2" s="1"/>
  <c r="D50" i="7"/>
  <c r="I80" i="7"/>
  <c r="I80" i="12" s="1"/>
  <c r="H129" i="7"/>
  <c r="H129" i="12" s="1"/>
  <c r="K99" i="7"/>
  <c r="G44" i="2"/>
  <c r="H68" i="7"/>
  <c r="I167" i="7"/>
  <c r="I166" i="12" s="1"/>
  <c r="C169" i="7"/>
  <c r="N108" i="2"/>
  <c r="O108" i="2" s="1"/>
  <c r="F8" i="7"/>
  <c r="B146" i="7"/>
  <c r="I176" i="7"/>
  <c r="I175" i="12" s="1"/>
  <c r="N84" i="7"/>
  <c r="K173" i="3"/>
  <c r="G100" i="14"/>
  <c r="G132" i="14"/>
  <c r="K63" i="12"/>
  <c r="J62" i="12"/>
  <c r="J67" i="12"/>
  <c r="J94" i="12"/>
  <c r="H77" i="12"/>
  <c r="H60" i="12"/>
  <c r="K175" i="12"/>
  <c r="M89" i="5"/>
  <c r="L181" i="12"/>
  <c r="K87" i="12"/>
  <c r="I106" i="7"/>
  <c r="H151" i="12"/>
  <c r="H59" i="12"/>
  <c r="J91" i="12"/>
  <c r="G169" i="7"/>
  <c r="K106" i="7"/>
  <c r="J106" i="12" s="1"/>
  <c r="I91" i="12"/>
  <c r="I93" i="12"/>
  <c r="H142" i="3"/>
  <c r="H158" i="3"/>
  <c r="H174" i="3"/>
  <c r="H46" i="3"/>
  <c r="J69" i="2"/>
  <c r="K69" i="2" s="1"/>
  <c r="J117" i="2"/>
  <c r="K117" i="2" s="1"/>
  <c r="P102" i="5"/>
  <c r="I50" i="7"/>
  <c r="I50" i="12" s="1"/>
  <c r="C80" i="7"/>
  <c r="M129" i="7"/>
  <c r="C176" i="7"/>
  <c r="P75" i="5"/>
  <c r="L68" i="7"/>
  <c r="K68" i="12" s="1"/>
  <c r="J167" i="7"/>
  <c r="C167" i="7"/>
  <c r="O167" i="7"/>
  <c r="K163" i="3"/>
  <c r="M68" i="7"/>
  <c r="L8" i="7"/>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K80" i="12"/>
  <c r="M104" i="12"/>
  <c r="K96" i="12"/>
  <c r="O81" i="12"/>
  <c r="H61" i="7"/>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H165" i="12"/>
  <c r="K92" i="12"/>
  <c r="J88" i="12"/>
  <c r="J92" i="12"/>
  <c r="R79" i="12"/>
  <c r="H88" i="12"/>
  <c r="K100" i="12"/>
  <c r="M61" i="7"/>
  <c r="I67" i="12"/>
  <c r="O73" i="7"/>
  <c r="D126" i="7"/>
  <c r="J43" i="5"/>
  <c r="I92" i="12"/>
  <c r="H70" i="12"/>
  <c r="J73" i="7"/>
  <c r="D176" i="7"/>
  <c r="J126" i="5"/>
  <c r="E11" i="5"/>
  <c r="F11" i="5" s="1"/>
  <c r="G11" i="5" s="1"/>
  <c r="K94" i="3"/>
  <c r="G21" i="14"/>
  <c r="P146" i="5"/>
  <c r="B80" i="7"/>
  <c r="F163" i="2"/>
  <c r="G57" i="14"/>
  <c r="H8" i="7"/>
  <c r="H8" i="12" s="1"/>
  <c r="B68" i="7"/>
  <c r="M126" i="7"/>
  <c r="K68" i="7"/>
  <c r="J68" i="12" s="1"/>
  <c r="B167" i="7"/>
  <c r="D8" i="7"/>
  <c r="K167" i="7"/>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152" i="5"/>
  <c r="M72" i="5"/>
  <c r="J120" i="5"/>
  <c r="E118" i="5"/>
  <c r="F137" i="5"/>
  <c r="G137" i="5" s="1"/>
  <c r="H18" i="3"/>
  <c r="P63" i="5"/>
  <c r="E171" i="3"/>
  <c r="J132" i="5"/>
  <c r="J144" i="5"/>
  <c r="H183" i="3"/>
  <c r="K117" i="3"/>
  <c r="K55" i="12"/>
  <c r="G15" i="14"/>
  <c r="J35" i="5"/>
  <c r="K179" i="3"/>
  <c r="G90" i="14"/>
  <c r="P27" i="5"/>
  <c r="K131" i="3"/>
  <c r="E119" i="3"/>
  <c r="J90" i="5"/>
  <c r="H111" i="3"/>
  <c r="K37" i="3"/>
  <c r="E70" i="3"/>
  <c r="H93" i="3"/>
  <c r="E88" i="3"/>
  <c r="E98" i="5"/>
  <c r="F98" i="5" s="1"/>
  <c r="G98" i="5" s="1"/>
  <c r="M12" i="5"/>
  <c r="K16" i="3"/>
  <c r="H139" i="3"/>
  <c r="F71" i="5"/>
  <c r="G71" i="5" s="1"/>
  <c r="K52" i="3"/>
  <c r="K159" i="3"/>
  <c r="H20" i="12"/>
  <c r="I55" i="12"/>
  <c r="H18" i="12"/>
  <c r="N46" i="12"/>
  <c r="I51"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B85" i="7"/>
  <c r="J124" i="5"/>
  <c r="J129" i="5"/>
  <c r="F90" i="2"/>
  <c r="D120" i="7"/>
  <c r="K108" i="3"/>
  <c r="J20" i="2"/>
  <c r="K20" i="2" s="1"/>
  <c r="L156" i="7"/>
  <c r="K156" i="12" s="1"/>
  <c r="M156" i="7"/>
  <c r="J20" i="12"/>
  <c r="I48" i="12"/>
  <c r="P14" i="12"/>
  <c r="J26" i="12"/>
  <c r="P99" i="12"/>
  <c r="I85" i="7"/>
  <c r="I85" i="12" s="1"/>
  <c r="H86" i="3"/>
  <c r="B2" i="28"/>
  <c r="J35" i="2"/>
  <c r="K35" i="2" s="1"/>
  <c r="N108" i="7"/>
  <c r="I120" i="7"/>
  <c r="L85" i="7"/>
  <c r="K85" i="12" s="1"/>
  <c r="H50" i="12"/>
  <c r="H16" i="12"/>
  <c r="J8" i="12"/>
  <c r="J52" i="12"/>
  <c r="J86" i="12"/>
  <c r="H51" i="12"/>
  <c r="P140" i="12"/>
  <c r="M85" i="5"/>
  <c r="R107" i="12"/>
  <c r="S161" i="12"/>
  <c r="N63" i="12"/>
  <c r="O85" i="7"/>
  <c r="K86" i="12"/>
  <c r="H85" i="3"/>
  <c r="H70" i="3"/>
  <c r="N53" i="2"/>
  <c r="O53" i="2" s="1"/>
  <c r="P82" i="5"/>
  <c r="I108" i="7"/>
  <c r="O120" i="7"/>
  <c r="E179" i="3"/>
  <c r="I156" i="7"/>
  <c r="I156" i="12" s="1"/>
  <c r="L120" i="7"/>
  <c r="K120" i="12" s="1"/>
  <c r="K31" i="12"/>
  <c r="K24" i="12"/>
  <c r="H14" i="12"/>
  <c r="J22" i="12"/>
  <c r="H86" i="12"/>
  <c r="R120" i="12"/>
  <c r="H118" i="12"/>
  <c r="R31" i="12"/>
  <c r="R63" i="12"/>
  <c r="Q72" i="12"/>
  <c r="R161" i="12"/>
  <c r="J136" i="5"/>
  <c r="H62" i="3"/>
  <c r="J53" i="2"/>
  <c r="K53" i="2" s="1"/>
  <c r="C108" i="7"/>
  <c r="B156" i="7"/>
  <c r="G120" i="7"/>
  <c r="K19" i="12"/>
  <c r="H24" i="12"/>
  <c r="H26" i="12"/>
  <c r="N129" i="12"/>
  <c r="I86" i="12"/>
  <c r="E26" i="3"/>
  <c r="N22" i="2"/>
  <c r="O22" i="2" s="1"/>
  <c r="G37" i="2"/>
  <c r="L76" i="7"/>
  <c r="K76" i="12" s="1"/>
  <c r="L108" i="7"/>
  <c r="K108" i="12" s="1"/>
  <c r="J108" i="7"/>
  <c r="E108" i="7"/>
  <c r="E120" i="7"/>
  <c r="G71" i="14"/>
  <c r="K75" i="7"/>
  <c r="J75" i="12" s="1"/>
  <c r="I75" i="7"/>
  <c r="I75" i="12" s="1"/>
  <c r="C120" i="7"/>
  <c r="K7" i="12"/>
  <c r="J16" i="12"/>
  <c r="K12" i="12"/>
  <c r="J54" i="12"/>
  <c r="O76" i="12"/>
  <c r="J120" i="12"/>
  <c r="J118" i="12"/>
  <c r="M43" i="5"/>
  <c r="E85" i="7"/>
  <c r="F142" i="2"/>
  <c r="O75" i="7"/>
  <c r="H76" i="7"/>
  <c r="H76" i="12" s="1"/>
  <c r="H108" i="7"/>
  <c r="F156" i="7"/>
  <c r="K108" i="7"/>
  <c r="C156" i="7"/>
  <c r="B76" i="7"/>
  <c r="G108" i="7"/>
  <c r="G75" i="7"/>
  <c r="O108" i="7"/>
  <c r="H52" i="12"/>
  <c r="K51" i="12"/>
  <c r="R60" i="12"/>
  <c r="S52"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L101" i="5"/>
  <c r="M101" i="5" s="1"/>
  <c r="L107" i="5"/>
  <c r="M107" i="5" s="1"/>
  <c r="L105" i="5"/>
  <c r="M105" i="5" s="1"/>
  <c r="L111" i="5"/>
  <c r="M111" i="5" s="1"/>
  <c r="L65" i="5"/>
  <c r="L70" i="5"/>
  <c r="M70" i="5" s="1"/>
  <c r="N15" i="12"/>
  <c r="N17" i="12"/>
  <c r="O42" i="12"/>
  <c r="O45" i="12"/>
  <c r="Q45" i="12"/>
  <c r="M48" i="12"/>
  <c r="L82" i="5"/>
  <c r="L87" i="5"/>
  <c r="M87" i="5" s="1"/>
  <c r="L98" i="5"/>
  <c r="M98" i="5" s="1"/>
  <c r="L104" i="5"/>
  <c r="M104" i="5" s="1"/>
  <c r="N117" i="12"/>
  <c r="N123" i="12"/>
  <c r="L156" i="12"/>
  <c r="L159" i="5"/>
  <c r="M159" i="5" s="1"/>
  <c r="D233" i="2"/>
  <c r="O164" i="12"/>
  <c r="N171" i="12"/>
  <c r="L176" i="12"/>
  <c r="L185" i="12"/>
  <c r="B231" i="2"/>
  <c r="P142" i="12"/>
  <c r="L149" i="12"/>
  <c r="O24" i="12"/>
  <c r="O26" i="12"/>
  <c r="L11" i="5"/>
  <c r="L13" i="5"/>
  <c r="M13" i="5" s="1"/>
  <c r="L18" i="5"/>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L93" i="5"/>
  <c r="M93" i="5" s="1"/>
  <c r="L99" i="5"/>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J87" i="12"/>
  <c r="L131" i="5"/>
  <c r="M131" i="5" s="1"/>
  <c r="E45" i="5"/>
  <c r="F45" i="5" s="1"/>
  <c r="G45" i="5" s="1"/>
  <c r="K170" i="12"/>
  <c r="E91" i="5"/>
  <c r="F91" i="5" s="1"/>
  <c r="G91" i="5" s="1"/>
  <c r="J154" i="12"/>
  <c r="E24" i="5"/>
  <c r="F24" i="5" s="1"/>
  <c r="G24" i="5" s="1"/>
  <c r="L94" i="5"/>
  <c r="O185" i="12"/>
  <c r="J183" i="12"/>
  <c r="M28" i="12"/>
  <c r="O21" i="12"/>
  <c r="L59" i="5"/>
  <c r="L79" i="5"/>
  <c r="M79" i="5" s="1"/>
  <c r="O89" i="12"/>
  <c r="L103" i="5"/>
  <c r="M103" i="5" s="1"/>
  <c r="L161" i="12"/>
  <c r="O149" i="12"/>
  <c r="L177" i="12"/>
  <c r="H65" i="12"/>
  <c r="E16" i="5"/>
  <c r="F16" i="5" s="1"/>
  <c r="G16" i="5" s="1"/>
  <c r="E75" i="5"/>
  <c r="F75" i="5" s="1"/>
  <c r="G75" i="5" s="1"/>
  <c r="E122" i="5"/>
  <c r="F122" i="5" s="1"/>
  <c r="G122" i="5" s="1"/>
  <c r="E112" i="5"/>
  <c r="F112" i="5" s="1"/>
  <c r="G112" i="5" s="1"/>
  <c r="L36" i="5"/>
  <c r="M36" i="5" s="1"/>
  <c r="O119" i="12"/>
  <c r="O93" i="12"/>
  <c r="O18" i="12"/>
  <c r="O56" i="12"/>
  <c r="M119" i="12"/>
  <c r="I176" i="12"/>
  <c r="K127" i="3"/>
  <c r="I81" i="12"/>
  <c r="G116" i="2"/>
  <c r="K104" i="3"/>
  <c r="N173" i="2"/>
  <c r="O173" i="2" s="1"/>
  <c r="P31" i="5"/>
  <c r="P153" i="5"/>
  <c r="N128" i="2"/>
  <c r="O128" i="2" s="1"/>
  <c r="O114" i="12"/>
  <c r="N91" i="12"/>
  <c r="I74" i="12"/>
  <c r="I90"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I88"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4" i="2"/>
  <c r="L24" i="5"/>
  <c r="M24" i="5" s="1"/>
  <c r="L115" i="5"/>
  <c r="M115" i="5" s="1"/>
  <c r="C7" i="28"/>
  <c r="G42" i="2"/>
  <c r="L25" i="5"/>
  <c r="M25" i="5" s="1"/>
  <c r="N139" i="12"/>
  <c r="L59" i="12"/>
  <c r="L149" i="5"/>
  <c r="M149" i="5" s="1"/>
  <c r="N173" i="12"/>
  <c r="J59" i="12"/>
  <c r="K8" i="3"/>
  <c r="B7" i="28"/>
  <c r="E146" i="5"/>
  <c r="F146" i="5" s="1"/>
  <c r="G146" i="5" s="1"/>
  <c r="P121" i="5"/>
  <c r="P40" i="5"/>
  <c r="L27" i="5"/>
  <c r="M27" i="5" s="1"/>
  <c r="O29" i="12"/>
  <c r="N181" i="12"/>
  <c r="L120" i="12"/>
  <c r="L51" i="5"/>
  <c r="I182" i="12"/>
  <c r="O99" i="12"/>
  <c r="M183" i="12"/>
  <c r="I169" i="12"/>
  <c r="O100" i="12"/>
  <c r="L132" i="12"/>
  <c r="M63" i="12"/>
  <c r="O73" i="12"/>
  <c r="L40" i="5"/>
  <c r="M40" i="5" s="1"/>
  <c r="H61" i="12"/>
  <c r="J178" i="12"/>
  <c r="E94" i="5"/>
  <c r="F94" i="5" s="1"/>
  <c r="G94" i="5" s="1"/>
  <c r="E20" i="5"/>
  <c r="F20" i="5" s="1"/>
  <c r="G20" i="5" s="1"/>
  <c r="E36" i="5"/>
  <c r="F36" i="5" s="1"/>
  <c r="G36" i="5" s="1"/>
  <c r="E120" i="5"/>
  <c r="F120" i="5" s="1"/>
  <c r="G120" i="5" s="1"/>
  <c r="E161" i="5"/>
  <c r="F161" i="5" s="1"/>
  <c r="G161" i="5" s="1"/>
  <c r="M16" i="12"/>
  <c r="L14" i="5"/>
  <c r="M14" i="5" s="1"/>
  <c r="L75" i="12"/>
  <c r="H56" i="12"/>
  <c r="J72" i="12"/>
  <c r="J179" i="12"/>
  <c r="E130" i="5"/>
  <c r="F130" i="5" s="1"/>
  <c r="G130" i="5" s="1"/>
  <c r="E100" i="3"/>
  <c r="K84" i="3"/>
  <c r="F159" i="2"/>
  <c r="P17" i="5"/>
  <c r="P29" i="5"/>
  <c r="P41" i="5"/>
  <c r="M46" i="5"/>
  <c r="O14" i="12"/>
  <c r="M131" i="12"/>
  <c r="M67" i="12"/>
  <c r="L81" i="12"/>
  <c r="L112" i="12"/>
  <c r="L183" i="12"/>
  <c r="H68"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I149" i="12" s="1"/>
  <c r="D142" i="7"/>
  <c r="L142" i="7"/>
  <c r="K142" i="12" s="1"/>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J38" i="12"/>
  <c r="N81" i="12"/>
  <c r="K105" i="12"/>
  <c r="M65" i="5"/>
  <c r="N39" i="7"/>
  <c r="J142" i="5"/>
  <c r="H44" i="7"/>
  <c r="H44" i="12" s="1"/>
  <c r="P29" i="12"/>
  <c r="L29" i="12"/>
  <c r="M155" i="12"/>
  <c r="Q155" i="12"/>
  <c r="M110" i="12"/>
  <c r="Q110" i="12"/>
  <c r="H104" i="7"/>
  <c r="H104" i="12" s="1"/>
  <c r="R139" i="12"/>
  <c r="S139" i="12"/>
  <c r="Q99" i="12"/>
  <c r="M99" i="12"/>
  <c r="M43" i="12"/>
  <c r="S81" i="12"/>
  <c r="J102" i="12"/>
  <c r="I106"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K169" i="12"/>
  <c r="F168" i="7"/>
  <c r="O168" i="7"/>
  <c r="E168" i="7"/>
  <c r="J167" i="12"/>
  <c r="M168" i="7"/>
  <c r="H167" i="12"/>
  <c r="L168" i="7"/>
  <c r="K167" i="12" s="1"/>
  <c r="H168" i="7"/>
  <c r="D168" i="7"/>
  <c r="J128" i="12"/>
  <c r="P161" i="12"/>
  <c r="I108"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J100" i="12"/>
  <c r="Q131" i="12"/>
  <c r="H141" i="12"/>
  <c r="J105" i="12"/>
  <c r="H105" i="12"/>
  <c r="P114" i="5"/>
  <c r="B104" i="7"/>
  <c r="B168" i="7"/>
  <c r="G82" i="2"/>
  <c r="H179" i="3"/>
  <c r="E134" i="3"/>
  <c r="H128" i="7"/>
  <c r="K39" i="7"/>
  <c r="J42" i="12" s="1"/>
  <c r="B39" i="7"/>
  <c r="J39" i="7"/>
  <c r="I39" i="7"/>
  <c r="I39" i="12" s="1"/>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I100" i="12"/>
  <c r="J103" i="12"/>
  <c r="J139" i="7"/>
  <c r="G92" i="2"/>
  <c r="F92" i="2"/>
  <c r="F115" i="7"/>
  <c r="L115" i="7"/>
  <c r="K121" i="12" s="1"/>
  <c r="G115" i="7"/>
  <c r="E115" i="7"/>
  <c r="M115" i="7"/>
  <c r="O115" i="7"/>
  <c r="B115" i="7"/>
  <c r="N115" i="7"/>
  <c r="J115" i="7"/>
  <c r="I115" i="7"/>
  <c r="I115" i="12" s="1"/>
  <c r="C115" i="7"/>
  <c r="M8" i="12"/>
  <c r="S19" i="12"/>
  <c r="J98" i="12"/>
  <c r="K129" i="12"/>
  <c r="Q39" i="12"/>
  <c r="S119" i="12"/>
  <c r="N147" i="12"/>
  <c r="S147" i="12"/>
  <c r="M150" i="5"/>
  <c r="N168" i="7"/>
  <c r="E80" i="5"/>
  <c r="F80" i="5" s="1"/>
  <c r="G80" i="5" s="1"/>
  <c r="O139" i="7"/>
  <c r="S148" i="12"/>
  <c r="N148" i="12"/>
  <c r="I44" i="7"/>
  <c r="I44" i="12" s="1"/>
  <c r="M18" i="5"/>
  <c r="R99" i="12"/>
  <c r="M61" i="5"/>
  <c r="M140" i="5"/>
  <c r="H107" i="12"/>
  <c r="N126" i="7"/>
  <c r="J20" i="5"/>
  <c r="I145" i="12"/>
  <c r="I159" i="12"/>
  <c r="H163" i="12"/>
  <c r="K99"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B18" i="28" s="1"/>
  <c r="L153" i="7"/>
  <c r="K161" i="12" s="1"/>
  <c r="M32" i="5"/>
  <c r="J13" i="5"/>
  <c r="K157" i="12"/>
  <c r="I160" i="12"/>
  <c r="H99" i="12"/>
  <c r="K126" i="7"/>
  <c r="B17" i="28" s="1"/>
  <c r="J157" i="12"/>
  <c r="C174" i="7"/>
  <c r="F119" i="5"/>
  <c r="G119" i="5" s="1"/>
  <c r="F128" i="5"/>
  <c r="G128" i="5" s="1"/>
  <c r="J138" i="5"/>
  <c r="H146" i="3"/>
  <c r="H178" i="3"/>
  <c r="J143" i="12"/>
  <c r="E75" i="3"/>
  <c r="J71" i="2"/>
  <c r="K71" i="2" s="1"/>
  <c r="G66" i="2"/>
  <c r="N74" i="2"/>
  <c r="O74" i="2" s="1"/>
  <c r="J160" i="2"/>
  <c r="K160" i="2" s="1"/>
  <c r="P118" i="5"/>
  <c r="N56" i="7"/>
  <c r="K137" i="7"/>
  <c r="J136" i="12" s="1"/>
  <c r="K139" i="3"/>
  <c r="H150" i="7"/>
  <c r="F126" i="7"/>
  <c r="G149" i="14"/>
  <c r="M23" i="5"/>
  <c r="O150" i="7"/>
  <c r="H157" i="12"/>
  <c r="J44" i="5"/>
  <c r="K152" i="12"/>
  <c r="H159" i="12"/>
  <c r="G126" i="7"/>
  <c r="M78" i="5"/>
  <c r="K98" i="3"/>
  <c r="H49" i="3"/>
  <c r="K9" i="3"/>
  <c r="E14" i="3"/>
  <c r="K35" i="3"/>
  <c r="H115" i="3"/>
  <c r="K137" i="3"/>
  <c r="G21" i="2"/>
  <c r="F129" i="2"/>
  <c r="F149" i="2"/>
  <c r="N29" i="2"/>
  <c r="O29" i="2" s="1"/>
  <c r="N77" i="2"/>
  <c r="O77" i="2" s="1"/>
  <c r="N101" i="2"/>
  <c r="O101" i="2" s="1"/>
  <c r="J56" i="7"/>
  <c r="G63" i="14"/>
  <c r="J16" i="2"/>
  <c r="K16" i="2" s="1"/>
  <c r="K153" i="7"/>
  <c r="J161" i="12" s="1"/>
  <c r="M11" i="5"/>
  <c r="S99" i="12"/>
  <c r="M31" i="12"/>
  <c r="I101" i="12"/>
  <c r="K150" i="7"/>
  <c r="J163" i="12"/>
  <c r="J151" i="12"/>
  <c r="C126" i="7"/>
  <c r="N174" i="7"/>
  <c r="M92" i="5"/>
  <c r="F101" i="5"/>
  <c r="G101" i="5" s="1"/>
  <c r="F115" i="5"/>
  <c r="G115" i="5" s="1"/>
  <c r="F134" i="5"/>
  <c r="G134" i="5" s="1"/>
  <c r="H122" i="3"/>
  <c r="H35" i="3"/>
  <c r="E145" i="3"/>
  <c r="N110" i="2"/>
  <c r="O110" i="2" s="1"/>
  <c r="J77" i="2"/>
  <c r="K77" i="2" s="1"/>
  <c r="G130" i="2"/>
  <c r="F56" i="7"/>
  <c r="N28" i="2"/>
  <c r="O28" i="2" s="1"/>
  <c r="G193" i="2"/>
  <c r="C175" i="7"/>
  <c r="N175" i="7"/>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K151" i="12"/>
  <c r="I99" i="12"/>
  <c r="D153" i="7"/>
  <c r="J17" i="5"/>
  <c r="J48" i="5"/>
  <c r="I173" i="12"/>
  <c r="H143" i="12"/>
  <c r="N153" i="7"/>
  <c r="K160" i="12"/>
  <c r="H174" i="7"/>
  <c r="H173" i="12" s="1"/>
  <c r="J94" i="5"/>
  <c r="M99" i="5"/>
  <c r="J146" i="5"/>
  <c r="E10" i="3"/>
  <c r="K47" i="3"/>
  <c r="E77" i="3"/>
  <c r="H126" i="3"/>
  <c r="H75" i="3"/>
  <c r="I154" i="12"/>
  <c r="N149" i="2"/>
  <c r="O149" i="2" s="1"/>
  <c r="J168" i="2"/>
  <c r="K168" i="2" s="1"/>
  <c r="G53" i="14"/>
  <c r="J108" i="12"/>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K16"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K65" i="12"/>
  <c r="L9" i="7"/>
  <c r="K9" i="12" s="1"/>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G66" i="7"/>
  <c r="I110" i="7"/>
  <c r="I110" i="12" s="1"/>
  <c r="J133" i="12"/>
  <c r="C147" i="7"/>
  <c r="J19" i="5"/>
  <c r="H189" i="12"/>
  <c r="H9" i="7"/>
  <c r="H9" i="12" s="1"/>
  <c r="E66" i="7"/>
  <c r="D147" i="7"/>
  <c r="J106" i="5"/>
  <c r="F186" i="7"/>
  <c r="E105" i="3"/>
  <c r="H163" i="3"/>
  <c r="F66" i="7"/>
  <c r="K147" i="7"/>
  <c r="J155" i="12" s="1"/>
  <c r="E146" i="3"/>
  <c r="N193" i="2"/>
  <c r="O193" i="2" s="1"/>
  <c r="G186" i="7"/>
  <c r="S171" i="12"/>
  <c r="Q29" i="12"/>
  <c r="L141" i="12"/>
  <c r="C66" i="7"/>
  <c r="N110" i="7"/>
  <c r="I147" i="7"/>
  <c r="J189" i="12"/>
  <c r="D9" i="7"/>
  <c r="J66" i="7"/>
  <c r="F143" i="5"/>
  <c r="G143" i="5" s="1"/>
  <c r="B186" i="7"/>
  <c r="I66" i="7"/>
  <c r="I71" i="12" s="1"/>
  <c r="O186" i="7"/>
  <c r="K146" i="12"/>
  <c r="J141" i="12"/>
  <c r="Q28" i="12"/>
  <c r="L139" i="12"/>
  <c r="L65" i="12"/>
  <c r="N87" i="12"/>
  <c r="N147" i="7"/>
  <c r="I188" i="12"/>
  <c r="I109" i="12"/>
  <c r="O9" i="7"/>
  <c r="K178" i="3"/>
  <c r="L186" i="7"/>
  <c r="K186" i="12" s="1"/>
  <c r="G26" i="2"/>
  <c r="P110" i="5"/>
  <c r="H16" i="3"/>
  <c r="I65" i="12"/>
  <c r="N66" i="7"/>
  <c r="H187" i="12"/>
  <c r="G119" i="14"/>
  <c r="P24" i="12"/>
  <c r="Q50" i="12"/>
  <c r="R66" i="12"/>
  <c r="N150" i="12"/>
  <c r="J188" i="12"/>
  <c r="S87" i="12"/>
  <c r="M82" i="5"/>
  <c r="L95" i="12"/>
  <c r="I184" i="12"/>
  <c r="K9" i="7"/>
  <c r="J10" i="12" s="1"/>
  <c r="H186" i="7"/>
  <c r="H186" i="12" s="1"/>
  <c r="E62" i="3"/>
  <c r="G13" i="2"/>
  <c r="D66" i="7"/>
  <c r="M9" i="7"/>
  <c r="H10" i="12"/>
  <c r="I7" i="12"/>
  <c r="M165" i="12"/>
  <c r="I189"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I187" i="12"/>
  <c r="J9" i="7"/>
  <c r="K110" i="7"/>
  <c r="J110" i="12" s="1"/>
  <c r="E54" i="3"/>
  <c r="K105" i="3"/>
  <c r="J31" i="2"/>
  <c r="K31" i="2" s="1"/>
  <c r="F30" i="2"/>
  <c r="J147" i="2"/>
  <c r="K147" i="2" s="1"/>
  <c r="L110" i="7"/>
  <c r="K110" i="12" s="1"/>
  <c r="G88" i="2"/>
  <c r="N66" i="12"/>
  <c r="R118" i="12"/>
  <c r="K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139" i="5"/>
  <c r="G139"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I114" i="12"/>
  <c r="I132" i="12"/>
  <c r="K126" i="12"/>
  <c r="J121" i="12"/>
  <c r="J113" i="12"/>
  <c r="I136" i="12"/>
  <c r="J127" i="12"/>
  <c r="J119" i="12"/>
  <c r="H136" i="12"/>
  <c r="H119" i="12"/>
  <c r="H55" i="12"/>
  <c r="K53" i="12"/>
  <c r="H53" i="12"/>
  <c r="K49" i="12"/>
  <c r="H41" i="12"/>
  <c r="I26" i="12"/>
  <c r="I18" i="12"/>
  <c r="I10" i="12"/>
  <c r="H27" i="12"/>
  <c r="H19" i="12"/>
  <c r="H11" i="12"/>
  <c r="K56" i="12"/>
  <c r="H25" i="12"/>
  <c r="K38" i="12"/>
  <c r="K30" i="12"/>
  <c r="K22" i="12"/>
  <c r="K14" i="12"/>
  <c r="I49" i="12"/>
  <c r="I33" i="12"/>
  <c r="I17" i="12"/>
  <c r="K33" i="12"/>
  <c r="K25"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I141" i="12"/>
  <c r="K136" i="12"/>
  <c r="J129" i="12"/>
  <c r="I120" i="12"/>
  <c r="I112" i="12"/>
  <c r="K131" i="12"/>
  <c r="H123" i="12"/>
  <c r="H117" i="12"/>
  <c r="K135" i="12"/>
  <c r="I135" i="12"/>
  <c r="I119" i="12"/>
  <c r="J56" i="12"/>
  <c r="I117" i="12"/>
  <c r="K52" i="12"/>
  <c r="H57" i="12"/>
  <c r="K48" i="12"/>
  <c r="J31" i="12"/>
  <c r="J23" i="12"/>
  <c r="J15" i="12"/>
  <c r="J7" i="12"/>
  <c r="H38" i="12"/>
  <c r="J25" i="12"/>
  <c r="J17" i="12"/>
  <c r="J9" i="12"/>
  <c r="J53" i="12"/>
  <c r="J37" i="12"/>
  <c r="H21" i="12"/>
  <c r="J47" i="12"/>
  <c r="J41" i="12"/>
  <c r="H37" i="12"/>
  <c r="I20" i="12"/>
  <c r="I12" i="12"/>
  <c r="I45" i="12"/>
  <c r="I29" i="12"/>
  <c r="I13" i="12"/>
  <c r="I31"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C4" i="21" s="1"/>
  <c r="L32" i="7"/>
  <c r="C32" i="7"/>
  <c r="H32" i="7"/>
  <c r="H32" i="12" s="1"/>
  <c r="N32" i="7"/>
  <c r="P45" i="12"/>
  <c r="D16" i="28"/>
  <c r="B15" i="28"/>
  <c r="E210" i="6"/>
  <c r="C210" i="6"/>
  <c r="N151" i="12"/>
  <c r="L61" i="12"/>
  <c r="M45" i="12"/>
  <c r="H191" i="5"/>
  <c r="H192" i="5" s="1"/>
  <c r="J37" i="5"/>
  <c r="K138" i="12"/>
  <c r="H135" i="12"/>
  <c r="H128" i="12"/>
  <c r="J123" i="12"/>
  <c r="J117" i="12"/>
  <c r="I122" i="12"/>
  <c r="K134" i="12"/>
  <c r="H115" i="12"/>
  <c r="J48" i="12"/>
  <c r="H54" i="12"/>
  <c r="K115" i="12"/>
  <c r="H45" i="12"/>
  <c r="I56" i="12"/>
  <c r="I47" i="12"/>
  <c r="I38" i="12"/>
  <c r="I30" i="12"/>
  <c r="I22" i="12"/>
  <c r="I14" i="12"/>
  <c r="K37" i="12"/>
  <c r="H31" i="12"/>
  <c r="H23" i="12"/>
  <c r="H15" i="12"/>
  <c r="H7" i="12"/>
  <c r="H33" i="12"/>
  <c r="H17" i="12"/>
  <c r="H46" i="12"/>
  <c r="K26" i="12"/>
  <c r="K18" i="12"/>
  <c r="K10" i="12"/>
  <c r="I57" i="12"/>
  <c r="I41" i="12"/>
  <c r="I25"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13" i="12"/>
  <c r="J55" i="12"/>
  <c r="K46" i="12"/>
  <c r="I54" i="12"/>
  <c r="J45" i="12"/>
  <c r="J27" i="12"/>
  <c r="J19" i="12"/>
  <c r="J11"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K123" i="12" l="1"/>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4" i="2"/>
  <c r="D234" i="2"/>
  <c r="K54" i="12"/>
  <c r="D7" i="28"/>
  <c r="J66" i="12"/>
  <c r="L191" i="5"/>
  <c r="L192" i="5" s="1"/>
  <c r="M192" i="5" s="1"/>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M191" i="5" l="1"/>
  <c r="J192" i="12"/>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<sst xmlns="http://schemas.openxmlformats.org/spreadsheetml/2006/main" count="3463" uniqueCount="691">
  <si>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</si>
  <si>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</si>
  <si>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</si>
  <si>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</si>
  <si>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</si>
  <si>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</si>
  <si>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</si>
  <si>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</si>
  <si>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</si>
  <si>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</si>
  <si>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</si>
  <si>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</si>
  <si>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</si>
  <si>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</si>
  <si>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</si>
  <si>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</si>
  <si>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</si>
  <si>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</si>
  <si>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</si>
  <si>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</si>
  <si>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</si>
  <si>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</si>
  <si>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</si>
  <si>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</si>
  <si>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</si>
  <si>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</si>
  <si>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</si>
  <si>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</si>
  <si>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</si>
  <si>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</si>
  <si>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</si>
  <si>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</si>
  <si>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</si>
  <si>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</si>
  <si>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</si>
  <si>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</si>
  <si>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</si>
  <si>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</si>
  <si>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</si>
  <si>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</si>
  <si>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</si>
  <si>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</si>
  <si>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</si>
  <si>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</si>
  <si>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</si>
  <si>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</si>
  <si>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</si>
  <si>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</si>
  <si>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</si>
  <si>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</si>
  <si>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</si>
  <si>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</si>
  <si>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</si>
  <si>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</si>
  <si>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</si>
  <si>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</si>
  <si>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</si>
  <si>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</si>
  <si>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</si>
  <si>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</si>
  <si>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</si>
  <si>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</si>
  <si>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</si>
  <si>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</si>
  <si>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</si>
  <si>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</si>
  <si>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</si>
  <si>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</si>
  <si>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</si>
  <si>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</si>
  <si>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</si>
  <si>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</si>
  <si>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</si>
  <si>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</si>
  <si>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</si>
  <si>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</si>
  <si>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</si>
  <si>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</si>
  <si>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</si>
  <si>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</si>
  <si>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</si>
  <si>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</si>
  <si>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</si>
  <si>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</si>
  <si>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</si>
  <si>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</si>
  <si>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</si>
  <si>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</si>
  <si>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</si>
  <si>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</si>
  <si>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</si>
  <si>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</si>
  <si>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</si>
  <si>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</si>
  <si>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</si>
  <si>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</si>
  <si>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</si>
  <si>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</si>
  <si>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</si>
  <si>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</si>
  <si>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</si>
  <si>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</si>
  <si>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</si>
  <si>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</si>
  <si>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</si>
  <si>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</si>
  <si>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</si>
  <si>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</si>
  <si>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</si>
  <si>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</si>
  <si>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</si>
  <si>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</si>
  <si>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</si>
  <si>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</si>
  <si>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</si>
  <si>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</si>
  <si>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</si>
  <si>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</si>
  <si>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</si>
  <si>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</si>
  <si>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</si>
  <si>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</si>
  <si>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</si>
  <si>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</si>
  <si>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</si>
  <si>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</si>
  <si>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</si>
  <si>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</si>
  <si>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</si>
  <si>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</si>
  <si>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</si>
  <si>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</si>
  <si>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</si>
  <si>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</si>
  <si>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</si>
  <si>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</si>
  <si>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</si>
  <si>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</si>
  <si>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</si>
  <si>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</si>
  <si>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</si>
  <si>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</si>
  <si>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</si>
  <si>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</si>
  <si>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</si>
  <si>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</si>
  <si>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</si>
  <si>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</si>
  <si>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</si>
  <si>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</si>
  <si>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</si>
  <si>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</si>
  <si>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</si>
  <si>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</si>
  <si>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</si>
  <si>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</si>
  <si>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</si>
  <si>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</si>
  <si>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</si>
  <si>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</si>
  <si>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</si>
  <si>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</si>
  <si>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</si>
  <si>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</si>
  <si>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</si>
  <si>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</si>
  <si>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</si>
  <si>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</si>
  <si>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</si>
  <si>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</si>
  <si>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</si>
  <si>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</si>
  <si>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</si>
  <si>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</si>
  <si>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</si>
  <si>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</si>
  <si>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</si>
  <si>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</si>
  <si>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</si>
  <si>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</si>
  <si>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</si>
  <si>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</si>
  <si>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</si>
  <si>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</si>
  <si>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</si>
  <si>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</si>
  <si>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</si>
  <si>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</si>
  <si>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</si>
  <si>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</si>
  <si>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</si>
  <si>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</si>
  <si>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</si>
  <si>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</si>
  <si>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</si>
  <si>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</si>
  <si>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</si>
  <si>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</si>
  <si>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</si>
  <si>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</si>
  <si>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</si>
  <si>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</si>
  <si>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</si>
  <si>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</si>
  <si>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</si>
  <si>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</si>
  <si>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</si>
  <si>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</si>
  <si>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</si>
  <si>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</si>
  <si>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</si>
  <si>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</si>
  <si>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</si>
  <si>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</si>
  <si>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</si>
  <si>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</si>
  <si>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</si>
  <si>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</si>
  <si>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</si>
  <si>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</si>
  <si>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</si>
  <si>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</si>
  <si>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</si>
  <si>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</si>
  <si>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</si>
  <si>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</si>
  <si>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</si>
  <si>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</si>
  <si>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</si>
  <si>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</si>
  <si>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</si>
  <si>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</si>
  <si>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</si>
  <si>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</si>
  <si>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</si>
  <si>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</si>
  <si>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</si>
  <si>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</si>
  <si>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</si>
  <si>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</si>
  <si>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</si>
  <si>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</si>
  <si>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</si>
  <si>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</si>
  <si>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</si>
  <si>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</si>
  <si>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</si>
  <si>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</si>
  <si>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</si>
  <si>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</si>
  <si>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</si>
  <si>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</si>
  <si>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</si>
  <si>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</si>
  <si>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</si>
  <si>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</si>
  <si>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</si>
  <si>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</si>
  <si>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</si>
  <si>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</si>
  <si>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</si>
  <si>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</si>
  <si>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</si>
  <si>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</si>
  <si>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</si>
  <si>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</si>
  <si>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</si>
  <si>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</si>
  <si>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</si>
  <si>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</si>
  <si>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</si>
  <si>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</si>
  <si>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</si>
  <si>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</si>
  <si>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</si>
  <si>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</si>
  <si>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</si>
  <si>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</si>
  <si>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</si>
  <si>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</si>
  <si>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</si>
  <si>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</si>
  <si>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</si>
  <si>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</si>
  <si>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</si>
  <si>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</si>
  <si>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</si>
  <si>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</si>
  <si>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</si>
  <si>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</si>
  <si>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</si>
  <si>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</si>
  <si>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</si>
  <si>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</si>
  <si>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</si>
  <si>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</si>
  <si>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</si>
  <si>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</si>
  <si>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</si>
  <si>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</si>
  <si>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</si>
  <si>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</si>
  <si>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</si>
  <si>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</si>
  <si>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</si>
  <si>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</si>
  <si>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</si>
  <si>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</si>
  <si>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</si>
  <si>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</si>
  <si>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</si>
  <si>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</si>
  <si>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</si>
  <si>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</si>
  <si>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</si>
  <si>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</si>
  <si>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</si>
  <si>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</si>
  <si>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</si>
  <si>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</si>
  <si>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</si>
  <si>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</si>
  <si>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</si>
  <si>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</si>
  <si>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</si>
  <si>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</si>
  <si>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</si>
  <si>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</si>
  <si>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</si>
  <si>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</si>
  <si>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</si>
  <si>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</si>
  <si>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</si>
  <si>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</si>
  <si>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</si>
  <si>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</si>
  <si>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</si>
  <si>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</si>
  <si>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</si>
  <si>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</si>
  <si>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</si>
  <si>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</si>
  <si>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</si>
  <si>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</si>
  <si>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</si>
  <si>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</si>
  <si>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</si>
  <si>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</si>
  <si>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</si>
  <si>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</si>
  <si>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</si>
  <si>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</si>
  <si>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</si>
  <si>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</si>
  <si>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</si>
  <si>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</si>
  <si>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</si>
  <si>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</si>
  <si>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</si>
  <si>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</si>
  <si>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</si>
  <si>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</si>
  <si>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</si>
  <si>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</si>
  <si>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</si>
  <si>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</si>
  <si>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</si>
  <si>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</si>
  <si>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</si>
  <si>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</si>
  <si>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</si>
  <si>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</si>
  <si>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</si>
  <si>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</si>
  <si>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</si>
  <si>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</si>
  <si>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</si>
  <si>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</si>
  <si>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</si>
  <si>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</si>
  <si>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</si>
  <si>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</si>
  <si>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</si>
  <si>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</si>
  <si>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</si>
  <si>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</si>
  <si>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</si>
  <si>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</si>
  <si>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</si>
  <si>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</si>
  <si>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</si>
  <si>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</si>
  <si>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</si>
  <si>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</si>
  <si>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</si>
  <si>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</si>
  <si>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</si>
  <si>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</si>
  <si>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</si>
  <si>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</si>
  <si>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</si>
  <si>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</si>
  <si>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</si>
  <si>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</si>
  <si>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</si>
  <si>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</si>
  <si>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</si>
  <si>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</si>
  <si>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</si>
  <si>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</si>
  <si>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</si>
  <si>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</si>
  <si>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</si>
  <si>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</si>
  <si>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</si>
  <si>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</si>
  <si>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</si>
  <si>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</si>
  <si>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</si>
  <si>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</si>
  <si>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</si>
  <si>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</si>
  <si>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</si>
  <si>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</si>
  <si>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</si>
  <si>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</si>
  <si>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</si>
  <si>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</si>
  <si>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</si>
  <si>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</si>
  <si>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</si>
  <si>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</si>
  <si>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</si>
  <si>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</si>
  <si>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</si>
  <si>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</si>
  <si>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</si>
  <si>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</si>
  <si>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</si>
  <si>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</si>
  <si>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</si>
  <si>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</si>
  <si>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</si>
  <si>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</si>
  <si>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</si>
  <si>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</si>
  <si>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</si>
  <si>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</si>
  <si>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</si>
  <si>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</si>
  <si>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</si>
  <si>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</si>
  <si>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</si>
  <si>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</si>
  <si>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</si>
  <si>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</si>
  <si>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</si>
  <si>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</si>
  <si>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</si>
  <si>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</si>
  <si>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</si>
  <si>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</si>
  <si>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</si>
  <si>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</si>
  <si>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</si>
  <si>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</si>
  <si>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</si>
  <si>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</si>
  <si>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</si>
  <si>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</si>
  <si>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</si>
  <si>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</si>
  <si>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</si>
  <si>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</si>
  <si>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</si>
  <si>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</si>
  <si>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</si>
  <si>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</si>
  <si>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</si>
  <si>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</si>
  <si>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</si>
  <si>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</si>
  <si>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</si>
  <si>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</si>
  <si>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</si>
  <si>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</si>
  <si>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</si>
  <si>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</si>
  <si>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</si>
  <si>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</si>
  <si>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</si>
  <si>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</si>
  <si>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</si>
  <si>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</si>
  <si>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</si>
  <si>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</si>
  <si>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</si>
  <si>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</si>
  <si>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</si>
  <si>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</si>
  <si>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</si>
  <si>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</si>
  <si>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</si>
  <si>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</si>
  <si>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</si>
  <si>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</si>
  <si>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</si>
  <si>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</si>
  <si>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</si>
  <si>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</si>
  <si>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</si>
  <si>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</si>
  <si>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</si>
  <si>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</si>
  <si>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</si>
  <si>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</si>
  <si>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</si>
  <si>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</si>
  <si>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</si>
  <si>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</si>
  <si>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</si>
  <si>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</si>
  <si>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</si>
  <si>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</si>
  <si>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</si>
  <si>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</si>
  <si>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</si>
  <si>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</si>
  <si>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</si>
  <si>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</si>
  <si>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</si>
  <si>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</si>
  <si>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</si>
  <si>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</si>
  <si>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</si>
  <si>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</si>
  <si>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</si>
  <si>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</si>
  <si>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</si>
  <si>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</si>
  <si>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</si>
  <si>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</si>
  <si>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</si>
  <si>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</si>
  <si>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</si>
  <si>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</si>
  <si>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</si>
  <si>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</si>
  <si>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</si>
  <si>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</si>
  <si>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</si>
  <si>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</si>
  <si>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</si>
  <si>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</si>
  <si>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</si>
  <si>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</si>
  <si>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</si>
  <si>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</si>
  <si>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</si>
  <si>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</si>
  <si>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</si>
  <si>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</si>
  <si>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</si>
  <si>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</si>
  <si>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</si>
  <si>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</si>
  <si>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</si>
  <si>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</si>
  <si>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</si>
  <si>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</si>
  <si>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</si>
  <si>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</si>
  <si>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</si>
  <si>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</si>
  <si>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</si>
  <si>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</si>
  <si>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</si>
  <si>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</si>
  <si>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</si>
  <si>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</si>
  <si>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</si>
  <si>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</si>
  <si>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</si>
  <si>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</si>
  <si>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</si>
  <si>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</si>
  <si>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</si>
  <si>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</si>
  <si>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</si>
  <si>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</si>
  <si>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</si>
  <si>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</si>
  <si>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</si>
  <si>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</si>
  <si>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</si>
  <si>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</si>
  <si>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</si>
  <si>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</si>
  <si>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</si>
  <si>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</si>
  <si>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</si>
  <si>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</si>
  <si>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</si>
  <si>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</si>
  <si>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</si>
  <si>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</si>
  <si>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</si>
  <si>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</si>
  <si>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</si>
  <si>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</si>
  <si>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</si>
  <si>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</si>
  <si>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</si>
  <si>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</si>
  <si>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</si>
  <si>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</si>
  <si>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</si>
  <si>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</si>
  <si>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</si>
  <si>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</si>
  <si>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</si>
  <si>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</si>
  <si>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</si>
  <si>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</si>
  <si>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</si>
  <si>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</si>
  <si>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</si>
  <si>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</si>
  <si>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</si>
  <si>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</si>
  <si>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</si>
  <si>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</si>
  <si>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</si>
  <si>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</si>
  <si>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</si>
  <si>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</si>
  <si>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</si>
  <si>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</si>
  <si>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</si>
  <si>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</si>
  <si>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</si>
  <si>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</si>
  <si>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</si>
  <si>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</si>
  <si>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</si>
  <si>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</si>
  <si>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</si>
  <si>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</si>
  <si>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</si>
  <si>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</si>
  <si>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</si>
  <si>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</si>
  <si>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</si>
  <si>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</si>
  <si>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</si>
  <si>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</si>
  <si>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</si>
  <si>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</si>
  <si>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</si>
  <si>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</si>
  <si>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</si>
  <si>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</si>
  <si>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</si>
  <si>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</si>
  <si>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</si>
  <si>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</si>
  <si>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</si>
  <si>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</si>
  <si>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</si>
  <si>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</si>
  <si>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</si>
  <si>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</si>
  <si>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</si>
  <si>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</si>
  <si>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</si>
  <si>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</si>
  <si>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</si>
  <si>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</si>
  <si>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</si>
  <si>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</si>
  <si>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</si>
  <si>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</si>
  <si>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</si>
  <si>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</si>
  <si>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</si>
  <si>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</si>
  <si>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</si>
  <si>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</si>
  <si>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</si>
  <si>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</si>
  <si>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F&amp;O Market Trading Kit for 16 Oct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</si>
</sst>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zoomScale="85" zoomScaleNormal="85" workbookViewId="0">
      <pane ySplit="10" topLeftCell="A17" activePane="bottomLeft" state="frozen"/>
      <selection pane="bottomLeft" activeCell="V24" sqref="V24"/>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3" t="s">
        <v>690</v>
      </c>
      <c r="B6" s="244"/>
      <c r="C6" s="244"/>
      <c r="D6" s="244"/>
      <c r="E6" s="244"/>
      <c r="F6" s="244"/>
      <c r="G6" s="244"/>
      <c r="H6" s="244"/>
      <c r="I6" s="244"/>
      <c r="J6" s="244"/>
      <c r="K6" s="244"/>
      <c r="L6" s="244"/>
      <c r="M6" s="244"/>
      <c r="N6" s="244"/>
      <c r="O6" s="244"/>
      <c r="P6" s="244"/>
      <c r="Q6" s="244"/>
      <c r="R6" s="244"/>
      <c r="S6" s="245"/>
    </row>
    <row r="7" spans="1:19" x14ac:dyDescent="0.25">
      <c r="A7" s="246"/>
      <c r="B7" s="247"/>
      <c r="C7" s="247"/>
      <c r="D7" s="247"/>
      <c r="E7" s="247"/>
      <c r="F7" s="247"/>
      <c r="G7" s="247"/>
      <c r="H7" s="247"/>
      <c r="I7" s="247"/>
      <c r="J7" s="247"/>
      <c r="K7" s="247"/>
      <c r="L7" s="247"/>
      <c r="M7" s="247"/>
      <c r="N7" s="247"/>
      <c r="O7" s="247"/>
      <c r="P7" s="247"/>
      <c r="Q7" s="247"/>
      <c r="R7" s="247"/>
      <c r="S7" s="248"/>
    </row>
    <row r="8" spans="1:19" s="64" customFormat="1" ht="15" customHeight="1" x14ac:dyDescent="0.25">
      <c r="A8" s="249"/>
      <c r="B8" s="2"/>
      <c r="C8" s="251" t="s">
        <v>308</v>
      </c>
      <c r="D8" s="252"/>
      <c r="E8" s="252"/>
      <c r="F8" s="252"/>
      <c r="G8" s="253"/>
      <c r="H8" s="251" t="s">
        <v>309</v>
      </c>
      <c r="I8" s="252"/>
      <c r="J8" s="252"/>
      <c r="K8" s="253"/>
      <c r="L8" s="254" t="s">
        <v>310</v>
      </c>
      <c r="M8" s="255"/>
      <c r="N8" s="255"/>
      <c r="O8" s="256"/>
      <c r="P8" s="251" t="s">
        <v>311</v>
      </c>
      <c r="Q8" s="252"/>
      <c r="R8" s="252"/>
      <c r="S8" s="253"/>
    </row>
    <row r="9" spans="1:19" s="64" customFormat="1" x14ac:dyDescent="0.25">
      <c r="A9" s="250"/>
      <c r="B9" s="2"/>
      <c r="C9" s="2" t="s">
        <v>312</v>
      </c>
      <c r="D9" s="251" t="s">
        <v>313</v>
      </c>
      <c r="E9" s="252"/>
      <c r="F9" s="252"/>
      <c r="G9" s="253"/>
      <c r="H9" s="251" t="s">
        <v>314</v>
      </c>
      <c r="I9" s="252"/>
      <c r="J9" s="252"/>
      <c r="K9" s="253"/>
      <c r="L9" s="251" t="s">
        <v>315</v>
      </c>
      <c r="M9" s="252"/>
      <c r="N9" s="252"/>
      <c r="O9" s="253"/>
      <c r="P9" s="251" t="s">
        <v>316</v>
      </c>
      <c r="Q9" s="253"/>
      <c r="R9" s="251" t="s">
        <v>317</v>
      </c>
      <c r="S9" s="253"/>
    </row>
    <row r="10" spans="1:19" s="67" customFormat="1" ht="27" customHeight="1" x14ac:dyDescent="0.25">
      <c r="A10" s="65" t="s">
        <v>318</v>
      </c>
      <c r="B10" s="65" t="s">
        <v>319</v>
      </c>
      <c r="C10" s="66">
        <f>'Data Vlaue (Cr)'!A2</f>
        <v>45946</v>
      </c>
      <c r="D10" s="66">
        <f>'Data Vlaue (Cr)'!A2</f>
        <v>45946</v>
      </c>
      <c r="E10" s="65" t="s">
        <v>322</v>
      </c>
      <c r="F10" s="65" t="s">
        <v>320</v>
      </c>
      <c r="G10" s="65" t="s">
        <v>321</v>
      </c>
      <c r="H10" s="66">
        <f>D10</f>
        <v>45946</v>
      </c>
      <c r="I10" s="65" t="s">
        <v>322</v>
      </c>
      <c r="J10" s="65" t="s">
        <v>323</v>
      </c>
      <c r="K10" s="65" t="s">
        <v>324</v>
      </c>
      <c r="L10" s="66">
        <f>D10</f>
        <v>45946</v>
      </c>
      <c r="M10" s="65" t="s">
        <v>322</v>
      </c>
      <c r="N10" s="65" t="s">
        <v>323</v>
      </c>
      <c r="O10" s="65" t="s">
        <v>324</v>
      </c>
      <c r="P10" s="66">
        <f>D10</f>
        <v>45946</v>
      </c>
      <c r="Q10" s="65" t="s">
        <v>324</v>
      </c>
      <c r="R10" s="66">
        <f>D10</f>
        <v>45946</v>
      </c>
      <c r="S10" s="65" t="s">
        <v>324</v>
      </c>
    </row>
    <row r="11" spans="1:19" x14ac:dyDescent="0.25">
      <c r="A11" s="96" t="str">
        <f>'Data Vlaue (Cr)'!C2</f>
        <v>360ONE</v>
      </c>
      <c r="B11" s="75">
        <f>VLOOKUP($A11,'Data Vlaue (Cr)'!$C:$FB,2)</f>
        <v>500</v>
      </c>
      <c r="C11" s="75">
        <f>VLOOKUP($A11,'Data Vlaue (Cr)'!$C:$FB,8)</f>
        <v>1171.8</v>
      </c>
      <c r="D11" s="75">
        <f>VLOOKUP($A11,'Data Vlaue (Cr)'!$C:$FB,4)</f>
        <v>1171.5999999999999</v>
      </c>
      <c r="E11" s="75">
        <f>VLOOKUP($A11,'Data Vlaue (Cr)'!$C:$FB,5)</f>
        <v>1162.5</v>
      </c>
      <c r="F11" s="75">
        <f>D11-C11</f>
        <v>-0.20000000000004547</v>
      </c>
      <c r="G11" s="75">
        <f>(D11-E11)/D11*100</f>
        <v>0.7767156025947346</v>
      </c>
      <c r="H11" s="75">
        <f>VLOOKUP($A11,'Data Vlaue (Cr)'!$C:$FB,99)</f>
        <v>775</v>
      </c>
      <c r="I11" s="75">
        <f>VLOOKUP($A11,'Data Vlaue (Cr)'!$C:$FB,100)</f>
        <v>734</v>
      </c>
      <c r="J11" s="75">
        <f>H11-I11</f>
        <v>41</v>
      </c>
      <c r="K11" s="75">
        <f>J11/H11*100</f>
        <v>5.290322580645161</v>
      </c>
      <c r="L11" s="75">
        <f>VLOOKUP($A11,'Data Vlaue (Cr)'!$C:$FB,67)</f>
        <v>916</v>
      </c>
      <c r="M11" s="75">
        <f>VLOOKUP($A11,'Data Vlaue (Cr)'!$C:$FB,68)</f>
        <v>1899</v>
      </c>
      <c r="N11" s="75">
        <f>L11-M11</f>
        <v>-983</v>
      </c>
      <c r="O11" s="75">
        <f>N11/L11*100</f>
        <v>-107.31441048034935</v>
      </c>
      <c r="P11" s="75">
        <f>VLOOKUP($A11,'Data Vlaue (Cr)'!$C:$FB,119)</f>
        <v>0.57999999999999996</v>
      </c>
      <c r="Q11" s="75">
        <f>VLOOKUP($A11,'Data Vlaue (Cr)'!$C:$FB,122)*100</f>
        <v>-4.92</v>
      </c>
      <c r="R11" s="75">
        <f>VLOOKUP($A11,'Data Vlaue (Cr)'!$C:$FB,125)</f>
        <v>0.41</v>
      </c>
      <c r="S11" s="75">
        <f>VLOOKUP($A11,'Data Vlaue (Cr)'!$C:$FB,128)*100</f>
        <v>46.43</v>
      </c>
    </row>
    <row r="12" spans="1:19" x14ac:dyDescent="0.25">
      <c r="A12" s="96" t="str">
        <f>'Data Vlaue (Cr)'!C3</f>
        <v>ABB</v>
      </c>
      <c r="B12" s="75">
        <f>VLOOKUP($A12,'Data Vlaue (Cr)'!$C:$FB,2)</f>
        <v>125</v>
      </c>
      <c r="C12" s="75">
        <f>VLOOKUP($A12,'Data Vlaue (Cr)'!$C:$FB,8)</f>
        <v>5212</v>
      </c>
      <c r="D12" s="75">
        <f>VLOOKUP($A12,'Data Vlaue (Cr)'!$C:$FB,4)</f>
        <v>5213.5</v>
      </c>
      <c r="E12" s="75">
        <f>VLOOKUP($A12,'Data Vlaue (Cr)'!$C:$FB,5)</f>
        <v>5192.5</v>
      </c>
      <c r="F12" s="75">
        <f t="shared" ref="F12:F75" si="0">D12-C12</f>
        <v>1.5</v>
      </c>
      <c r="G12" s="75">
        <f t="shared" ref="G12:G74" si="1">(D12-E12)/D12*100</f>
        <v>0.40280042198139449</v>
      </c>
      <c r="H12" s="75">
        <f>VLOOKUP($A12,'Data Vlaue (Cr)'!$C:$FB,99)</f>
        <v>2455</v>
      </c>
      <c r="I12" s="75">
        <f>VLOOKUP($A12,'Data Vlaue (Cr)'!$C:$FB,100)</f>
        <v>2422</v>
      </c>
      <c r="J12" s="75">
        <f t="shared" ref="J12:J75" si="2">H12-I12</f>
        <v>33</v>
      </c>
      <c r="K12" s="75">
        <f t="shared" ref="K12:K75" si="3">J12/H12*100</f>
        <v>1.3441955193482689</v>
      </c>
      <c r="L12" s="75">
        <f>VLOOKUP($A12,'Data Vlaue (Cr)'!$C:$FB,67)</f>
        <v>4372</v>
      </c>
      <c r="M12" s="75">
        <f>VLOOKUP($A12,'Data Vlaue (Cr)'!$C:$FB,68)</f>
        <v>1910</v>
      </c>
      <c r="N12" s="75">
        <f t="shared" ref="N12:N75" si="4">L12-M12</f>
        <v>2462</v>
      </c>
      <c r="O12" s="75">
        <f t="shared" ref="O12:O75" si="5">N12/L12*100</f>
        <v>56.312900274473918</v>
      </c>
      <c r="P12" s="75">
        <f>VLOOKUP($A12,'Data Vlaue (Cr)'!$C:$FB,119)</f>
        <v>0.69</v>
      </c>
      <c r="Q12" s="75">
        <f>VLOOKUP($A12,'Data Vlaue (Cr)'!$C:$FB,122)*100</f>
        <v>11.29</v>
      </c>
      <c r="R12" s="75">
        <f>VLOOKUP($A12,'Data Vlaue (Cr)'!$C:$FB,125)</f>
        <v>0.64</v>
      </c>
      <c r="S12" s="75">
        <f>VLOOKUP($A12,'Data Vlaue (Cr)'!$C:$FB,128)*100</f>
        <v>106.45</v>
      </c>
    </row>
    <row r="13" spans="1:19" x14ac:dyDescent="0.25">
      <c r="A13" s="96" t="str">
        <f>'Data Vlaue (Cr)'!C4</f>
        <v>ABCAPITAL</v>
      </c>
      <c r="B13" s="75">
        <f>VLOOKUP($A13,'Data Vlaue (Cr)'!$C:$FB,2)</f>
        <v>3100</v>
      </c>
      <c r="C13" s="75">
        <f>VLOOKUP($A13,'Data Vlaue (Cr)'!$C:$FB,8)</f>
        <v>300</v>
      </c>
      <c r="D13" s="75">
        <f>VLOOKUP($A13,'Data Vlaue (Cr)'!$C:$FB,4)</f>
        <v>301</v>
      </c>
      <c r="E13" s="75">
        <f>VLOOKUP($A13,'Data Vlaue (Cr)'!$C:$FB,5)</f>
        <v>304.75</v>
      </c>
      <c r="F13" s="75">
        <f t="shared" si="0"/>
        <v>1</v>
      </c>
      <c r="G13" s="75">
        <f t="shared" si="1"/>
        <v>-1.2458471760797343</v>
      </c>
      <c r="H13" s="75">
        <f>VLOOKUP($A13,'Data Vlaue (Cr)'!$C:$FB,99)</f>
        <v>3490</v>
      </c>
      <c r="I13" s="75">
        <f>VLOOKUP($A13,'Data Vlaue (Cr)'!$C:$FB,100)</f>
        <v>3448</v>
      </c>
      <c r="J13" s="75">
        <f t="shared" si="2"/>
        <v>42</v>
      </c>
      <c r="K13" s="75">
        <f t="shared" si="3"/>
        <v>1.2034383954154728</v>
      </c>
      <c r="L13" s="75">
        <f>VLOOKUP($A13,'Data Vlaue (Cr)'!$C:$FB,67)</f>
        <v>1151</v>
      </c>
      <c r="M13" s="75">
        <f>VLOOKUP($A13,'Data Vlaue (Cr)'!$C:$FB,68)</f>
        <v>1623</v>
      </c>
      <c r="N13" s="75">
        <f t="shared" si="4"/>
        <v>-472</v>
      </c>
      <c r="O13" s="75">
        <f t="shared" si="5"/>
        <v>-41.007819287576019</v>
      </c>
      <c r="P13" s="75">
        <f>VLOOKUP($A13,'Data Vlaue (Cr)'!$C:$FB,119)</f>
        <v>0.56000000000000005</v>
      </c>
      <c r="Q13" s="75">
        <f>VLOOKUP($A13,'Data Vlaue (Cr)'!$C:$FB,122)*100</f>
        <v>-1.7500000000000002</v>
      </c>
      <c r="R13" s="75">
        <f>VLOOKUP($A13,'Data Vlaue (Cr)'!$C:$FB,125)</f>
        <v>0.45</v>
      </c>
      <c r="S13" s="75">
        <f>VLOOKUP($A13,'Data Vlaue (Cr)'!$C:$FB,128)*100</f>
        <v>-15.09</v>
      </c>
    </row>
    <row r="14" spans="1:19" x14ac:dyDescent="0.25">
      <c r="A14" s="96" t="str">
        <f>'Data Vlaue (Cr)'!C5</f>
        <v>ADANIENSOL</v>
      </c>
      <c r="B14" s="75">
        <f>VLOOKUP($A14,'Data Vlaue (Cr)'!$C:$FB,2)</f>
        <v>675</v>
      </c>
      <c r="C14" s="75">
        <f>VLOOKUP($A14,'Data Vlaue (Cr)'!$C:$FB,8)</f>
        <v>947.95</v>
      </c>
      <c r="D14" s="75">
        <f>VLOOKUP($A14,'Data Vlaue (Cr)'!$C:$FB,4)</f>
        <v>948.7</v>
      </c>
      <c r="E14" s="75">
        <f>VLOOKUP($A14,'Data Vlaue (Cr)'!$C:$FB,5)</f>
        <v>948.55</v>
      </c>
      <c r="F14" s="75">
        <f t="shared" si="0"/>
        <v>0.75</v>
      </c>
      <c r="G14" s="75">
        <f t="shared" si="1"/>
        <v>1.5811109939927369E-2</v>
      </c>
      <c r="H14" s="75">
        <f>VLOOKUP($A14,'Data Vlaue (Cr)'!$C:$FB,99)</f>
        <v>2282</v>
      </c>
      <c r="I14" s="75">
        <f>VLOOKUP($A14,'Data Vlaue (Cr)'!$C:$FB,100)</f>
        <v>2296</v>
      </c>
      <c r="J14" s="75">
        <f t="shared" si="2"/>
        <v>-14</v>
      </c>
      <c r="K14" s="75">
        <f t="shared" si="3"/>
        <v>-0.61349693251533743</v>
      </c>
      <c r="L14" s="75">
        <f>VLOOKUP($A14,'Data Vlaue (Cr)'!$C:$FB,67)</f>
        <v>841</v>
      </c>
      <c r="M14" s="75">
        <f>VLOOKUP($A14,'Data Vlaue (Cr)'!$C:$FB,68)</f>
        <v>861</v>
      </c>
      <c r="N14" s="75">
        <f t="shared" si="4"/>
        <v>-20</v>
      </c>
      <c r="O14" s="75">
        <f>N14/L14*100</f>
        <v>-2.3781212841854935</v>
      </c>
      <c r="P14" s="75">
        <f>VLOOKUP($A14,'Data Vlaue (Cr)'!$C:$FB,119)</f>
        <v>0.64</v>
      </c>
      <c r="Q14" s="75">
        <f>VLOOKUP($A14,'Data Vlaue (Cr)'!$C:$FB,122)*100</f>
        <v>1.59</v>
      </c>
      <c r="R14" s="75">
        <f>VLOOKUP($A14,'Data Vlaue (Cr)'!$C:$FB,125)</f>
        <v>0.38</v>
      </c>
      <c r="S14" s="75">
        <f>VLOOKUP($A14,'Data Vlaue (Cr)'!$C:$FB,128)*100</f>
        <v>22.58</v>
      </c>
    </row>
    <row r="15" spans="1:19" x14ac:dyDescent="0.25">
      <c r="A15" s="96" t="str">
        <f>'Data Vlaue (Cr)'!C6</f>
        <v>ADANIENT</v>
      </c>
      <c r="B15" s="75">
        <f>VLOOKUP($A15,'Data Vlaue (Cr)'!$C:$FB,2)</f>
        <v>300</v>
      </c>
      <c r="C15" s="75">
        <f>VLOOKUP($A15,'Data Vlaue (Cr)'!$C:$FB,8)</f>
        <v>2557.6</v>
      </c>
      <c r="D15" s="75">
        <f>VLOOKUP($A15,'Data Vlaue (Cr)'!$C:$FB,4)</f>
        <v>2567.6999999999998</v>
      </c>
      <c r="E15" s="75">
        <f>VLOOKUP($A15,'Data Vlaue (Cr)'!$C:$FB,5)</f>
        <v>2544.6</v>
      </c>
      <c r="F15" s="75">
        <f t="shared" si="0"/>
        <v>10.099999999999909</v>
      </c>
      <c r="G15" s="75">
        <f t="shared" si="1"/>
        <v>0.89963780815515482</v>
      </c>
      <c r="H15" s="75">
        <f>VLOOKUP($A15,'Data Vlaue (Cr)'!$C:$FB,99)</f>
        <v>7088</v>
      </c>
      <c r="I15" s="75">
        <f>VLOOKUP($A15,'Data Vlaue (Cr)'!$C:$FB,100)</f>
        <v>7057</v>
      </c>
      <c r="J15" s="75">
        <f t="shared" si="2"/>
        <v>31</v>
      </c>
      <c r="K15" s="75">
        <f t="shared" si="3"/>
        <v>0.43735891647855529</v>
      </c>
      <c r="L15" s="75">
        <f>VLOOKUP($A15,'Data Vlaue (Cr)'!$C:$FB,67)</f>
        <v>4074</v>
      </c>
      <c r="M15" s="75">
        <f>VLOOKUP($A15,'Data Vlaue (Cr)'!$C:$FB,68)</f>
        <v>3693</v>
      </c>
      <c r="N15" s="75">
        <f t="shared" si="4"/>
        <v>381</v>
      </c>
      <c r="O15" s="75">
        <f t="shared" si="5"/>
        <v>9.3519882179675999</v>
      </c>
      <c r="P15" s="75">
        <f>VLOOKUP($A15,'Data Vlaue (Cr)'!$C:$FB,119)</f>
        <v>0.55000000000000004</v>
      </c>
      <c r="Q15" s="75">
        <f>VLOOKUP($A15,'Data Vlaue (Cr)'!$C:$FB,122)*100</f>
        <v>-1.79</v>
      </c>
      <c r="R15" s="75">
        <f>VLOOKUP($A15,'Data Vlaue (Cr)'!$C:$FB,125)</f>
        <v>0.33</v>
      </c>
      <c r="S15" s="75">
        <f>VLOOKUP($A15,'Data Vlaue (Cr)'!$C:$FB,128)*100</f>
        <v>-2.94</v>
      </c>
    </row>
    <row r="16" spans="1:19" x14ac:dyDescent="0.25">
      <c r="A16" s="96" t="str">
        <f>'Data Vlaue (Cr)'!C7</f>
        <v>ADANIGREEN</v>
      </c>
      <c r="B16" s="75">
        <f>VLOOKUP($A16,'Data Vlaue (Cr)'!$C:$FB,2)</f>
        <v>600</v>
      </c>
      <c r="C16" s="75">
        <f>VLOOKUP($A16,'Data Vlaue (Cr)'!$C:$FB,8)</f>
        <v>1060.3</v>
      </c>
      <c r="D16" s="75">
        <f>VLOOKUP($A16,'Data Vlaue (Cr)'!$C:$FB,4)</f>
        <v>1064.3</v>
      </c>
      <c r="E16" s="75">
        <f>VLOOKUP($A16,'Data Vlaue (Cr)'!$C:$FB,5)</f>
        <v>1050.3</v>
      </c>
      <c r="F16" s="75">
        <f t="shared" si="0"/>
        <v>4</v>
      </c>
      <c r="G16" s="75">
        <f t="shared" si="1"/>
        <v>1.3154185849854365</v>
      </c>
      <c r="H16" s="75">
        <f>VLOOKUP($A16,'Data Vlaue (Cr)'!$C:$FB,99)</f>
        <v>3956</v>
      </c>
      <c r="I16" s="75">
        <f>VLOOKUP($A16,'Data Vlaue (Cr)'!$C:$FB,100)</f>
        <v>3921</v>
      </c>
      <c r="J16" s="75">
        <f t="shared" si="2"/>
        <v>35</v>
      </c>
      <c r="K16" s="75">
        <f t="shared" si="3"/>
        <v>0.88473205257836207</v>
      </c>
      <c r="L16" s="75">
        <f>VLOOKUP($A16,'Data Vlaue (Cr)'!$C:$FB,67)</f>
        <v>2147</v>
      </c>
      <c r="M16" s="75">
        <f>VLOOKUP($A16,'Data Vlaue (Cr)'!$C:$FB,68)</f>
        <v>1470</v>
      </c>
      <c r="N16" s="75">
        <f t="shared" si="4"/>
        <v>677</v>
      </c>
      <c r="O16" s="75">
        <f t="shared" si="5"/>
        <v>31.532370749883558</v>
      </c>
      <c r="P16" s="75">
        <f>VLOOKUP($A16,'Data Vlaue (Cr)'!$C:$FB,119)</f>
        <v>0.5</v>
      </c>
      <c r="Q16" s="75">
        <f>VLOOKUP($A16,'Data Vlaue (Cr)'!$C:$FB,122)*100</f>
        <v>6.38</v>
      </c>
      <c r="R16" s="75">
        <f>VLOOKUP($A16,'Data Vlaue (Cr)'!$C:$FB,125)</f>
        <v>0.28000000000000003</v>
      </c>
      <c r="S16" s="75">
        <f>VLOOKUP($A16,'Data Vlaue (Cr)'!$C:$FB,128)*100</f>
        <v>-12.5</v>
      </c>
    </row>
    <row r="17" spans="1:19" x14ac:dyDescent="0.25">
      <c r="A17" s="96" t="str">
        <f>'Data Vlaue (Cr)'!C8</f>
        <v>ADANIPORTS</v>
      </c>
      <c r="B17" s="75">
        <f>VLOOKUP($A17,'Data Vlaue (Cr)'!$C:$FB,2)</f>
        <v>475</v>
      </c>
      <c r="C17" s="75">
        <f>VLOOKUP($A17,'Data Vlaue (Cr)'!$C:$FB,8)</f>
        <v>1479.5</v>
      </c>
      <c r="D17" s="75">
        <f>VLOOKUP($A17,'Data Vlaue (Cr)'!$C:$FB,4)</f>
        <v>1481.7</v>
      </c>
      <c r="E17" s="75">
        <f>VLOOKUP($A17,'Data Vlaue (Cr)'!$C:$FB,5)</f>
        <v>1457.3</v>
      </c>
      <c r="F17" s="75">
        <f t="shared" si="0"/>
        <v>2.2000000000000455</v>
      </c>
      <c r="G17" s="75">
        <f t="shared" si="1"/>
        <v>1.6467571033272652</v>
      </c>
      <c r="H17" s="75">
        <f>VLOOKUP($A17,'Data Vlaue (Cr)'!$C:$FB,99)</f>
        <v>5223</v>
      </c>
      <c r="I17" s="75">
        <f>VLOOKUP($A17,'Data Vlaue (Cr)'!$C:$FB,100)</f>
        <v>5162</v>
      </c>
      <c r="J17" s="75">
        <f t="shared" si="2"/>
        <v>61</v>
      </c>
      <c r="K17" s="75">
        <f t="shared" si="3"/>
        <v>1.1679111621673368</v>
      </c>
      <c r="L17" s="75">
        <f>VLOOKUP($A17,'Data Vlaue (Cr)'!$C:$FB,67)</f>
        <v>6520</v>
      </c>
      <c r="M17" s="75">
        <f>VLOOKUP($A17,'Data Vlaue (Cr)'!$C:$FB,68)</f>
        <v>3747</v>
      </c>
      <c r="N17" s="75">
        <f t="shared" si="4"/>
        <v>2773</v>
      </c>
      <c r="O17" s="75">
        <f t="shared" si="5"/>
        <v>42.530674846625764</v>
      </c>
      <c r="P17" s="75">
        <f>VLOOKUP($A17,'Data Vlaue (Cr)'!$C:$FB,119)</f>
        <v>0.73</v>
      </c>
      <c r="Q17" s="75">
        <f>VLOOKUP($A17,'Data Vlaue (Cr)'!$C:$FB,122)*100</f>
        <v>7.35</v>
      </c>
      <c r="R17" s="75">
        <f>VLOOKUP($A17,'Data Vlaue (Cr)'!$C:$FB,125)</f>
        <v>0.39</v>
      </c>
      <c r="S17" s="75">
        <f>VLOOKUP($A17,'Data Vlaue (Cr)'!$C:$FB,128)*100</f>
        <v>-2.5</v>
      </c>
    </row>
    <row r="18" spans="1:19" x14ac:dyDescent="0.25">
      <c r="A18" s="96" t="str">
        <f>'Data Vlaue (Cr)'!C9</f>
        <v>ALKEM</v>
      </c>
      <c r="B18" s="75">
        <f>VLOOKUP($A18,'Data Vlaue (Cr)'!$C:$FB,2)</f>
        <v>125</v>
      </c>
      <c r="C18" s="75">
        <f>VLOOKUP($A18,'Data Vlaue (Cr)'!$C:$FB,8)</f>
        <v>5524</v>
      </c>
      <c r="D18" s="75">
        <f>VLOOKUP($A18,'Data Vlaue (Cr)'!$C:$FB,4)</f>
        <v>5545</v>
      </c>
      <c r="E18" s="75">
        <f>VLOOKUP($A18,'Data Vlaue (Cr)'!$C:$FB,5)</f>
        <v>5575</v>
      </c>
      <c r="F18" s="75">
        <f t="shared" si="0"/>
        <v>21</v>
      </c>
      <c r="G18" s="75">
        <f t="shared" si="1"/>
        <v>-0.54102795311091079</v>
      </c>
      <c r="H18" s="75">
        <f>VLOOKUP($A18,'Data Vlaue (Cr)'!$C:$FB,99)</f>
        <v>1119</v>
      </c>
      <c r="I18" s="75">
        <f>VLOOKUP($A18,'Data Vlaue (Cr)'!$C:$FB,100)</f>
        <v>1109</v>
      </c>
      <c r="J18" s="75">
        <f t="shared" si="2"/>
        <v>10</v>
      </c>
      <c r="K18" s="75">
        <f t="shared" si="3"/>
        <v>0.89365504915102767</v>
      </c>
      <c r="L18" s="75">
        <f>VLOOKUP($A18,'Data Vlaue (Cr)'!$C:$FB,67)</f>
        <v>256</v>
      </c>
      <c r="M18" s="75">
        <f>VLOOKUP($A18,'Data Vlaue (Cr)'!$C:$FB,68)</f>
        <v>500</v>
      </c>
      <c r="N18" s="75">
        <f t="shared" si="4"/>
        <v>-244</v>
      </c>
      <c r="O18" s="75">
        <f t="shared" si="5"/>
        <v>-95.3125</v>
      </c>
      <c r="P18" s="75">
        <f>VLOOKUP($A18,'Data Vlaue (Cr)'!$C:$FB,119)</f>
        <v>0.64</v>
      </c>
      <c r="Q18" s="75">
        <f>VLOOKUP($A18,'Data Vlaue (Cr)'!$C:$FB,122)*100</f>
        <v>0</v>
      </c>
      <c r="R18" s="75">
        <f>VLOOKUP($A18,'Data Vlaue (Cr)'!$C:$FB,125)</f>
        <v>0.53</v>
      </c>
      <c r="S18" s="75">
        <f>VLOOKUP($A18,'Data Vlaue (Cr)'!$C:$FB,128)*100</f>
        <v>96.3</v>
      </c>
    </row>
    <row r="19" spans="1:19" x14ac:dyDescent="0.25">
      <c r="A19" s="96" t="str">
        <f>'Data Vlaue (Cr)'!C10</f>
        <v>AMBER</v>
      </c>
      <c r="B19" s="75">
        <f>VLOOKUP($A19,'Data Vlaue (Cr)'!$C:$FB,2)</f>
        <v>100</v>
      </c>
      <c r="C19" s="75">
        <f>VLOOKUP($A19,'Data Vlaue (Cr)'!$C:$FB,8)</f>
        <v>8239</v>
      </c>
      <c r="D19" s="75">
        <f>VLOOKUP($A19,'Data Vlaue (Cr)'!$C:$FB,4)</f>
        <v>8128</v>
      </c>
      <c r="E19" s="75">
        <f>VLOOKUP($A19,'Data Vlaue (Cr)'!$C:$FB,5)</f>
        <v>8119.5</v>
      </c>
      <c r="F19" s="75">
        <f t="shared" si="0"/>
        <v>-111</v>
      </c>
      <c r="G19" s="75">
        <f t="shared" si="1"/>
        <v>0.10457677165354332</v>
      </c>
      <c r="H19" s="75">
        <f>VLOOKUP($A19,'Data Vlaue (Cr)'!$C:$FB,99)</f>
        <v>1502</v>
      </c>
      <c r="I19" s="75">
        <f>VLOOKUP($A19,'Data Vlaue (Cr)'!$C:$FB,100)</f>
        <v>1394</v>
      </c>
      <c r="J19" s="75">
        <f t="shared" si="2"/>
        <v>108</v>
      </c>
      <c r="K19" s="75">
        <f t="shared" si="3"/>
        <v>7.1904127829560585</v>
      </c>
      <c r="L19" s="75">
        <f>VLOOKUP($A19,'Data Vlaue (Cr)'!$C:$FB,67)</f>
        <v>1049</v>
      </c>
      <c r="M19" s="75">
        <f>VLOOKUP($A19,'Data Vlaue (Cr)'!$C:$FB,68)</f>
        <v>970</v>
      </c>
      <c r="N19" s="75">
        <f t="shared" si="4"/>
        <v>79</v>
      </c>
      <c r="O19" s="75">
        <f t="shared" si="5"/>
        <v>7.5309818875119161</v>
      </c>
      <c r="P19" s="75">
        <f>VLOOKUP($A19,'Data Vlaue (Cr)'!$C:$FB,119)</f>
        <v>0.51</v>
      </c>
      <c r="Q19" s="75">
        <f>VLOOKUP($A19,'Data Vlaue (Cr)'!$C:$FB,122)*100</f>
        <v>0</v>
      </c>
      <c r="R19" s="75">
        <f>VLOOKUP($A19,'Data Vlaue (Cr)'!$C:$FB,125)</f>
        <v>0.27</v>
      </c>
      <c r="S19" s="75">
        <f>VLOOKUP($A19,'Data Vlaue (Cr)'!$C:$FB,128)*100</f>
        <v>-12.9</v>
      </c>
    </row>
    <row r="20" spans="1:19" x14ac:dyDescent="0.25">
      <c r="A20" s="96" t="str">
        <f>'Data Vlaue (Cr)'!C11</f>
        <v>AMBUJACEM</v>
      </c>
      <c r="B20" s="75">
        <f>VLOOKUP($A20,'Data Vlaue (Cr)'!$C:$FB,2)</f>
        <v>1050</v>
      </c>
      <c r="C20" s="75">
        <f>VLOOKUP($A20,'Data Vlaue (Cr)'!$C:$FB,8)</f>
        <v>569.70000000000005</v>
      </c>
      <c r="D20" s="75">
        <f>VLOOKUP($A20,'Data Vlaue (Cr)'!$C:$FB,4)</f>
        <v>571.5</v>
      </c>
      <c r="E20" s="75">
        <f>VLOOKUP($A20,'Data Vlaue (Cr)'!$C:$FB,5)</f>
        <v>569.29999999999995</v>
      </c>
      <c r="F20" s="75">
        <f t="shared" si="0"/>
        <v>1.7999999999999545</v>
      </c>
      <c r="G20" s="75">
        <f t="shared" si="1"/>
        <v>0.38495188101488109</v>
      </c>
      <c r="H20" s="75">
        <f>VLOOKUP($A20,'Data Vlaue (Cr)'!$C:$FB,99)</f>
        <v>3506</v>
      </c>
      <c r="I20" s="75">
        <f>VLOOKUP($A20,'Data Vlaue (Cr)'!$C:$FB,100)</f>
        <v>3528</v>
      </c>
      <c r="J20" s="75">
        <f t="shared" si="2"/>
        <v>-22</v>
      </c>
      <c r="K20" s="75">
        <f t="shared" si="3"/>
        <v>-0.62749572162007994</v>
      </c>
      <c r="L20" s="75">
        <f>VLOOKUP($A20,'Data Vlaue (Cr)'!$C:$FB,67)</f>
        <v>907</v>
      </c>
      <c r="M20" s="75">
        <f>VLOOKUP($A20,'Data Vlaue (Cr)'!$C:$FB,68)</f>
        <v>636</v>
      </c>
      <c r="N20" s="75">
        <f t="shared" si="4"/>
        <v>271</v>
      </c>
      <c r="O20" s="75">
        <f t="shared" si="5"/>
        <v>29.878721058434397</v>
      </c>
      <c r="P20" s="75">
        <f>VLOOKUP($A20,'Data Vlaue (Cr)'!$C:$FB,119)</f>
        <v>0.62</v>
      </c>
      <c r="Q20" s="75">
        <f>VLOOKUP($A20,'Data Vlaue (Cr)'!$C:$FB,122)*100</f>
        <v>-1.59</v>
      </c>
      <c r="R20" s="75">
        <f>VLOOKUP($A20,'Data Vlaue (Cr)'!$C:$FB,125)</f>
        <v>0.48</v>
      </c>
      <c r="S20" s="75">
        <f>VLOOKUP($A20,'Data Vlaue (Cr)'!$C:$FB,128)*100</f>
        <v>23.080000000000002</v>
      </c>
    </row>
    <row r="21" spans="1:19" x14ac:dyDescent="0.25">
      <c r="A21" s="96" t="str">
        <f>'Data Vlaue (Cr)'!C12</f>
        <v>ANGELONE</v>
      </c>
      <c r="B21" s="75">
        <f>VLOOKUP($A21,'Data Vlaue (Cr)'!$C:$FB,2)</f>
        <v>250</v>
      </c>
      <c r="C21" s="75">
        <f>VLOOKUP($A21,'Data Vlaue (Cr)'!$C:$FB,8)</f>
        <v>2482.6</v>
      </c>
      <c r="D21" s="75">
        <f>VLOOKUP($A21,'Data Vlaue (Cr)'!$C:$FB,4)</f>
        <v>2479.5</v>
      </c>
      <c r="E21" s="75">
        <f>VLOOKUP($A21,'Data Vlaue (Cr)'!$C:$FB,5)</f>
        <v>2452.3000000000002</v>
      </c>
      <c r="F21" s="75">
        <f t="shared" si="0"/>
        <v>-3.0999999999999091</v>
      </c>
      <c r="G21" s="75">
        <f t="shared" si="1"/>
        <v>1.0969953619681314</v>
      </c>
      <c r="H21" s="75">
        <f>VLOOKUP($A21,'Data Vlaue (Cr)'!$C:$FB,99)</f>
        <v>2144</v>
      </c>
      <c r="I21" s="75">
        <f>VLOOKUP($A21,'Data Vlaue (Cr)'!$C:$FB,100)</f>
        <v>2275</v>
      </c>
      <c r="J21" s="75">
        <f t="shared" si="2"/>
        <v>-131</v>
      </c>
      <c r="K21" s="75">
        <f t="shared" si="3"/>
        <v>-6.1100746268656723</v>
      </c>
      <c r="L21" s="75">
        <f>VLOOKUP($A21,'Data Vlaue (Cr)'!$C:$FB,67)</f>
        <v>11687</v>
      </c>
      <c r="M21" s="75">
        <f>VLOOKUP($A21,'Data Vlaue (Cr)'!$C:$FB,68)</f>
        <v>4672</v>
      </c>
      <c r="N21" s="75">
        <f t="shared" si="4"/>
        <v>7015</v>
      </c>
      <c r="O21" s="75">
        <f t="shared" si="5"/>
        <v>60.023958244202959</v>
      </c>
      <c r="P21" s="75">
        <f>VLOOKUP($A21,'Data Vlaue (Cr)'!$C:$FB,119)</f>
        <v>0.82</v>
      </c>
      <c r="Q21" s="75">
        <f>VLOOKUP($A21,'Data Vlaue (Cr)'!$C:$FB,122)*100</f>
        <v>-2.3800000000000003</v>
      </c>
      <c r="R21" s="75">
        <f>VLOOKUP($A21,'Data Vlaue (Cr)'!$C:$FB,125)</f>
        <v>0.66</v>
      </c>
      <c r="S21" s="75">
        <f>VLOOKUP($A21,'Data Vlaue (Cr)'!$C:$FB,128)*100</f>
        <v>50</v>
      </c>
    </row>
    <row r="22" spans="1:19" x14ac:dyDescent="0.25">
      <c r="A22" s="96" t="str">
        <f>'Data Vlaue (Cr)'!C13</f>
        <v>APLAPOLLO</v>
      </c>
      <c r="B22" s="75">
        <f>VLOOKUP($A22,'Data Vlaue (Cr)'!$C:$FB,2)</f>
        <v>350</v>
      </c>
      <c r="C22" s="75">
        <f>VLOOKUP($A22,'Data Vlaue (Cr)'!$C:$FB,8)</f>
        <v>1728</v>
      </c>
      <c r="D22" s="75">
        <f>VLOOKUP($A22,'Data Vlaue (Cr)'!$C:$FB,4)</f>
        <v>1734</v>
      </c>
      <c r="E22" s="75">
        <f>VLOOKUP($A22,'Data Vlaue (Cr)'!$C:$FB,5)</f>
        <v>1740.7</v>
      </c>
      <c r="F22" s="75">
        <f t="shared" si="0"/>
        <v>6</v>
      </c>
      <c r="G22" s="75">
        <f t="shared" si="1"/>
        <v>-0.38638985005767273</v>
      </c>
      <c r="H22" s="75">
        <f>VLOOKUP($A22,'Data Vlaue (Cr)'!$C:$FB,99)</f>
        <v>1993</v>
      </c>
      <c r="I22" s="75">
        <f>VLOOKUP($A22,'Data Vlaue (Cr)'!$C:$FB,100)</f>
        <v>1984</v>
      </c>
      <c r="J22" s="75">
        <f t="shared" si="2"/>
        <v>9</v>
      </c>
      <c r="K22" s="75">
        <f t="shared" si="3"/>
        <v>0.45158053186151526</v>
      </c>
      <c r="L22" s="75">
        <f>VLOOKUP($A22,'Data Vlaue (Cr)'!$C:$FB,67)</f>
        <v>225</v>
      </c>
      <c r="M22" s="75">
        <f>VLOOKUP($A22,'Data Vlaue (Cr)'!$C:$FB,68)</f>
        <v>198</v>
      </c>
      <c r="N22" s="75">
        <f t="shared" si="4"/>
        <v>27</v>
      </c>
      <c r="O22" s="75">
        <f t="shared" si="5"/>
        <v>12</v>
      </c>
      <c r="P22" s="75">
        <f>VLOOKUP($A22,'Data Vlaue (Cr)'!$C:$FB,119)</f>
        <v>0.5</v>
      </c>
      <c r="Q22" s="75">
        <f>VLOOKUP($A22,'Data Vlaue (Cr)'!$C:$FB,122)*100</f>
        <v>-3.85</v>
      </c>
      <c r="R22" s="75">
        <f>VLOOKUP($A22,'Data Vlaue (Cr)'!$C:$FB,125)</f>
        <v>0.33</v>
      </c>
      <c r="S22" s="75">
        <f>VLOOKUP($A22,'Data Vlaue (Cr)'!$C:$FB,128)*100</f>
        <v>-19.509999999999998</v>
      </c>
    </row>
    <row r="23" spans="1:19" x14ac:dyDescent="0.25">
      <c r="A23" s="96" t="str">
        <f>'Data Vlaue (Cr)'!C14</f>
        <v>APOLLOHOSP</v>
      </c>
      <c r="B23" s="75">
        <f>VLOOKUP($A23,'Data Vlaue (Cr)'!$C:$FB,2)</f>
        <v>125</v>
      </c>
      <c r="C23" s="75">
        <f>VLOOKUP($A23,'Data Vlaue (Cr)'!$C:$FB,8)</f>
        <v>7833.5</v>
      </c>
      <c r="D23" s="75">
        <f>VLOOKUP($A23,'Data Vlaue (Cr)'!$C:$FB,4)</f>
        <v>7860.5</v>
      </c>
      <c r="E23" s="75">
        <f>VLOOKUP($A23,'Data Vlaue (Cr)'!$C:$FB,5)</f>
        <v>7838</v>
      </c>
      <c r="F23" s="75">
        <f t="shared" si="0"/>
        <v>27</v>
      </c>
      <c r="G23" s="75">
        <f t="shared" si="1"/>
        <v>0.28624133324852108</v>
      </c>
      <c r="H23" s="75">
        <f>VLOOKUP($A23,'Data Vlaue (Cr)'!$C:$FB,99)</f>
        <v>3091</v>
      </c>
      <c r="I23" s="75">
        <f>VLOOKUP($A23,'Data Vlaue (Cr)'!$C:$FB,100)</f>
        <v>3116</v>
      </c>
      <c r="J23" s="75">
        <f t="shared" si="2"/>
        <v>-25</v>
      </c>
      <c r="K23" s="75">
        <f t="shared" si="3"/>
        <v>-0.80879974118408282</v>
      </c>
      <c r="L23" s="75">
        <f>VLOOKUP($A23,'Data Vlaue (Cr)'!$C:$FB,67)</f>
        <v>1369</v>
      </c>
      <c r="M23" s="75">
        <f>VLOOKUP($A23,'Data Vlaue (Cr)'!$C:$FB,68)</f>
        <v>2432</v>
      </c>
      <c r="N23" s="75">
        <f t="shared" si="4"/>
        <v>-1063</v>
      </c>
      <c r="O23" s="75">
        <f t="shared" si="5"/>
        <v>-77.647918188458732</v>
      </c>
      <c r="P23" s="75">
        <f>VLOOKUP($A23,'Data Vlaue (Cr)'!$C:$FB,119)</f>
        <v>0.87</v>
      </c>
      <c r="Q23" s="75">
        <f>VLOOKUP($A23,'Data Vlaue (Cr)'!$C:$FB,122)*100</f>
        <v>7.41</v>
      </c>
      <c r="R23" s="75">
        <f>VLOOKUP($A23,'Data Vlaue (Cr)'!$C:$FB,125)</f>
        <v>0.61</v>
      </c>
      <c r="S23" s="75">
        <f>VLOOKUP($A23,'Data Vlaue (Cr)'!$C:$FB,128)*100</f>
        <v>-3.17</v>
      </c>
    </row>
    <row r="24" spans="1:19" x14ac:dyDescent="0.25">
      <c r="A24" s="96" t="str">
        <f>'Data Vlaue (Cr)'!C15</f>
        <v>ASHOKLEY</v>
      </c>
      <c r="B24" s="75">
        <f>VLOOKUP($A24,'Data Vlaue (Cr)'!$C:$FB,2)</f>
        <v>5000</v>
      </c>
      <c r="C24" s="75">
        <f>VLOOKUP($A24,'Data Vlaue (Cr)'!$C:$FB,8)</f>
        <v>137.24</v>
      </c>
      <c r="D24" s="75">
        <f>VLOOKUP($A24,'Data Vlaue (Cr)'!$C:$FB,4)</f>
        <v>137.08000000000001</v>
      </c>
      <c r="E24" s="75">
        <f>VLOOKUP($A24,'Data Vlaue (Cr)'!$C:$FB,5)</f>
        <v>135.97999999999999</v>
      </c>
      <c r="F24" s="75">
        <f t="shared" si="0"/>
        <v>-0.15999999999999659</v>
      </c>
      <c r="G24" s="75">
        <f t="shared" si="1"/>
        <v>0.80245112343158931</v>
      </c>
      <c r="H24" s="75">
        <f>VLOOKUP($A24,'Data Vlaue (Cr)'!$C:$FB,99)</f>
        <v>3757</v>
      </c>
      <c r="I24" s="75">
        <f>VLOOKUP($A24,'Data Vlaue (Cr)'!$C:$FB,100)</f>
        <v>3658</v>
      </c>
      <c r="J24" s="75">
        <f t="shared" si="2"/>
        <v>99</v>
      </c>
      <c r="K24" s="75">
        <f t="shared" si="3"/>
        <v>2.6350811817939848</v>
      </c>
      <c r="L24" s="75">
        <f>VLOOKUP($A24,'Data Vlaue (Cr)'!$C:$FB,67)</f>
        <v>1494</v>
      </c>
      <c r="M24" s="75">
        <f>VLOOKUP($A24,'Data Vlaue (Cr)'!$C:$FB,68)</f>
        <v>1051</v>
      </c>
      <c r="N24" s="75">
        <f t="shared" si="4"/>
        <v>443</v>
      </c>
      <c r="O24" s="75">
        <f t="shared" si="5"/>
        <v>29.651941097724233</v>
      </c>
      <c r="P24" s="75">
        <f>VLOOKUP($A24,'Data Vlaue (Cr)'!$C:$FB,119)</f>
        <v>0.42</v>
      </c>
      <c r="Q24" s="75">
        <f>VLOOKUP($A24,'Data Vlaue (Cr)'!$C:$FB,122)*100</f>
        <v>2.44</v>
      </c>
      <c r="R24" s="75">
        <f>VLOOKUP($A24,'Data Vlaue (Cr)'!$C:$FB,125)</f>
        <v>0.4</v>
      </c>
      <c r="S24" s="75">
        <f>VLOOKUP($A24,'Data Vlaue (Cr)'!$C:$FB,128)*100</f>
        <v>21.21</v>
      </c>
    </row>
    <row r="25" spans="1:19" x14ac:dyDescent="0.25">
      <c r="A25" s="96" t="str">
        <f>'Data Vlaue (Cr)'!C16</f>
        <v>ASIANPAINT</v>
      </c>
      <c r="B25" s="75">
        <f>VLOOKUP($A25,'Data Vlaue (Cr)'!$C:$FB,2)</f>
        <v>250</v>
      </c>
      <c r="C25" s="75">
        <f>VLOOKUP($A25,'Data Vlaue (Cr)'!$C:$FB,8)</f>
        <v>2409.6999999999998</v>
      </c>
      <c r="D25" s="75">
        <f>VLOOKUP($A25,'Data Vlaue (Cr)'!$C:$FB,4)</f>
        <v>2417.9</v>
      </c>
      <c r="E25" s="75">
        <f>VLOOKUP($A25,'Data Vlaue (Cr)'!$C:$FB,5)</f>
        <v>2384.9</v>
      </c>
      <c r="F25" s="75">
        <f t="shared" si="0"/>
        <v>8.2000000000002728</v>
      </c>
      <c r="G25" s="75">
        <f t="shared" si="1"/>
        <v>1.3648207121882625</v>
      </c>
      <c r="H25" s="75">
        <f>VLOOKUP($A25,'Data Vlaue (Cr)'!$C:$FB,99)</f>
        <v>5561</v>
      </c>
      <c r="I25" s="75">
        <f>VLOOKUP($A25,'Data Vlaue (Cr)'!$C:$FB,100)</f>
        <v>5582</v>
      </c>
      <c r="J25" s="75">
        <f t="shared" si="2"/>
        <v>-21</v>
      </c>
      <c r="K25" s="75">
        <f t="shared" si="3"/>
        <v>-0.37762992267577772</v>
      </c>
      <c r="L25" s="75">
        <f>VLOOKUP($A25,'Data Vlaue (Cr)'!$C:$FB,67)</f>
        <v>4449</v>
      </c>
      <c r="M25" s="75">
        <f>VLOOKUP($A25,'Data Vlaue (Cr)'!$C:$FB,68)</f>
        <v>5195</v>
      </c>
      <c r="N25" s="75">
        <f t="shared" si="4"/>
        <v>-746</v>
      </c>
      <c r="O25" s="75">
        <f t="shared" si="5"/>
        <v>-16.767812991683524</v>
      </c>
      <c r="P25" s="75">
        <f>VLOOKUP($A25,'Data Vlaue (Cr)'!$C:$FB,119)</f>
        <v>0.63</v>
      </c>
      <c r="Q25" s="75">
        <f>VLOOKUP($A25,'Data Vlaue (Cr)'!$C:$FB,122)*100</f>
        <v>-1.5599999999999998</v>
      </c>
      <c r="R25" s="75">
        <f>VLOOKUP($A25,'Data Vlaue (Cr)'!$C:$FB,125)</f>
        <v>0.48</v>
      </c>
      <c r="S25" s="75">
        <f>VLOOKUP($A25,'Data Vlaue (Cr)'!$C:$FB,128)*100</f>
        <v>11.63</v>
      </c>
    </row>
    <row r="26" spans="1:19" x14ac:dyDescent="0.25">
      <c r="A26" s="96" t="str">
        <f>'Data Vlaue (Cr)'!C17</f>
        <v>ASTRAL</v>
      </c>
      <c r="B26" s="75">
        <f>VLOOKUP($A26,'Data Vlaue (Cr)'!$C:$FB,2)</f>
        <v>425</v>
      </c>
      <c r="C26" s="75">
        <f>VLOOKUP($A26,'Data Vlaue (Cr)'!$C:$FB,8)</f>
        <v>1444.8</v>
      </c>
      <c r="D26" s="75">
        <f>VLOOKUP($A26,'Data Vlaue (Cr)'!$C:$FB,4)</f>
        <v>1445.3</v>
      </c>
      <c r="E26" s="75">
        <f>VLOOKUP($A26,'Data Vlaue (Cr)'!$C:$FB,5)</f>
        <v>1444.6</v>
      </c>
      <c r="F26" s="75">
        <f t="shared" si="0"/>
        <v>0.5</v>
      </c>
      <c r="G26" s="75">
        <f t="shared" si="1"/>
        <v>4.8432851311149626E-2</v>
      </c>
      <c r="H26" s="75">
        <f>VLOOKUP($A26,'Data Vlaue (Cr)'!$C:$FB,99)</f>
        <v>1994</v>
      </c>
      <c r="I26" s="75">
        <f>VLOOKUP($A26,'Data Vlaue (Cr)'!$C:$FB,100)</f>
        <v>1997</v>
      </c>
      <c r="J26" s="75">
        <f t="shared" si="2"/>
        <v>-3</v>
      </c>
      <c r="K26" s="75">
        <f t="shared" si="3"/>
        <v>-0.15045135406218654</v>
      </c>
      <c r="L26" s="75">
        <f>VLOOKUP($A26,'Data Vlaue (Cr)'!$C:$FB,67)</f>
        <v>501</v>
      </c>
      <c r="M26" s="75">
        <f>VLOOKUP($A26,'Data Vlaue (Cr)'!$C:$FB,68)</f>
        <v>1541</v>
      </c>
      <c r="N26" s="75">
        <f t="shared" si="4"/>
        <v>-1040</v>
      </c>
      <c r="O26" s="75">
        <f t="shared" si="5"/>
        <v>-207.58483033932134</v>
      </c>
      <c r="P26" s="75">
        <f>VLOOKUP($A26,'Data Vlaue (Cr)'!$C:$FB,119)</f>
        <v>0.48</v>
      </c>
      <c r="Q26" s="75">
        <f>VLOOKUP($A26,'Data Vlaue (Cr)'!$C:$FB,122)*100</f>
        <v>4.3499999999999996</v>
      </c>
      <c r="R26" s="75">
        <f>VLOOKUP($A26,'Data Vlaue (Cr)'!$C:$FB,125)</f>
        <v>0.39</v>
      </c>
      <c r="S26" s="75">
        <f>VLOOKUP($A26,'Data Vlaue (Cr)'!$C:$FB,128)*100</f>
        <v>5.41</v>
      </c>
    </row>
    <row r="27" spans="1:19" x14ac:dyDescent="0.25">
      <c r="A27" s="96" t="str">
        <f>'Data Vlaue (Cr)'!C18</f>
        <v>AUBANK</v>
      </c>
      <c r="B27" s="75">
        <f>VLOOKUP($A27,'Data Vlaue (Cr)'!$C:$FB,2)</f>
        <v>1000</v>
      </c>
      <c r="C27" s="75">
        <f>VLOOKUP($A27,'Data Vlaue (Cr)'!$C:$FB,8)</f>
        <v>798.5</v>
      </c>
      <c r="D27" s="75">
        <f>VLOOKUP($A27,'Data Vlaue (Cr)'!$C:$FB,4)</f>
        <v>799</v>
      </c>
      <c r="E27" s="75">
        <f>VLOOKUP($A27,'Data Vlaue (Cr)'!$C:$FB,5)</f>
        <v>802.7</v>
      </c>
      <c r="F27" s="75">
        <f t="shared" si="0"/>
        <v>0.5</v>
      </c>
      <c r="G27" s="75">
        <f t="shared" si="1"/>
        <v>-0.46307884856070664</v>
      </c>
      <c r="H27" s="75">
        <f>VLOOKUP($A27,'Data Vlaue (Cr)'!$C:$FB,99)</f>
        <v>2746</v>
      </c>
      <c r="I27" s="75">
        <f>VLOOKUP($A27,'Data Vlaue (Cr)'!$C:$FB,100)</f>
        <v>2717</v>
      </c>
      <c r="J27" s="75">
        <f t="shared" si="2"/>
        <v>29</v>
      </c>
      <c r="K27" s="75">
        <f t="shared" si="3"/>
        <v>1.0560815731973781</v>
      </c>
      <c r="L27" s="75">
        <f>VLOOKUP($A27,'Data Vlaue (Cr)'!$C:$FB,67)</f>
        <v>2535</v>
      </c>
      <c r="M27" s="75">
        <f>VLOOKUP($A27,'Data Vlaue (Cr)'!$C:$FB,68)</f>
        <v>4835</v>
      </c>
      <c r="N27" s="75">
        <f t="shared" si="4"/>
        <v>-2300</v>
      </c>
      <c r="O27" s="75">
        <f t="shared" si="5"/>
        <v>-90.729783037475343</v>
      </c>
      <c r="P27" s="75">
        <f>VLOOKUP($A27,'Data Vlaue (Cr)'!$C:$FB,119)</f>
        <v>0.95</v>
      </c>
      <c r="Q27" s="75">
        <f>VLOOKUP($A27,'Data Vlaue (Cr)'!$C:$FB,122)*100</f>
        <v>-9.5200000000000014</v>
      </c>
      <c r="R27" s="75">
        <f>VLOOKUP($A27,'Data Vlaue (Cr)'!$C:$FB,125)</f>
        <v>0.56999999999999995</v>
      </c>
      <c r="S27" s="75">
        <f>VLOOKUP($A27,'Data Vlaue (Cr)'!$C:$FB,128)*100</f>
        <v>-6.5600000000000005</v>
      </c>
    </row>
    <row r="28" spans="1:19" x14ac:dyDescent="0.25">
      <c r="A28" s="96" t="str">
        <f>'Data Vlaue (Cr)'!C19</f>
        <v>AUROPHARMA</v>
      </c>
      <c r="B28" s="75">
        <f>VLOOKUP($A28,'Data Vlaue (Cr)'!$C:$FB,2)</f>
        <v>550</v>
      </c>
      <c r="C28" s="75">
        <f>VLOOKUP($A28,'Data Vlaue (Cr)'!$C:$FB,8)</f>
        <v>1106.3</v>
      </c>
      <c r="D28" s="75">
        <f>VLOOKUP($A28,'Data Vlaue (Cr)'!$C:$FB,4)</f>
        <v>1110.7</v>
      </c>
      <c r="E28" s="75">
        <f>VLOOKUP($A28,'Data Vlaue (Cr)'!$C:$FB,5)</f>
        <v>1114.5999999999999</v>
      </c>
      <c r="F28" s="75">
        <f t="shared" si="0"/>
        <v>4.4000000000000909</v>
      </c>
      <c r="G28" s="75">
        <f t="shared" si="1"/>
        <v>-0.35112991806967347</v>
      </c>
      <c r="H28" s="75">
        <f>VLOOKUP($A28,'Data Vlaue (Cr)'!$C:$FB,99)</f>
        <v>3417</v>
      </c>
      <c r="I28" s="75">
        <f>VLOOKUP($A28,'Data Vlaue (Cr)'!$C:$FB,100)</f>
        <v>3363</v>
      </c>
      <c r="J28" s="75">
        <f t="shared" si="2"/>
        <v>54</v>
      </c>
      <c r="K28" s="75">
        <f t="shared" si="3"/>
        <v>1.5803336259877085</v>
      </c>
      <c r="L28" s="75">
        <f>VLOOKUP($A28,'Data Vlaue (Cr)'!$C:$FB,67)</f>
        <v>1064</v>
      </c>
      <c r="M28" s="75">
        <f>VLOOKUP($A28,'Data Vlaue (Cr)'!$C:$FB,68)</f>
        <v>820</v>
      </c>
      <c r="N28" s="75">
        <f t="shared" si="4"/>
        <v>244</v>
      </c>
      <c r="O28" s="75">
        <f t="shared" si="5"/>
        <v>22.932330827067666</v>
      </c>
      <c r="P28" s="75">
        <f>VLOOKUP($A28,'Data Vlaue (Cr)'!$C:$FB,119)</f>
        <v>0.64</v>
      </c>
      <c r="Q28" s="75">
        <f>VLOOKUP($A28,'Data Vlaue (Cr)'!$C:$FB,122)*100</f>
        <v>0</v>
      </c>
      <c r="R28" s="75">
        <f>VLOOKUP($A28,'Data Vlaue (Cr)'!$C:$FB,125)</f>
        <v>0.38</v>
      </c>
      <c r="S28" s="75">
        <f>VLOOKUP($A28,'Data Vlaue (Cr)'!$C:$FB,128)*100</f>
        <v>-37.700000000000003</v>
      </c>
    </row>
    <row r="29" spans="1:19" x14ac:dyDescent="0.25">
      <c r="A29" s="96" t="str">
        <f>'Data Vlaue (Cr)'!C20</f>
        <v>AXISBANK</v>
      </c>
      <c r="B29" s="75">
        <f>VLOOKUP($A29,'Data Vlaue (Cr)'!$C:$FB,2)</f>
        <v>625</v>
      </c>
      <c r="C29" s="75">
        <f>VLOOKUP($A29,'Data Vlaue (Cr)'!$C:$FB,8)</f>
        <v>1196.3</v>
      </c>
      <c r="D29" s="75">
        <f>VLOOKUP($A29,'Data Vlaue (Cr)'!$C:$FB,4)</f>
        <v>1197.5999999999999</v>
      </c>
      <c r="E29" s="75">
        <f>VLOOKUP($A29,'Data Vlaue (Cr)'!$C:$FB,5)</f>
        <v>1174.5999999999999</v>
      </c>
      <c r="F29" s="75">
        <f t="shared" si="0"/>
        <v>1.2999999999999545</v>
      </c>
      <c r="G29" s="75">
        <f t="shared" si="1"/>
        <v>1.9205076820307281</v>
      </c>
      <c r="H29" s="75">
        <f>VLOOKUP($A29,'Data Vlaue (Cr)'!$C:$FB,99)</f>
        <v>15353</v>
      </c>
      <c r="I29" s="75">
        <f>VLOOKUP($A29,'Data Vlaue (Cr)'!$C:$FB,100)</f>
        <v>15702</v>
      </c>
      <c r="J29" s="75">
        <f t="shared" si="2"/>
        <v>-349</v>
      </c>
      <c r="K29" s="75">
        <f t="shared" si="3"/>
        <v>-2.2731713671595126</v>
      </c>
      <c r="L29" s="75">
        <f>VLOOKUP($A29,'Data Vlaue (Cr)'!$C:$FB,67)</f>
        <v>28924</v>
      </c>
      <c r="M29" s="75">
        <f>VLOOKUP($A29,'Data Vlaue (Cr)'!$C:$FB,68)</f>
        <v>12441</v>
      </c>
      <c r="N29" s="75">
        <f t="shared" si="4"/>
        <v>16483</v>
      </c>
      <c r="O29" s="75">
        <f t="shared" si="5"/>
        <v>56.987277001797821</v>
      </c>
      <c r="P29" s="75">
        <f>VLOOKUP($A29,'Data Vlaue (Cr)'!$C:$FB,119)</f>
        <v>0.57999999999999996</v>
      </c>
      <c r="Q29" s="75">
        <f>VLOOKUP($A29,'Data Vlaue (Cr)'!$C:$FB,122)*100</f>
        <v>-4.92</v>
      </c>
      <c r="R29" s="75">
        <f>VLOOKUP($A29,'Data Vlaue (Cr)'!$C:$FB,125)</f>
        <v>0.72</v>
      </c>
      <c r="S29" s="75">
        <f>VLOOKUP($A29,'Data Vlaue (Cr)'!$C:$FB,128)*100</f>
        <v>-4</v>
      </c>
    </row>
    <row r="30" spans="1:19" x14ac:dyDescent="0.25">
      <c r="A30" s="96" t="str">
        <f>'Data Vlaue (Cr)'!C21</f>
        <v>BAJAJ-AUTO</v>
      </c>
      <c r="B30" s="75">
        <f>VLOOKUP($A30,'Data Vlaue (Cr)'!$C:$FB,2)</f>
        <v>75</v>
      </c>
      <c r="C30" s="75">
        <f>VLOOKUP($A30,'Data Vlaue (Cr)'!$C:$FB,8)</f>
        <v>9151.5</v>
      </c>
      <c r="D30" s="75">
        <f>VLOOKUP($A30,'Data Vlaue (Cr)'!$C:$FB,4)</f>
        <v>9158</v>
      </c>
      <c r="E30" s="75">
        <f>VLOOKUP($A30,'Data Vlaue (Cr)'!$C:$FB,5)</f>
        <v>9036.5</v>
      </c>
      <c r="F30" s="75">
        <f t="shared" si="0"/>
        <v>6.5</v>
      </c>
      <c r="G30" s="75">
        <f t="shared" si="1"/>
        <v>1.3267088884035816</v>
      </c>
      <c r="H30" s="75">
        <f>VLOOKUP($A30,'Data Vlaue (Cr)'!$C:$FB,99)</f>
        <v>5209</v>
      </c>
      <c r="I30" s="75">
        <f>VLOOKUP($A30,'Data Vlaue (Cr)'!$C:$FB,100)</f>
        <v>5445</v>
      </c>
      <c r="J30" s="75">
        <f t="shared" si="2"/>
        <v>-236</v>
      </c>
      <c r="K30" s="75">
        <f t="shared" si="3"/>
        <v>-4.5306200806296788</v>
      </c>
      <c r="L30" s="75">
        <f>VLOOKUP($A30,'Data Vlaue (Cr)'!$C:$FB,67)</f>
        <v>5079</v>
      </c>
      <c r="M30" s="75">
        <f>VLOOKUP($A30,'Data Vlaue (Cr)'!$C:$FB,68)</f>
        <v>6941</v>
      </c>
      <c r="N30" s="75">
        <f t="shared" si="4"/>
        <v>-1862</v>
      </c>
      <c r="O30" s="75">
        <f t="shared" si="5"/>
        <v>-36.66075999212444</v>
      </c>
      <c r="P30" s="75">
        <f>VLOOKUP($A30,'Data Vlaue (Cr)'!$C:$FB,119)</f>
        <v>0.67</v>
      </c>
      <c r="Q30" s="75">
        <f>VLOOKUP($A30,'Data Vlaue (Cr)'!$C:$FB,122)*100</f>
        <v>9.84</v>
      </c>
      <c r="R30" s="75">
        <f>VLOOKUP($A30,'Data Vlaue (Cr)'!$C:$FB,125)</f>
        <v>0.42</v>
      </c>
      <c r="S30" s="75">
        <f>VLOOKUP($A30,'Data Vlaue (Cr)'!$C:$FB,128)*100</f>
        <v>-27.589999999999996</v>
      </c>
    </row>
    <row r="31" spans="1:19" x14ac:dyDescent="0.25">
      <c r="A31" s="96" t="str">
        <f>'Data Vlaue (Cr)'!C22</f>
        <v>BAJAJFINSV</v>
      </c>
      <c r="B31" s="75">
        <f>VLOOKUP($A31,'Data Vlaue (Cr)'!$C:$FB,2)</f>
        <v>500</v>
      </c>
      <c r="C31" s="75">
        <f>VLOOKUP($A31,'Data Vlaue (Cr)'!$C:$FB,8)</f>
        <v>2090.1999999999998</v>
      </c>
      <c r="D31" s="75">
        <f>VLOOKUP($A31,'Data Vlaue (Cr)'!$C:$FB,4)</f>
        <v>2098</v>
      </c>
      <c r="E31" s="75">
        <f>VLOOKUP($A31,'Data Vlaue (Cr)'!$C:$FB,5)</f>
        <v>2088.3000000000002</v>
      </c>
      <c r="F31" s="75">
        <f t="shared" si="0"/>
        <v>7.8000000000001819</v>
      </c>
      <c r="G31" s="75">
        <f t="shared" si="1"/>
        <v>0.46234509056243173</v>
      </c>
      <c r="H31" s="75">
        <f>VLOOKUP($A31,'Data Vlaue (Cr)'!$C:$FB,99)</f>
        <v>6094</v>
      </c>
      <c r="I31" s="75">
        <f>VLOOKUP($A31,'Data Vlaue (Cr)'!$C:$FB,100)</f>
        <v>5908</v>
      </c>
      <c r="J31" s="75">
        <f t="shared" si="2"/>
        <v>186</v>
      </c>
      <c r="K31" s="75">
        <f t="shared" si="3"/>
        <v>3.052182474565146</v>
      </c>
      <c r="L31" s="75">
        <f>VLOOKUP($A31,'Data Vlaue (Cr)'!$C:$FB,67)</f>
        <v>4211</v>
      </c>
      <c r="M31" s="75">
        <f>VLOOKUP($A31,'Data Vlaue (Cr)'!$C:$FB,68)</f>
        <v>6302</v>
      </c>
      <c r="N31" s="75">
        <f t="shared" si="4"/>
        <v>-2091</v>
      </c>
      <c r="O31" s="75">
        <f t="shared" si="5"/>
        <v>-49.655663737829492</v>
      </c>
      <c r="P31" s="75">
        <f>VLOOKUP($A31,'Data Vlaue (Cr)'!$C:$FB,119)</f>
        <v>0.76</v>
      </c>
      <c r="Q31" s="75">
        <f>VLOOKUP($A31,'Data Vlaue (Cr)'!$C:$FB,122)*100</f>
        <v>5.56</v>
      </c>
      <c r="R31" s="75">
        <f>VLOOKUP($A31,'Data Vlaue (Cr)'!$C:$FB,125)</f>
        <v>0.52</v>
      </c>
      <c r="S31" s="75">
        <f>VLOOKUP($A31,'Data Vlaue (Cr)'!$C:$FB,128)*100</f>
        <v>20.93</v>
      </c>
    </row>
    <row r="32" spans="1:19" x14ac:dyDescent="0.25">
      <c r="A32" s="96" t="str">
        <f>'Data Vlaue (Cr)'!C23</f>
        <v>BAJFINANCE</v>
      </c>
      <c r="B32" s="75">
        <f>VLOOKUP($A32,'Data Vlaue (Cr)'!$C:$FB,2)</f>
        <v>750</v>
      </c>
      <c r="C32" s="75">
        <f>VLOOKUP($A32,'Data Vlaue (Cr)'!$C:$FB,8)</f>
        <v>1065.75</v>
      </c>
      <c r="D32" s="75">
        <f>VLOOKUP($A32,'Data Vlaue (Cr)'!$C:$FB,4)</f>
        <v>1066.45</v>
      </c>
      <c r="E32" s="75">
        <f>VLOOKUP($A32,'Data Vlaue (Cr)'!$C:$FB,5)</f>
        <v>1060.9000000000001</v>
      </c>
      <c r="F32" s="75">
        <f t="shared" si="0"/>
        <v>0.70000000000004547</v>
      </c>
      <c r="G32" s="75">
        <f t="shared" si="1"/>
        <v>0.52041820994889165</v>
      </c>
      <c r="H32" s="75">
        <f>VLOOKUP($A32,'Data Vlaue (Cr)'!$C:$FB,99)</f>
        <v>13451</v>
      </c>
      <c r="I32" s="75">
        <f>VLOOKUP($A32,'Data Vlaue (Cr)'!$C:$FB,100)</f>
        <v>13175</v>
      </c>
      <c r="J32" s="75">
        <f t="shared" si="2"/>
        <v>276</v>
      </c>
      <c r="K32" s="75">
        <f t="shared" si="3"/>
        <v>2.0518920526354916</v>
      </c>
      <c r="L32" s="75">
        <f>VLOOKUP($A32,'Data Vlaue (Cr)'!$C:$FB,67)</f>
        <v>11301</v>
      </c>
      <c r="M32" s="75">
        <f>VLOOKUP($A32,'Data Vlaue (Cr)'!$C:$FB,68)</f>
        <v>11601</v>
      </c>
      <c r="N32" s="75">
        <f t="shared" si="4"/>
        <v>-300</v>
      </c>
      <c r="O32" s="75">
        <f t="shared" si="5"/>
        <v>-2.6546323334218211</v>
      </c>
      <c r="P32" s="75">
        <f>VLOOKUP($A32,'Data Vlaue (Cr)'!$C:$FB,119)</f>
        <v>0.89</v>
      </c>
      <c r="Q32" s="75">
        <f>VLOOKUP($A32,'Data Vlaue (Cr)'!$C:$FB,122)*100</f>
        <v>3.49</v>
      </c>
      <c r="R32" s="75">
        <f>VLOOKUP($A32,'Data Vlaue (Cr)'!$C:$FB,125)</f>
        <v>0.63</v>
      </c>
      <c r="S32" s="75">
        <f>VLOOKUP($A32,'Data Vlaue (Cr)'!$C:$FB,128)*100</f>
        <v>12.5</v>
      </c>
    </row>
    <row r="33" spans="1:19" x14ac:dyDescent="0.25">
      <c r="A33" s="96" t="str">
        <f>'Data Vlaue (Cr)'!C24</f>
        <v>BANDHANBNK</v>
      </c>
      <c r="B33" s="75">
        <f>VLOOKUP($A33,'Data Vlaue (Cr)'!$C:$FB,2)</f>
        <v>3600</v>
      </c>
      <c r="C33" s="75">
        <f>VLOOKUP($A33,'Data Vlaue (Cr)'!$C:$FB,8)</f>
        <v>161.56</v>
      </c>
      <c r="D33" s="75">
        <f>VLOOKUP($A33,'Data Vlaue (Cr)'!$C:$FB,4)</f>
        <v>161.85</v>
      </c>
      <c r="E33" s="75">
        <f>VLOOKUP($A33,'Data Vlaue (Cr)'!$C:$FB,5)</f>
        <v>163.74</v>
      </c>
      <c r="F33" s="75">
        <f t="shared" si="0"/>
        <v>0.28999999999999204</v>
      </c>
      <c r="G33" s="75">
        <f t="shared" si="1"/>
        <v>-1.1677479147358756</v>
      </c>
      <c r="H33" s="75">
        <f>VLOOKUP($A33,'Data Vlaue (Cr)'!$C:$FB,99)</f>
        <v>3082</v>
      </c>
      <c r="I33" s="75">
        <f>VLOOKUP($A33,'Data Vlaue (Cr)'!$C:$FB,100)</f>
        <v>2931</v>
      </c>
      <c r="J33" s="75">
        <f t="shared" si="2"/>
        <v>151</v>
      </c>
      <c r="K33" s="75">
        <f t="shared" si="3"/>
        <v>4.899415963659961</v>
      </c>
      <c r="L33" s="75">
        <f>VLOOKUP($A33,'Data Vlaue (Cr)'!$C:$FB,67)</f>
        <v>1114</v>
      </c>
      <c r="M33" s="75">
        <f>VLOOKUP($A33,'Data Vlaue (Cr)'!$C:$FB,68)</f>
        <v>1074</v>
      </c>
      <c r="N33" s="75">
        <f t="shared" si="4"/>
        <v>40</v>
      </c>
      <c r="O33" s="75">
        <f t="shared" si="5"/>
        <v>3.5906642728904847</v>
      </c>
      <c r="P33" s="75">
        <f>VLOOKUP($A33,'Data Vlaue (Cr)'!$C:$FB,119)</f>
        <v>0.71</v>
      </c>
      <c r="Q33" s="75">
        <f>VLOOKUP($A33,'Data Vlaue (Cr)'!$C:$FB,122)*100</f>
        <v>-7.79</v>
      </c>
      <c r="R33" s="75">
        <f>VLOOKUP($A33,'Data Vlaue (Cr)'!$C:$FB,125)</f>
        <v>0.46</v>
      </c>
      <c r="S33" s="75">
        <f>VLOOKUP($A33,'Data Vlaue (Cr)'!$C:$FB,128)*100</f>
        <v>-11.540000000000001</v>
      </c>
    </row>
    <row r="34" spans="1:19" x14ac:dyDescent="0.25">
      <c r="A34" s="96" t="str">
        <f>'Data Vlaue (Cr)'!C25</f>
        <v>BANKBARODA</v>
      </c>
      <c r="B34" s="75">
        <f>VLOOKUP($A34,'Data Vlaue (Cr)'!$C:$FB,2)</f>
        <v>2925</v>
      </c>
      <c r="C34" s="75">
        <f>VLOOKUP($A34,'Data Vlaue (Cr)'!$C:$FB,8)</f>
        <v>266.14999999999998</v>
      </c>
      <c r="D34" s="75">
        <f>VLOOKUP($A34,'Data Vlaue (Cr)'!$C:$FB,4)</f>
        <v>266.85000000000002</v>
      </c>
      <c r="E34" s="75">
        <f>VLOOKUP($A34,'Data Vlaue (Cr)'!$C:$FB,5)</f>
        <v>268.85000000000002</v>
      </c>
      <c r="F34" s="75">
        <f t="shared" si="0"/>
        <v>0.70000000000004547</v>
      </c>
      <c r="G34" s="75">
        <f t="shared" si="1"/>
        <v>-0.74948472924864151</v>
      </c>
      <c r="H34" s="180">
        <f>VLOOKUP($A34,'Data Vlaue (Cr)'!$C:$FB,99)</f>
        <v>5434</v>
      </c>
      <c r="I34" s="180">
        <f>VLOOKUP($A34,'Data Vlaue (Cr)'!$C:$FB,100)</f>
        <v>5371</v>
      </c>
      <c r="J34" s="180">
        <f t="shared" si="2"/>
        <v>63</v>
      </c>
      <c r="K34" s="180">
        <f t="shared" si="3"/>
        <v>1.1593669488406331</v>
      </c>
      <c r="L34" s="180">
        <f>VLOOKUP($A34,'Data Vlaue (Cr)'!$C:$FB,67)</f>
        <v>1794</v>
      </c>
      <c r="M34" s="180">
        <f>VLOOKUP($A34,'Data Vlaue (Cr)'!$C:$FB,68)</f>
        <v>2799</v>
      </c>
      <c r="N34" s="180">
        <f t="shared" si="4"/>
        <v>-1005</v>
      </c>
      <c r="O34" s="180">
        <f t="shared" si="5"/>
        <v>-56.020066889632105</v>
      </c>
      <c r="P34" s="180">
        <f>VLOOKUP($A34,'Data Vlaue (Cr)'!$C:$FB,119)</f>
        <v>0.68</v>
      </c>
      <c r="Q34" s="180">
        <f>VLOOKUP($A34,'Data Vlaue (Cr)'!$C:$FB,122)*100</f>
        <v>-5.56</v>
      </c>
      <c r="R34" s="180">
        <f>VLOOKUP($A34,'Data Vlaue (Cr)'!$C:$FB,125)</f>
        <v>0.52</v>
      </c>
      <c r="S34" s="180">
        <f>VLOOKUP($A34,'Data Vlaue (Cr)'!$C:$FB,128)*100</f>
        <v>-13.33</v>
      </c>
    </row>
    <row r="35" spans="1:19" x14ac:dyDescent="0.25">
      <c r="A35" s="96" t="str">
        <f>'Data Vlaue (Cr)'!C26</f>
        <v>BANKINDIA</v>
      </c>
      <c r="B35" s="75">
        <f>VLOOKUP($A35,'Data Vlaue (Cr)'!$C:$FB,2)</f>
        <v>5200</v>
      </c>
      <c r="C35" s="75">
        <f>VLOOKUP($A35,'Data Vlaue (Cr)'!$C:$FB,8)</f>
        <v>125.42</v>
      </c>
      <c r="D35" s="75">
        <f>VLOOKUP($A35,'Data Vlaue (Cr)'!$C:$FB,4)</f>
        <v>125.76</v>
      </c>
      <c r="E35" s="75">
        <f>VLOOKUP($A35,'Data Vlaue (Cr)'!$C:$FB,5)</f>
        <v>126.85</v>
      </c>
      <c r="F35" s="75">
        <f t="shared" si="0"/>
        <v>0.34000000000000341</v>
      </c>
      <c r="G35" s="75">
        <f t="shared" si="1"/>
        <v>-0.86673027989821028</v>
      </c>
      <c r="H35" s="75">
        <f>VLOOKUP($A35,'Data Vlaue (Cr)'!$C:$FB,99)</f>
        <v>1501</v>
      </c>
      <c r="I35" s="75">
        <f>VLOOKUP($A35,'Data Vlaue (Cr)'!$C:$FB,100)</f>
        <v>1493</v>
      </c>
      <c r="J35" s="75">
        <f t="shared" si="2"/>
        <v>8</v>
      </c>
      <c r="K35" s="75">
        <f t="shared" si="3"/>
        <v>0.53297801465689543</v>
      </c>
      <c r="L35" s="75">
        <f>VLOOKUP($A35,'Data Vlaue (Cr)'!$C:$FB,67)</f>
        <v>447</v>
      </c>
      <c r="M35" s="75">
        <f>VLOOKUP($A35,'Data Vlaue (Cr)'!$C:$FB,68)</f>
        <v>470</v>
      </c>
      <c r="N35" s="75">
        <f t="shared" si="4"/>
        <v>-23</v>
      </c>
      <c r="O35" s="75">
        <f t="shared" si="5"/>
        <v>-5.1454138702460845</v>
      </c>
      <c r="P35" s="75">
        <f>VLOOKUP($A35,'Data Vlaue (Cr)'!$C:$FB,119)</f>
        <v>0.55000000000000004</v>
      </c>
      <c r="Q35" s="75">
        <f>VLOOKUP($A35,'Data Vlaue (Cr)'!$C:$FB,122)*100</f>
        <v>3.7699999999999996</v>
      </c>
      <c r="R35" s="75">
        <f>VLOOKUP($A35,'Data Vlaue (Cr)'!$C:$FB,125)</f>
        <v>0.32</v>
      </c>
      <c r="S35" s="75">
        <f>VLOOKUP($A35,'Data Vlaue (Cr)'!$C:$FB,128)*100</f>
        <v>10.34</v>
      </c>
    </row>
    <row r="36" spans="1:19" x14ac:dyDescent="0.25">
      <c r="A36" s="96" t="str">
        <f>'Data Vlaue (Cr)'!C27</f>
        <v>BANKNIFTY</v>
      </c>
      <c r="B36" s="75">
        <f>VLOOKUP($A36,'Data Vlaue (Cr)'!$C:$FB,2)</f>
        <v>35</v>
      </c>
      <c r="C36" s="75">
        <f>VLOOKUP($A36,'Data Vlaue (Cr)'!$C:$FB,8)</f>
        <v>57422.55</v>
      </c>
      <c r="D36" s="75">
        <f>VLOOKUP($A36,'Data Vlaue (Cr)'!$C:$FB,4)</f>
        <v>57486.2</v>
      </c>
      <c r="E36" s="75">
        <f>VLOOKUP($A36,'Data Vlaue (Cr)'!$C:$FB,5)</f>
        <v>56987.199999999997</v>
      </c>
      <c r="F36" s="75">
        <f t="shared" si="0"/>
        <v>63.649999999994179</v>
      </c>
      <c r="G36" s="75">
        <f t="shared" si="1"/>
        <v>0.86803441521617364</v>
      </c>
      <c r="H36" s="75">
        <f>VLOOKUP($A36,'Data Vlaue (Cr)'!$C:$FB,99)</f>
        <v>259421</v>
      </c>
      <c r="I36" s="75">
        <f>VLOOKUP($A36,'Data Vlaue (Cr)'!$C:$FB,100)</f>
        <v>253319</v>
      </c>
      <c r="J36" s="75">
        <f t="shared" si="2"/>
        <v>6102</v>
      </c>
      <c r="K36" s="75">
        <f t="shared" si="3"/>
        <v>2.3521611588884479</v>
      </c>
      <c r="L36" s="75">
        <f>VLOOKUP($A36,'Data Vlaue (Cr)'!$C:$FB,67)</f>
        <v>861418</v>
      </c>
      <c r="M36" s="75">
        <f>VLOOKUP($A36,'Data Vlaue (Cr)'!$C:$FB,68)</f>
        <v>673978</v>
      </c>
      <c r="N36" s="75">
        <f t="shared" si="4"/>
        <v>187440</v>
      </c>
      <c r="O36" s="75">
        <f t="shared" si="5"/>
        <v>21.759471011750392</v>
      </c>
      <c r="P36" s="75">
        <f>VLOOKUP($A36,'Data Vlaue (Cr)'!$C:$FB,119)</f>
        <v>1.18</v>
      </c>
      <c r="Q36" s="75">
        <f>VLOOKUP($A36,'Data Vlaue (Cr)'!$C:$FB,122)*100</f>
        <v>7.2700000000000005</v>
      </c>
      <c r="R36" s="75">
        <f>VLOOKUP($A36,'Data Vlaue (Cr)'!$C:$FB,125)</f>
        <v>0.87</v>
      </c>
      <c r="S36" s="75">
        <f>VLOOKUP($A36,'Data Vlaue (Cr)'!$C:$FB,128)*100</f>
        <v>0</v>
      </c>
    </row>
    <row r="37" spans="1:19" x14ac:dyDescent="0.25">
      <c r="A37" s="96" t="str">
        <f>'Data Vlaue (Cr)'!C28</f>
        <v>BDL</v>
      </c>
      <c r="B37" s="75">
        <f>VLOOKUP($A37,'Data Vlaue (Cr)'!$C:$FB,2)</f>
        <v>325</v>
      </c>
      <c r="C37" s="75">
        <f>VLOOKUP($A37,'Data Vlaue (Cr)'!$C:$FB,8)</f>
        <v>1504.9</v>
      </c>
      <c r="D37" s="75">
        <f>VLOOKUP($A37,'Data Vlaue (Cr)'!$C:$FB,4)</f>
        <v>1510.3</v>
      </c>
      <c r="E37" s="75">
        <f>VLOOKUP($A37,'Data Vlaue (Cr)'!$C:$FB,5)</f>
        <v>1507</v>
      </c>
      <c r="F37" s="75">
        <f t="shared" si="0"/>
        <v>5.3999999999998636</v>
      </c>
      <c r="G37" s="75">
        <f t="shared" si="1"/>
        <v>0.21849963583393728</v>
      </c>
      <c r="H37" s="75">
        <f>VLOOKUP($A37,'Data Vlaue (Cr)'!$C:$FB,99)</f>
        <v>1580</v>
      </c>
      <c r="I37" s="75">
        <f>VLOOKUP($A37,'Data Vlaue (Cr)'!$C:$FB,100)</f>
        <v>1570</v>
      </c>
      <c r="J37" s="75">
        <f t="shared" si="2"/>
        <v>10</v>
      </c>
      <c r="K37" s="75">
        <f t="shared" si="3"/>
        <v>0.63291139240506333</v>
      </c>
      <c r="L37" s="75">
        <f>VLOOKUP($A37,'Data Vlaue (Cr)'!$C:$FB,67)</f>
        <v>670</v>
      </c>
      <c r="M37" s="75">
        <f>VLOOKUP($A37,'Data Vlaue (Cr)'!$C:$FB,68)</f>
        <v>755</v>
      </c>
      <c r="N37" s="75">
        <f t="shared" si="4"/>
        <v>-85</v>
      </c>
      <c r="O37" s="75">
        <f t="shared" si="5"/>
        <v>-12.686567164179104</v>
      </c>
      <c r="P37" s="75">
        <f>VLOOKUP($A37,'Data Vlaue (Cr)'!$C:$FB,119)</f>
        <v>0.57999999999999996</v>
      </c>
      <c r="Q37" s="75">
        <f>VLOOKUP($A37,'Data Vlaue (Cr)'!$C:$FB,122)*100</f>
        <v>1.7500000000000002</v>
      </c>
      <c r="R37" s="75">
        <f>VLOOKUP($A37,'Data Vlaue (Cr)'!$C:$FB,125)</f>
        <v>0.24</v>
      </c>
      <c r="S37" s="75">
        <f>VLOOKUP($A37,'Data Vlaue (Cr)'!$C:$FB,128)*100</f>
        <v>-27.27</v>
      </c>
    </row>
    <row r="38" spans="1:19" x14ac:dyDescent="0.25">
      <c r="A38" s="96" t="str">
        <f>'Data Vlaue (Cr)'!C29</f>
        <v>BEL</v>
      </c>
      <c r="B38" s="75">
        <f>VLOOKUP($A38,'Data Vlaue (Cr)'!$C:$FB,2)</f>
        <v>2850</v>
      </c>
      <c r="C38" s="75">
        <f>VLOOKUP($A38,'Data Vlaue (Cr)'!$C:$FB,8)</f>
        <v>411.8</v>
      </c>
      <c r="D38" s="75">
        <f>VLOOKUP($A38,'Data Vlaue (Cr)'!$C:$FB,4)</f>
        <v>413.45</v>
      </c>
      <c r="E38" s="75">
        <f>VLOOKUP($A38,'Data Vlaue (Cr)'!$C:$FB,5)</f>
        <v>409.95</v>
      </c>
      <c r="F38" s="75">
        <f t="shared" si="0"/>
        <v>1.6499999999999773</v>
      </c>
      <c r="G38" s="75">
        <f t="shared" si="1"/>
        <v>0.84653525214657155</v>
      </c>
      <c r="H38" s="75">
        <f>VLOOKUP($A38,'Data Vlaue (Cr)'!$C:$FB,99)</f>
        <v>9352</v>
      </c>
      <c r="I38" s="75">
        <f>VLOOKUP($A38,'Data Vlaue (Cr)'!$C:$FB,100)</f>
        <v>9458</v>
      </c>
      <c r="J38" s="75">
        <f t="shared" si="2"/>
        <v>-106</v>
      </c>
      <c r="K38" s="75">
        <f t="shared" si="3"/>
        <v>-1.133447390932421</v>
      </c>
      <c r="L38" s="75">
        <f>VLOOKUP($A38,'Data Vlaue (Cr)'!$C:$FB,67)</f>
        <v>5604</v>
      </c>
      <c r="M38" s="75">
        <f>VLOOKUP($A38,'Data Vlaue (Cr)'!$C:$FB,68)</f>
        <v>6421</v>
      </c>
      <c r="N38" s="75">
        <f t="shared" si="4"/>
        <v>-817</v>
      </c>
      <c r="O38" s="75">
        <f t="shared" si="5"/>
        <v>-14.578872234118487</v>
      </c>
      <c r="P38" s="75">
        <f>VLOOKUP($A38,'Data Vlaue (Cr)'!$C:$FB,119)</f>
        <v>0.57999999999999996</v>
      </c>
      <c r="Q38" s="75">
        <f>VLOOKUP($A38,'Data Vlaue (Cr)'!$C:$FB,122)*100</f>
        <v>3.5700000000000003</v>
      </c>
      <c r="R38" s="75">
        <f>VLOOKUP($A38,'Data Vlaue (Cr)'!$C:$FB,125)</f>
        <v>0.53</v>
      </c>
      <c r="S38" s="75">
        <f>VLOOKUP($A38,'Data Vlaue (Cr)'!$C:$FB,128)*100</f>
        <v>0</v>
      </c>
    </row>
    <row r="39" spans="1:19" x14ac:dyDescent="0.25">
      <c r="A39" s="96" t="str">
        <f>'Data Vlaue (Cr)'!C30</f>
        <v>BHARATFORG</v>
      </c>
      <c r="B39" s="75">
        <f>VLOOKUP($A39,'Data Vlaue (Cr)'!$C:$FB,2)</f>
        <v>500</v>
      </c>
      <c r="C39" s="75">
        <f>VLOOKUP($A39,'Data Vlaue (Cr)'!$C:$FB,8)</f>
        <v>1265.2</v>
      </c>
      <c r="D39" s="75">
        <f>VLOOKUP($A39,'Data Vlaue (Cr)'!$C:$FB,4)</f>
        <v>1270.2</v>
      </c>
      <c r="E39" s="75">
        <f>VLOOKUP($A39,'Data Vlaue (Cr)'!$C:$FB,5)</f>
        <v>1231.3</v>
      </c>
      <c r="F39" s="75">
        <f t="shared" si="0"/>
        <v>5</v>
      </c>
      <c r="G39" s="75">
        <f t="shared" si="1"/>
        <v>3.0625098409699332</v>
      </c>
      <c r="H39" s="75">
        <f>VLOOKUP($A39,'Data Vlaue (Cr)'!$C:$FB,99)</f>
        <v>2347</v>
      </c>
      <c r="I39" s="75">
        <f>VLOOKUP($A39,'Data Vlaue (Cr)'!$C:$FB,100)</f>
        <v>2260</v>
      </c>
      <c r="J39" s="75">
        <f t="shared" si="2"/>
        <v>87</v>
      </c>
      <c r="K39" s="75">
        <f t="shared" si="3"/>
        <v>3.7068598210481465</v>
      </c>
      <c r="L39" s="75">
        <f>VLOOKUP($A39,'Data Vlaue (Cr)'!$C:$FB,67)</f>
        <v>4032</v>
      </c>
      <c r="M39" s="75">
        <f>VLOOKUP($A39,'Data Vlaue (Cr)'!$C:$FB,68)</f>
        <v>1267</v>
      </c>
      <c r="N39" s="75">
        <f t="shared" si="4"/>
        <v>2765</v>
      </c>
      <c r="O39" s="75">
        <f t="shared" si="5"/>
        <v>68.576388888888886</v>
      </c>
      <c r="P39" s="75">
        <f>VLOOKUP($A39,'Data Vlaue (Cr)'!$C:$FB,119)</f>
        <v>0.61</v>
      </c>
      <c r="Q39" s="75">
        <f>VLOOKUP($A39,'Data Vlaue (Cr)'!$C:$FB,122)*100</f>
        <v>-7.580000000000001</v>
      </c>
      <c r="R39" s="75">
        <f>VLOOKUP($A39,'Data Vlaue (Cr)'!$C:$FB,125)</f>
        <v>0.28000000000000003</v>
      </c>
      <c r="S39" s="75">
        <f>VLOOKUP($A39,'Data Vlaue (Cr)'!$C:$FB,128)*100</f>
        <v>-30</v>
      </c>
    </row>
    <row r="40" spans="1:19" x14ac:dyDescent="0.25">
      <c r="A40" s="96" t="str">
        <f>'Data Vlaue (Cr)'!C31</f>
        <v>BHARTIARTL</v>
      </c>
      <c r="B40" s="75">
        <f>VLOOKUP($A40,'Data Vlaue (Cr)'!$C:$FB,2)</f>
        <v>475</v>
      </c>
      <c r="C40" s="75">
        <f>VLOOKUP($A40,'Data Vlaue (Cr)'!$C:$FB,8)</f>
        <v>1967.4</v>
      </c>
      <c r="D40" s="75">
        <f>VLOOKUP($A40,'Data Vlaue (Cr)'!$C:$FB,4)</f>
        <v>1974</v>
      </c>
      <c r="E40" s="75">
        <f>VLOOKUP($A40,'Data Vlaue (Cr)'!$C:$FB,5)</f>
        <v>1976.3</v>
      </c>
      <c r="F40" s="75">
        <f t="shared" si="0"/>
        <v>6.5999999999999091</v>
      </c>
      <c r="G40" s="75">
        <f t="shared" si="1"/>
        <v>-0.11651469098277378</v>
      </c>
      <c r="H40" s="75">
        <f>VLOOKUP($A40,'Data Vlaue (Cr)'!$C:$FB,99)</f>
        <v>13765</v>
      </c>
      <c r="I40" s="75">
        <f>VLOOKUP($A40,'Data Vlaue (Cr)'!$C:$FB,100)</f>
        <v>13712</v>
      </c>
      <c r="J40" s="75">
        <f t="shared" si="2"/>
        <v>53</v>
      </c>
      <c r="K40" s="75">
        <f t="shared" si="3"/>
        <v>0.3850345078096622</v>
      </c>
      <c r="L40" s="75">
        <f>VLOOKUP($A40,'Data Vlaue (Cr)'!$C:$FB,67)</f>
        <v>7479</v>
      </c>
      <c r="M40" s="75">
        <f>VLOOKUP($A40,'Data Vlaue (Cr)'!$C:$FB,68)</f>
        <v>7706</v>
      </c>
      <c r="N40" s="75">
        <f t="shared" si="4"/>
        <v>-227</v>
      </c>
      <c r="O40" s="75">
        <f t="shared" si="5"/>
        <v>-3.0351651290279449</v>
      </c>
      <c r="P40" s="75">
        <f>VLOOKUP($A40,'Data Vlaue (Cr)'!$C:$FB,119)</f>
        <v>0.57999999999999996</v>
      </c>
      <c r="Q40" s="75">
        <f>VLOOKUP($A40,'Data Vlaue (Cr)'!$C:$FB,122)*100</f>
        <v>0</v>
      </c>
      <c r="R40" s="75">
        <f>VLOOKUP($A40,'Data Vlaue (Cr)'!$C:$FB,125)</f>
        <v>0.54</v>
      </c>
      <c r="S40" s="75">
        <f>VLOOKUP($A40,'Data Vlaue (Cr)'!$C:$FB,128)*100</f>
        <v>1.8900000000000001</v>
      </c>
    </row>
    <row r="41" spans="1:19" x14ac:dyDescent="0.25">
      <c r="A41" s="96" t="str">
        <f>'Data Vlaue (Cr)'!C32</f>
        <v>BHEL</v>
      </c>
      <c r="B41" s="75">
        <f>VLOOKUP($A41,'Data Vlaue (Cr)'!$C:$FB,2)</f>
        <v>2625</v>
      </c>
      <c r="C41" s="75">
        <f>VLOOKUP($A41,'Data Vlaue (Cr)'!$C:$FB,8)</f>
        <v>236.17</v>
      </c>
      <c r="D41" s="75">
        <f>VLOOKUP($A41,'Data Vlaue (Cr)'!$C:$FB,4)</f>
        <v>236.86</v>
      </c>
      <c r="E41" s="75">
        <f>VLOOKUP($A41,'Data Vlaue (Cr)'!$C:$FB,5)</f>
        <v>236.56</v>
      </c>
      <c r="F41" s="75">
        <f t="shared" si="0"/>
        <v>0.69000000000002615</v>
      </c>
      <c r="G41" s="75">
        <f t="shared" si="1"/>
        <v>0.12665709701934111</v>
      </c>
      <c r="H41" s="75">
        <f>VLOOKUP($A41,'Data Vlaue (Cr)'!$C:$FB,99)</f>
        <v>2465</v>
      </c>
      <c r="I41" s="75">
        <f>VLOOKUP($A41,'Data Vlaue (Cr)'!$C:$FB,100)</f>
        <v>2441</v>
      </c>
      <c r="J41" s="75">
        <f t="shared" si="2"/>
        <v>24</v>
      </c>
      <c r="K41" s="75">
        <f t="shared" si="3"/>
        <v>0.97363083164300201</v>
      </c>
      <c r="L41" s="75">
        <f>VLOOKUP($A41,'Data Vlaue (Cr)'!$C:$FB,67)</f>
        <v>970</v>
      </c>
      <c r="M41" s="75">
        <f>VLOOKUP($A41,'Data Vlaue (Cr)'!$C:$FB,68)</f>
        <v>1296</v>
      </c>
      <c r="N41" s="75">
        <f t="shared" si="4"/>
        <v>-326</v>
      </c>
      <c r="O41" s="75">
        <f t="shared" si="5"/>
        <v>-33.608247422680414</v>
      </c>
      <c r="P41" s="75">
        <f>VLOOKUP($A41,'Data Vlaue (Cr)'!$C:$FB,119)</f>
        <v>0.57999999999999996</v>
      </c>
      <c r="Q41" s="75">
        <f>VLOOKUP($A41,'Data Vlaue (Cr)'!$C:$FB,122)*100</f>
        <v>-4.92</v>
      </c>
      <c r="R41" s="75">
        <f>VLOOKUP($A41,'Data Vlaue (Cr)'!$C:$FB,125)</f>
        <v>0.45</v>
      </c>
      <c r="S41" s="75">
        <f>VLOOKUP($A41,'Data Vlaue (Cr)'!$C:$FB,128)*100</f>
        <v>-16.669999999999998</v>
      </c>
    </row>
    <row r="42" spans="1:19" x14ac:dyDescent="0.25">
      <c r="A42" s="96" t="str">
        <f>'Data Vlaue (Cr)'!C33</f>
        <v>BIOCON</v>
      </c>
      <c r="B42" s="75">
        <f>VLOOKUP($A42,'Data Vlaue (Cr)'!$C:$FB,2)</f>
        <v>2500</v>
      </c>
      <c r="C42" s="75">
        <f>VLOOKUP($A42,'Data Vlaue (Cr)'!$C:$FB,8)</f>
        <v>358.2</v>
      </c>
      <c r="D42" s="75">
        <f>VLOOKUP($A42,'Data Vlaue (Cr)'!$C:$FB,4)</f>
        <v>359.65</v>
      </c>
      <c r="E42" s="75">
        <f>VLOOKUP($A42,'Data Vlaue (Cr)'!$C:$FB,5)</f>
        <v>357.35</v>
      </c>
      <c r="F42" s="75">
        <f t="shared" si="0"/>
        <v>1.4499999999999886</v>
      </c>
      <c r="G42" s="75">
        <f t="shared" si="1"/>
        <v>0.63951063533990116</v>
      </c>
      <c r="H42" s="75">
        <f>VLOOKUP($A42,'Data Vlaue (Cr)'!$C:$FB,99)</f>
        <v>2530</v>
      </c>
      <c r="I42" s="75">
        <f>VLOOKUP($A42,'Data Vlaue (Cr)'!$C:$FB,100)</f>
        <v>2555</v>
      </c>
      <c r="J42" s="75">
        <f t="shared" si="2"/>
        <v>-25</v>
      </c>
      <c r="K42" s="75">
        <f t="shared" si="3"/>
        <v>-0.98814229249011865</v>
      </c>
      <c r="L42" s="75">
        <f>VLOOKUP($A42,'Data Vlaue (Cr)'!$C:$FB,67)</f>
        <v>1182</v>
      </c>
      <c r="M42" s="75">
        <f>VLOOKUP($A42,'Data Vlaue (Cr)'!$C:$FB,68)</f>
        <v>1038</v>
      </c>
      <c r="N42" s="75">
        <f t="shared" si="4"/>
        <v>144</v>
      </c>
      <c r="O42" s="75">
        <f t="shared" si="5"/>
        <v>12.18274111675127</v>
      </c>
      <c r="P42" s="75">
        <f>VLOOKUP($A42,'Data Vlaue (Cr)'!$C:$FB,119)</f>
        <v>0.62</v>
      </c>
      <c r="Q42" s="75">
        <f>VLOOKUP($A42,'Data Vlaue (Cr)'!$C:$FB,122)*100</f>
        <v>3.3300000000000005</v>
      </c>
      <c r="R42" s="75">
        <f>VLOOKUP($A42,'Data Vlaue (Cr)'!$C:$FB,125)</f>
        <v>0.55000000000000004</v>
      </c>
      <c r="S42" s="75">
        <f>VLOOKUP($A42,'Data Vlaue (Cr)'!$C:$FB,128)*100</f>
        <v>19.57</v>
      </c>
    </row>
    <row r="43" spans="1:19" x14ac:dyDescent="0.25">
      <c r="A43" s="96" t="str">
        <f>'Data Vlaue (Cr)'!C34</f>
        <v>BLUESTARCO</v>
      </c>
      <c r="B43" s="75">
        <f>VLOOKUP($A43,'Data Vlaue (Cr)'!$C:$FB,2)</f>
        <v>325</v>
      </c>
      <c r="C43" s="75">
        <f>VLOOKUP($A43,'Data Vlaue (Cr)'!$C:$FB,8)</f>
        <v>1957.6</v>
      </c>
      <c r="D43" s="75">
        <f>VLOOKUP($A43,'Data Vlaue (Cr)'!$C:$FB,4)</f>
        <v>1964.7</v>
      </c>
      <c r="E43" s="75">
        <f>VLOOKUP($A43,'Data Vlaue (Cr)'!$C:$FB,5)</f>
        <v>1922.4</v>
      </c>
      <c r="F43" s="75">
        <f t="shared" si="0"/>
        <v>7.1000000000001364</v>
      </c>
      <c r="G43" s="75">
        <f t="shared" si="1"/>
        <v>2.1530004580852014</v>
      </c>
      <c r="H43" s="75">
        <f>VLOOKUP($A43,'Data Vlaue (Cr)'!$C:$FB,99)</f>
        <v>556</v>
      </c>
      <c r="I43" s="75">
        <f>VLOOKUP($A43,'Data Vlaue (Cr)'!$C:$FB,100)</f>
        <v>558</v>
      </c>
      <c r="J43" s="75">
        <f t="shared" si="2"/>
        <v>-2</v>
      </c>
      <c r="K43" s="75">
        <f t="shared" si="3"/>
        <v>-0.35971223021582738</v>
      </c>
      <c r="L43" s="75">
        <f>VLOOKUP($A43,'Data Vlaue (Cr)'!$C:$FB,67)</f>
        <v>531</v>
      </c>
      <c r="M43" s="75">
        <f>VLOOKUP($A43,'Data Vlaue (Cr)'!$C:$FB,68)</f>
        <v>269</v>
      </c>
      <c r="N43" s="75">
        <f t="shared" si="4"/>
        <v>262</v>
      </c>
      <c r="O43" s="75">
        <f t="shared" si="5"/>
        <v>49.34086629001883</v>
      </c>
      <c r="P43" s="75">
        <f>VLOOKUP($A43,'Data Vlaue (Cr)'!$C:$FB,119)</f>
        <v>0.64</v>
      </c>
      <c r="Q43" s="75">
        <f>VLOOKUP($A43,'Data Vlaue (Cr)'!$C:$FB,122)*100</f>
        <v>8.4699999999999989</v>
      </c>
      <c r="R43" s="75">
        <f>VLOOKUP($A43,'Data Vlaue (Cr)'!$C:$FB,125)</f>
        <v>0.38</v>
      </c>
      <c r="S43" s="75">
        <f>VLOOKUP($A43,'Data Vlaue (Cr)'!$C:$FB,128)*100</f>
        <v>40.739999999999995</v>
      </c>
    </row>
    <row r="44" spans="1:19" x14ac:dyDescent="0.25">
      <c r="A44" s="96" t="str">
        <f>'Data Vlaue (Cr)'!C35</f>
        <v>BOSCHLTD</v>
      </c>
      <c r="B44" s="75">
        <f>VLOOKUP($A44,'Data Vlaue (Cr)'!$C:$FB,2)</f>
        <v>25</v>
      </c>
      <c r="C44" s="75">
        <f>VLOOKUP($A44,'Data Vlaue (Cr)'!$C:$FB,8)</f>
        <v>38510</v>
      </c>
      <c r="D44" s="75">
        <f>VLOOKUP($A44,'Data Vlaue (Cr)'!$C:$FB,4)</f>
        <v>38585</v>
      </c>
      <c r="E44" s="75">
        <f>VLOOKUP($A44,'Data Vlaue (Cr)'!$C:$FB,5)</f>
        <v>38455</v>
      </c>
      <c r="F44" s="75">
        <f t="shared" si="0"/>
        <v>75</v>
      </c>
      <c r="G44" s="75">
        <f t="shared" si="1"/>
        <v>0.33691849164182974</v>
      </c>
      <c r="H44" s="75">
        <f>VLOOKUP($A44,'Data Vlaue (Cr)'!$C:$FB,99)</f>
        <v>1500</v>
      </c>
      <c r="I44" s="75">
        <f>VLOOKUP($A44,'Data Vlaue (Cr)'!$C:$FB,100)</f>
        <v>1505</v>
      </c>
      <c r="J44" s="75">
        <f t="shared" si="2"/>
        <v>-5</v>
      </c>
      <c r="K44" s="75">
        <f t="shared" si="3"/>
        <v>-0.33333333333333337</v>
      </c>
      <c r="L44" s="75">
        <f>VLOOKUP($A44,'Data Vlaue (Cr)'!$C:$FB,67)</f>
        <v>528</v>
      </c>
      <c r="M44" s="75">
        <f>VLOOKUP($A44,'Data Vlaue (Cr)'!$C:$FB,68)</f>
        <v>849</v>
      </c>
      <c r="N44" s="75">
        <f t="shared" si="4"/>
        <v>-321</v>
      </c>
      <c r="O44" s="75">
        <f t="shared" si="5"/>
        <v>-60.79545454545454</v>
      </c>
      <c r="P44" s="75">
        <f>VLOOKUP($A44,'Data Vlaue (Cr)'!$C:$FB,119)</f>
        <v>0.57999999999999996</v>
      </c>
      <c r="Q44" s="75">
        <f>VLOOKUP($A44,'Data Vlaue (Cr)'!$C:$FB,122)*100</f>
        <v>3.5700000000000003</v>
      </c>
      <c r="R44" s="75">
        <f>VLOOKUP($A44,'Data Vlaue (Cr)'!$C:$FB,125)</f>
        <v>0.41</v>
      </c>
      <c r="S44" s="75">
        <f>VLOOKUP($A44,'Data Vlaue (Cr)'!$C:$FB,128)*100</f>
        <v>-14.580000000000002</v>
      </c>
    </row>
    <row r="45" spans="1:19" x14ac:dyDescent="0.25">
      <c r="A45" s="96" t="str">
        <f>'Data Vlaue (Cr)'!C36</f>
        <v>BPCL</v>
      </c>
      <c r="B45" s="75">
        <f>VLOOKUP($A45,'Data Vlaue (Cr)'!$C:$FB,2)</f>
        <v>1975</v>
      </c>
      <c r="C45" s="75">
        <f>VLOOKUP($A45,'Data Vlaue (Cr)'!$C:$FB,8)</f>
        <v>335.9</v>
      </c>
      <c r="D45" s="75">
        <f>VLOOKUP($A45,'Data Vlaue (Cr)'!$C:$FB,4)</f>
        <v>337.15</v>
      </c>
      <c r="E45" s="75">
        <f>VLOOKUP($A45,'Data Vlaue (Cr)'!$C:$FB,5)</f>
        <v>339.45</v>
      </c>
      <c r="F45" s="75">
        <f t="shared" si="0"/>
        <v>1.25</v>
      </c>
      <c r="G45" s="75">
        <f t="shared" si="1"/>
        <v>-0.68218893667507385</v>
      </c>
      <c r="H45" s="75">
        <f>VLOOKUP($A45,'Data Vlaue (Cr)'!$C:$FB,99)</f>
        <v>2215</v>
      </c>
      <c r="I45" s="75">
        <f>VLOOKUP($A45,'Data Vlaue (Cr)'!$C:$FB,100)</f>
        <v>2122</v>
      </c>
      <c r="J45" s="75">
        <f t="shared" si="2"/>
        <v>93</v>
      </c>
      <c r="K45" s="75">
        <f t="shared" si="3"/>
        <v>4.1986455981941315</v>
      </c>
      <c r="L45" s="75">
        <f>VLOOKUP($A45,'Data Vlaue (Cr)'!$C:$FB,67)</f>
        <v>1156</v>
      </c>
      <c r="M45" s="75">
        <f>VLOOKUP($A45,'Data Vlaue (Cr)'!$C:$FB,68)</f>
        <v>2177</v>
      </c>
      <c r="N45" s="75">
        <f t="shared" si="4"/>
        <v>-1021</v>
      </c>
      <c r="O45" s="75">
        <f t="shared" si="5"/>
        <v>-88.321799307958486</v>
      </c>
      <c r="P45" s="75">
        <f>VLOOKUP($A45,'Data Vlaue (Cr)'!$C:$FB,119)</f>
        <v>0.65</v>
      </c>
      <c r="Q45" s="75">
        <f>VLOOKUP($A45,'Data Vlaue (Cr)'!$C:$FB,122)*100</f>
        <v>-4.41</v>
      </c>
      <c r="R45" s="75">
        <f>VLOOKUP($A45,'Data Vlaue (Cr)'!$C:$FB,125)</f>
        <v>0.43</v>
      </c>
      <c r="S45" s="75">
        <f>VLOOKUP($A45,'Data Vlaue (Cr)'!$C:$FB,128)*100</f>
        <v>-31.75</v>
      </c>
    </row>
    <row r="46" spans="1:19" x14ac:dyDescent="0.25">
      <c r="A46" s="96" t="str">
        <f>'Data Vlaue (Cr)'!C37</f>
        <v>BRITANNIA</v>
      </c>
      <c r="B46" s="75">
        <f>VLOOKUP($A46,'Data Vlaue (Cr)'!$C:$FB,2)</f>
        <v>125</v>
      </c>
      <c r="C46" s="75">
        <f>VLOOKUP($A46,'Data Vlaue (Cr)'!$C:$FB,8)</f>
        <v>6025.5</v>
      </c>
      <c r="D46" s="75">
        <f>VLOOKUP($A46,'Data Vlaue (Cr)'!$C:$FB,4)</f>
        <v>6034</v>
      </c>
      <c r="E46" s="75">
        <f>VLOOKUP($A46,'Data Vlaue (Cr)'!$C:$FB,5)</f>
        <v>5883</v>
      </c>
      <c r="F46" s="75">
        <f t="shared" si="0"/>
        <v>8.5</v>
      </c>
      <c r="G46" s="75">
        <f t="shared" si="1"/>
        <v>2.5024859131587673</v>
      </c>
      <c r="H46" s="75">
        <f>VLOOKUP($A46,'Data Vlaue (Cr)'!$C:$FB,99)</f>
        <v>3250</v>
      </c>
      <c r="I46" s="75">
        <f>VLOOKUP($A46,'Data Vlaue (Cr)'!$C:$FB,100)</f>
        <v>3298</v>
      </c>
      <c r="J46" s="75">
        <f t="shared" si="2"/>
        <v>-48</v>
      </c>
      <c r="K46" s="75">
        <f t="shared" si="3"/>
        <v>-1.4769230769230768</v>
      </c>
      <c r="L46" s="75">
        <f>VLOOKUP($A46,'Data Vlaue (Cr)'!$C:$FB,67)</f>
        <v>2841</v>
      </c>
      <c r="M46" s="75">
        <f>VLOOKUP($A46,'Data Vlaue (Cr)'!$C:$FB,68)</f>
        <v>1167</v>
      </c>
      <c r="N46" s="75">
        <f t="shared" si="4"/>
        <v>1674</v>
      </c>
      <c r="O46" s="75">
        <f t="shared" si="5"/>
        <v>58.922914466737062</v>
      </c>
      <c r="P46" s="75">
        <f>VLOOKUP($A46,'Data Vlaue (Cr)'!$C:$FB,119)</f>
        <v>0.56999999999999995</v>
      </c>
      <c r="Q46" s="75">
        <f>VLOOKUP($A46,'Data Vlaue (Cr)'!$C:$FB,122)*100</f>
        <v>26.669999999999998</v>
      </c>
      <c r="R46" s="75">
        <f>VLOOKUP($A46,'Data Vlaue (Cr)'!$C:$FB,125)</f>
        <v>0.28000000000000003</v>
      </c>
      <c r="S46" s="75">
        <f>VLOOKUP($A46,'Data Vlaue (Cr)'!$C:$FB,128)*100</f>
        <v>-26.32</v>
      </c>
    </row>
    <row r="47" spans="1:19" x14ac:dyDescent="0.25">
      <c r="A47" s="96" t="str">
        <f>'Data Vlaue (Cr)'!C38</f>
        <v>BSE</v>
      </c>
      <c r="B47" s="75">
        <f>VLOOKUP($A47,'Data Vlaue (Cr)'!$C:$FB,2)</f>
        <v>375</v>
      </c>
      <c r="C47" s="75">
        <f>VLOOKUP($A47,'Data Vlaue (Cr)'!$C:$FB,8)</f>
        <v>2509.1999999999998</v>
      </c>
      <c r="D47" s="75">
        <f>VLOOKUP($A47,'Data Vlaue (Cr)'!$C:$FB,4)</f>
        <v>2519.6</v>
      </c>
      <c r="E47" s="75">
        <f>VLOOKUP($A47,'Data Vlaue (Cr)'!$C:$FB,5)</f>
        <v>2467.1</v>
      </c>
      <c r="F47" s="75">
        <f t="shared" si="0"/>
        <v>10.400000000000091</v>
      </c>
      <c r="G47" s="75">
        <f t="shared" si="1"/>
        <v>2.0836640736624861</v>
      </c>
      <c r="H47" s="75">
        <f>VLOOKUP($A47,'Data Vlaue (Cr)'!$C:$FB,99)</f>
        <v>7957</v>
      </c>
      <c r="I47" s="75">
        <f>VLOOKUP($A47,'Data Vlaue (Cr)'!$C:$FB,100)</f>
        <v>8223</v>
      </c>
      <c r="J47" s="75">
        <f t="shared" si="2"/>
        <v>-266</v>
      </c>
      <c r="K47" s="75">
        <f t="shared" si="3"/>
        <v>-3.342968455448033</v>
      </c>
      <c r="L47" s="75">
        <f>VLOOKUP($A47,'Data Vlaue (Cr)'!$C:$FB,67)</f>
        <v>17624</v>
      </c>
      <c r="M47" s="75">
        <f>VLOOKUP($A47,'Data Vlaue (Cr)'!$C:$FB,68)</f>
        <v>6012</v>
      </c>
      <c r="N47" s="75">
        <f t="shared" si="4"/>
        <v>11612</v>
      </c>
      <c r="O47" s="75">
        <f t="shared" si="5"/>
        <v>65.887426236949608</v>
      </c>
      <c r="P47" s="75">
        <f>VLOOKUP($A47,'Data Vlaue (Cr)'!$C:$FB,119)</f>
        <v>0.93</v>
      </c>
      <c r="Q47" s="75">
        <f>VLOOKUP($A47,'Data Vlaue (Cr)'!$C:$FB,122)*100</f>
        <v>19.23</v>
      </c>
      <c r="R47" s="75">
        <f>VLOOKUP($A47,'Data Vlaue (Cr)'!$C:$FB,125)</f>
        <v>0.47</v>
      </c>
      <c r="S47" s="75">
        <f>VLOOKUP($A47,'Data Vlaue (Cr)'!$C:$FB,128)*100</f>
        <v>-24.19</v>
      </c>
    </row>
    <row r="48" spans="1:19" x14ac:dyDescent="0.25">
      <c r="A48" s="96" t="str">
        <f>'Data Vlaue (Cr)'!C39</f>
        <v>CAMS</v>
      </c>
      <c r="B48" s="75">
        <f>VLOOKUP($A48,'Data Vlaue (Cr)'!$C:$FB,2)</f>
        <v>150</v>
      </c>
      <c r="C48" s="75">
        <f>VLOOKUP($A48,'Data Vlaue (Cr)'!$C:$FB,8)</f>
        <v>3830.8</v>
      </c>
      <c r="D48" s="75">
        <f>VLOOKUP($A48,'Data Vlaue (Cr)'!$C:$FB,4)</f>
        <v>3834.8</v>
      </c>
      <c r="E48" s="75">
        <f>VLOOKUP($A48,'Data Vlaue (Cr)'!$C:$FB,5)</f>
        <v>3852.5</v>
      </c>
      <c r="F48" s="75">
        <f t="shared" si="0"/>
        <v>4</v>
      </c>
      <c r="G48" s="75">
        <f t="shared" si="1"/>
        <v>-0.46156253259621927</v>
      </c>
      <c r="H48" s="75">
        <f>VLOOKUP($A48,'Data Vlaue (Cr)'!$C:$FB,99)</f>
        <v>1630</v>
      </c>
      <c r="I48" s="75">
        <f>VLOOKUP($A48,'Data Vlaue (Cr)'!$C:$FB,100)</f>
        <v>1596</v>
      </c>
      <c r="J48" s="75">
        <f t="shared" si="2"/>
        <v>34</v>
      </c>
      <c r="K48" s="75">
        <f t="shared" si="3"/>
        <v>2.0858895705521472</v>
      </c>
      <c r="L48" s="75">
        <f>VLOOKUP($A48,'Data Vlaue (Cr)'!$C:$FB,67)</f>
        <v>682</v>
      </c>
      <c r="M48" s="75">
        <f>VLOOKUP($A48,'Data Vlaue (Cr)'!$C:$FB,68)</f>
        <v>966</v>
      </c>
      <c r="N48" s="75">
        <f t="shared" si="4"/>
        <v>-284</v>
      </c>
      <c r="O48" s="75">
        <f t="shared" si="5"/>
        <v>-41.642228739002931</v>
      </c>
      <c r="P48" s="75">
        <f>VLOOKUP($A48,'Data Vlaue (Cr)'!$C:$FB,119)</f>
        <v>0.64</v>
      </c>
      <c r="Q48" s="75">
        <f>VLOOKUP($A48,'Data Vlaue (Cr)'!$C:$FB,122)*100</f>
        <v>3.2300000000000004</v>
      </c>
      <c r="R48" s="75">
        <f>VLOOKUP($A48,'Data Vlaue (Cr)'!$C:$FB,125)</f>
        <v>0.34</v>
      </c>
      <c r="S48" s="75">
        <f>VLOOKUP($A48,'Data Vlaue (Cr)'!$C:$FB,128)*100</f>
        <v>6.25</v>
      </c>
    </row>
    <row r="49" spans="1:19" x14ac:dyDescent="0.25">
      <c r="A49" s="96" t="str">
        <f>'Data Vlaue (Cr)'!C40</f>
        <v>CANBK</v>
      </c>
      <c r="B49" s="75">
        <f>VLOOKUP($A49,'Data Vlaue (Cr)'!$C:$FB,2)</f>
        <v>6750</v>
      </c>
      <c r="C49" s="75">
        <f>VLOOKUP($A49,'Data Vlaue (Cr)'!$C:$FB,8)</f>
        <v>127.37</v>
      </c>
      <c r="D49" s="75">
        <f>VLOOKUP($A49,'Data Vlaue (Cr)'!$C:$FB,4)</f>
        <v>127.58</v>
      </c>
      <c r="E49" s="75">
        <f>VLOOKUP($A49,'Data Vlaue (Cr)'!$C:$FB,5)</f>
        <v>128.6</v>
      </c>
      <c r="F49" s="75">
        <f t="shared" si="0"/>
        <v>0.20999999999999375</v>
      </c>
      <c r="G49" s="75">
        <f t="shared" si="1"/>
        <v>-0.79949835397397395</v>
      </c>
      <c r="H49" s="75">
        <f>VLOOKUP($A49,'Data Vlaue (Cr)'!$C:$FB,99)</f>
        <v>5994</v>
      </c>
      <c r="I49" s="75">
        <f>VLOOKUP($A49,'Data Vlaue (Cr)'!$C:$FB,100)</f>
        <v>5820</v>
      </c>
      <c r="J49" s="75">
        <f t="shared" si="2"/>
        <v>174</v>
      </c>
      <c r="K49" s="75">
        <f t="shared" si="3"/>
        <v>2.9029029029029032</v>
      </c>
      <c r="L49" s="75">
        <f>VLOOKUP($A49,'Data Vlaue (Cr)'!$C:$FB,67)</f>
        <v>4393</v>
      </c>
      <c r="M49" s="75">
        <f>VLOOKUP($A49,'Data Vlaue (Cr)'!$C:$FB,68)</f>
        <v>3465</v>
      </c>
      <c r="N49" s="75">
        <f t="shared" si="4"/>
        <v>928</v>
      </c>
      <c r="O49" s="75">
        <f t="shared" si="5"/>
        <v>21.12451627589347</v>
      </c>
      <c r="P49" s="75">
        <f>VLOOKUP($A49,'Data Vlaue (Cr)'!$C:$FB,119)</f>
        <v>0.83</v>
      </c>
      <c r="Q49" s="75">
        <f>VLOOKUP($A49,'Data Vlaue (Cr)'!$C:$FB,122)*100</f>
        <v>-3.49</v>
      </c>
      <c r="R49" s="75">
        <f>VLOOKUP($A49,'Data Vlaue (Cr)'!$C:$FB,125)</f>
        <v>0.6</v>
      </c>
      <c r="S49" s="75">
        <f>VLOOKUP($A49,'Data Vlaue (Cr)'!$C:$FB,128)*100</f>
        <v>1.69</v>
      </c>
    </row>
    <row r="50" spans="1:19" x14ac:dyDescent="0.25">
      <c r="A50" s="96" t="str">
        <f>'Data Vlaue (Cr)'!C41</f>
        <v>CDSL</v>
      </c>
      <c r="B50" s="75">
        <f>VLOOKUP($A50,'Data Vlaue (Cr)'!$C:$FB,2)</f>
        <v>475</v>
      </c>
      <c r="C50" s="75">
        <f>VLOOKUP($A50,'Data Vlaue (Cr)'!$C:$FB,8)</f>
        <v>1620.3</v>
      </c>
      <c r="D50" s="75">
        <f>VLOOKUP($A50,'Data Vlaue (Cr)'!$C:$FB,4)</f>
        <v>1625.7</v>
      </c>
      <c r="E50" s="75">
        <f>VLOOKUP($A50,'Data Vlaue (Cr)'!$C:$FB,5)</f>
        <v>1629.1</v>
      </c>
      <c r="F50" s="75">
        <f t="shared" si="0"/>
        <v>5.4000000000000909</v>
      </c>
      <c r="G50" s="75">
        <f t="shared" si="1"/>
        <v>-0.20914067786183574</v>
      </c>
      <c r="H50" s="75">
        <f>VLOOKUP($A50,'Data Vlaue (Cr)'!$C:$FB,99)</f>
        <v>3152</v>
      </c>
      <c r="I50" s="75">
        <f>VLOOKUP($A50,'Data Vlaue (Cr)'!$C:$FB,100)</f>
        <v>3121</v>
      </c>
      <c r="J50" s="75">
        <f t="shared" si="2"/>
        <v>31</v>
      </c>
      <c r="K50" s="75">
        <f t="shared" si="3"/>
        <v>0.98350253807106602</v>
      </c>
      <c r="L50" s="75">
        <f>VLOOKUP($A50,'Data Vlaue (Cr)'!$C:$FB,67)</f>
        <v>2147</v>
      </c>
      <c r="M50" s="75">
        <f>VLOOKUP($A50,'Data Vlaue (Cr)'!$C:$FB,68)</f>
        <v>2858</v>
      </c>
      <c r="N50" s="75">
        <f t="shared" si="4"/>
        <v>-711</v>
      </c>
      <c r="O50" s="75">
        <f t="shared" si="5"/>
        <v>-33.115975780158365</v>
      </c>
      <c r="P50" s="75">
        <f>VLOOKUP($A50,'Data Vlaue (Cr)'!$C:$FB,119)</f>
        <v>0.7</v>
      </c>
      <c r="Q50" s="75">
        <f>VLOOKUP($A50,'Data Vlaue (Cr)'!$C:$FB,122)*100</f>
        <v>-1.41</v>
      </c>
      <c r="R50" s="75">
        <f>VLOOKUP($A50,'Data Vlaue (Cr)'!$C:$FB,125)</f>
        <v>0.47</v>
      </c>
      <c r="S50" s="75">
        <f>VLOOKUP($A50,'Data Vlaue (Cr)'!$C:$FB,128)*100</f>
        <v>0</v>
      </c>
    </row>
    <row r="51" spans="1:19" x14ac:dyDescent="0.25">
      <c r="A51" s="96" t="str">
        <f>'Data Vlaue (Cr)'!C42</f>
        <v>CGPOWER</v>
      </c>
      <c r="B51" s="75">
        <f>VLOOKUP($A51,'Data Vlaue (Cr)'!$C:$FB,2)</f>
        <v>850</v>
      </c>
      <c r="C51" s="75">
        <f>VLOOKUP($A51,'Data Vlaue (Cr)'!$C:$FB,8)</f>
        <v>760.6</v>
      </c>
      <c r="D51" s="75">
        <f>VLOOKUP($A51,'Data Vlaue (Cr)'!$C:$FB,4)</f>
        <v>763.45</v>
      </c>
      <c r="E51" s="75">
        <f>VLOOKUP($A51,'Data Vlaue (Cr)'!$C:$FB,5)</f>
        <v>758.4</v>
      </c>
      <c r="F51" s="75">
        <f t="shared" si="0"/>
        <v>2.8500000000000227</v>
      </c>
      <c r="G51" s="75">
        <f t="shared" si="1"/>
        <v>0.66147095422097957</v>
      </c>
      <c r="H51" s="75">
        <f>VLOOKUP($A51,'Data Vlaue (Cr)'!$C:$FB,99)</f>
        <v>2106</v>
      </c>
      <c r="I51" s="75">
        <f>VLOOKUP($A51,'Data Vlaue (Cr)'!$C:$FB,100)</f>
        <v>2140</v>
      </c>
      <c r="J51" s="75">
        <f t="shared" si="2"/>
        <v>-34</v>
      </c>
      <c r="K51" s="75">
        <f t="shared" si="3"/>
        <v>-1.6144349477682813</v>
      </c>
      <c r="L51" s="75">
        <f>VLOOKUP($A51,'Data Vlaue (Cr)'!$C:$FB,67)</f>
        <v>892</v>
      </c>
      <c r="M51" s="75">
        <f>VLOOKUP($A51,'Data Vlaue (Cr)'!$C:$FB,68)</f>
        <v>890</v>
      </c>
      <c r="N51" s="75">
        <f t="shared" si="4"/>
        <v>2</v>
      </c>
      <c r="O51" s="75">
        <f t="shared" si="5"/>
        <v>0.22421524663677131</v>
      </c>
      <c r="P51" s="75">
        <f>VLOOKUP($A51,'Data Vlaue (Cr)'!$C:$FB,119)</f>
        <v>0.6</v>
      </c>
      <c r="Q51" s="75">
        <f>VLOOKUP($A51,'Data Vlaue (Cr)'!$C:$FB,122)*100</f>
        <v>5.26</v>
      </c>
      <c r="R51" s="75">
        <f>VLOOKUP($A51,'Data Vlaue (Cr)'!$C:$FB,125)</f>
        <v>0.37</v>
      </c>
      <c r="S51" s="75">
        <f>VLOOKUP($A51,'Data Vlaue (Cr)'!$C:$FB,128)*100</f>
        <v>2.78</v>
      </c>
    </row>
    <row r="52" spans="1:19" x14ac:dyDescent="0.25">
      <c r="A52" s="96" t="str">
        <f>'Data Vlaue (Cr)'!C43</f>
        <v>CHOLAFIN</v>
      </c>
      <c r="B52" s="75">
        <f>VLOOKUP($A52,'Data Vlaue (Cr)'!$C:$FB,2)</f>
        <v>625</v>
      </c>
      <c r="C52" s="75">
        <f>VLOOKUP($A52,'Data Vlaue (Cr)'!$C:$FB,8)</f>
        <v>1668.1</v>
      </c>
      <c r="D52" s="75">
        <f>VLOOKUP($A52,'Data Vlaue (Cr)'!$C:$FB,4)</f>
        <v>1663.1</v>
      </c>
      <c r="E52" s="75">
        <f>VLOOKUP($A52,'Data Vlaue (Cr)'!$C:$FB,5)</f>
        <v>1680.2</v>
      </c>
      <c r="F52" s="75">
        <f t="shared" si="0"/>
        <v>-5</v>
      </c>
      <c r="G52" s="75">
        <f t="shared" si="1"/>
        <v>-1.0282003487463254</v>
      </c>
      <c r="H52" s="75">
        <f>VLOOKUP($A52,'Data Vlaue (Cr)'!$C:$FB,99)</f>
        <v>4217</v>
      </c>
      <c r="I52" s="75">
        <f>VLOOKUP($A52,'Data Vlaue (Cr)'!$C:$FB,100)</f>
        <v>3803</v>
      </c>
      <c r="J52" s="75">
        <f t="shared" si="2"/>
        <v>414</v>
      </c>
      <c r="K52" s="75">
        <f t="shared" si="3"/>
        <v>9.8174057386767846</v>
      </c>
      <c r="L52" s="75">
        <f>VLOOKUP($A52,'Data Vlaue (Cr)'!$C:$FB,67)</f>
        <v>3838</v>
      </c>
      <c r="M52" s="75">
        <f>VLOOKUP($A52,'Data Vlaue (Cr)'!$C:$FB,68)</f>
        <v>4176</v>
      </c>
      <c r="N52" s="75">
        <f t="shared" si="4"/>
        <v>-338</v>
      </c>
      <c r="O52" s="75">
        <f t="shared" si="5"/>
        <v>-8.8066701406982801</v>
      </c>
      <c r="P52" s="75">
        <f>VLOOKUP($A52,'Data Vlaue (Cr)'!$C:$FB,119)</f>
        <v>0.6</v>
      </c>
      <c r="Q52" s="75">
        <f>VLOOKUP($A52,'Data Vlaue (Cr)'!$C:$FB,122)*100</f>
        <v>-20</v>
      </c>
      <c r="R52" s="75">
        <f>VLOOKUP($A52,'Data Vlaue (Cr)'!$C:$FB,125)</f>
        <v>0.36</v>
      </c>
      <c r="S52" s="75">
        <f>VLOOKUP($A52,'Data Vlaue (Cr)'!$C:$FB,128)*100</f>
        <v>9.09</v>
      </c>
    </row>
    <row r="53" spans="1:19" x14ac:dyDescent="0.25">
      <c r="A53" s="96" t="str">
        <f>'Data Vlaue (Cr)'!C44</f>
        <v>CIPLA</v>
      </c>
      <c r="B53" s="75">
        <f>VLOOKUP($A53,'Data Vlaue (Cr)'!$C:$FB,2)</f>
        <v>375</v>
      </c>
      <c r="C53" s="75">
        <f>VLOOKUP($A53,'Data Vlaue (Cr)'!$C:$FB,8)</f>
        <v>1569.4</v>
      </c>
      <c r="D53" s="75">
        <f>VLOOKUP($A53,'Data Vlaue (Cr)'!$C:$FB,4)</f>
        <v>1572.3</v>
      </c>
      <c r="E53" s="75">
        <f>VLOOKUP($A53,'Data Vlaue (Cr)'!$C:$FB,5)</f>
        <v>1564.2</v>
      </c>
      <c r="F53" s="75">
        <f t="shared" si="0"/>
        <v>2.8999999999998636</v>
      </c>
      <c r="G53" s="75">
        <f t="shared" si="1"/>
        <v>0.51516886090440184</v>
      </c>
      <c r="H53" s="75">
        <f>VLOOKUP($A53,'Data Vlaue (Cr)'!$C:$FB,99)</f>
        <v>3624</v>
      </c>
      <c r="I53" s="75">
        <f>VLOOKUP($A53,'Data Vlaue (Cr)'!$C:$FB,100)</f>
        <v>3493</v>
      </c>
      <c r="J53" s="75">
        <f t="shared" si="2"/>
        <v>131</v>
      </c>
      <c r="K53" s="75">
        <f t="shared" si="3"/>
        <v>3.6147902869757171</v>
      </c>
      <c r="L53" s="75">
        <f>VLOOKUP($A53,'Data Vlaue (Cr)'!$C:$FB,67)</f>
        <v>1451</v>
      </c>
      <c r="M53" s="75">
        <f>VLOOKUP($A53,'Data Vlaue (Cr)'!$C:$FB,68)</f>
        <v>1427</v>
      </c>
      <c r="N53" s="75">
        <f t="shared" si="4"/>
        <v>24</v>
      </c>
      <c r="O53" s="75">
        <f t="shared" si="5"/>
        <v>1.6540317022742934</v>
      </c>
      <c r="P53" s="75">
        <f>VLOOKUP($A53,'Data Vlaue (Cr)'!$C:$FB,119)</f>
        <v>0.41</v>
      </c>
      <c r="Q53" s="75">
        <f>VLOOKUP($A53,'Data Vlaue (Cr)'!$C:$FB,122)*100</f>
        <v>-6.8199999999999994</v>
      </c>
      <c r="R53" s="75">
        <f>VLOOKUP($A53,'Data Vlaue (Cr)'!$C:$FB,125)</f>
        <v>0.24</v>
      </c>
      <c r="S53" s="75">
        <f>VLOOKUP($A53,'Data Vlaue (Cr)'!$C:$FB,128)*100</f>
        <v>-7.6899999999999995</v>
      </c>
    </row>
    <row r="54" spans="1:19" x14ac:dyDescent="0.25">
      <c r="A54" s="96" t="str">
        <f>'Data Vlaue (Cr)'!C45</f>
        <v>COALINDIA</v>
      </c>
      <c r="B54" s="75">
        <f>VLOOKUP($A54,'Data Vlaue (Cr)'!$C:$FB,2)</f>
        <v>1350</v>
      </c>
      <c r="C54" s="75">
        <f>VLOOKUP($A54,'Data Vlaue (Cr)'!$C:$FB,8)</f>
        <v>387.6</v>
      </c>
      <c r="D54" s="75">
        <f>VLOOKUP($A54,'Data Vlaue (Cr)'!$C:$FB,4)</f>
        <v>388.85</v>
      </c>
      <c r="E54" s="75">
        <f>VLOOKUP($A54,'Data Vlaue (Cr)'!$C:$FB,5)</f>
        <v>385.95</v>
      </c>
      <c r="F54" s="75">
        <f t="shared" si="0"/>
        <v>1.25</v>
      </c>
      <c r="G54" s="75">
        <f t="shared" si="1"/>
        <v>0.74578886460075455</v>
      </c>
      <c r="H54" s="75">
        <f>VLOOKUP($A54,'Data Vlaue (Cr)'!$C:$FB,99)</f>
        <v>4679</v>
      </c>
      <c r="I54" s="75">
        <f>VLOOKUP($A54,'Data Vlaue (Cr)'!$C:$FB,100)</f>
        <v>4702</v>
      </c>
      <c r="J54" s="75">
        <f t="shared" si="2"/>
        <v>-23</v>
      </c>
      <c r="K54" s="75">
        <f t="shared" si="3"/>
        <v>-0.49155802521906389</v>
      </c>
      <c r="L54" s="75">
        <f>VLOOKUP($A54,'Data Vlaue (Cr)'!$C:$FB,67)</f>
        <v>1471</v>
      </c>
      <c r="M54" s="75">
        <f>VLOOKUP($A54,'Data Vlaue (Cr)'!$C:$FB,68)</f>
        <v>1590</v>
      </c>
      <c r="N54" s="75">
        <f t="shared" si="4"/>
        <v>-119</v>
      </c>
      <c r="O54" s="75">
        <f t="shared" si="5"/>
        <v>-8.089734874235214</v>
      </c>
      <c r="P54" s="75">
        <f>VLOOKUP($A54,'Data Vlaue (Cr)'!$C:$FB,119)</f>
        <v>0.68</v>
      </c>
      <c r="Q54" s="75">
        <f>VLOOKUP($A54,'Data Vlaue (Cr)'!$C:$FB,122)*100</f>
        <v>-1.4500000000000002</v>
      </c>
      <c r="R54" s="75">
        <f>VLOOKUP($A54,'Data Vlaue (Cr)'!$C:$FB,125)</f>
        <v>0.71</v>
      </c>
      <c r="S54" s="75">
        <f>VLOOKUP($A54,'Data Vlaue (Cr)'!$C:$FB,128)*100</f>
        <v>1.43</v>
      </c>
    </row>
    <row r="55" spans="1:19" x14ac:dyDescent="0.25">
      <c r="A55" s="96" t="str">
        <f>'Data Vlaue (Cr)'!C46</f>
        <v>COFORGE</v>
      </c>
      <c r="B55" s="75">
        <f>VLOOKUP($A55,'Data Vlaue (Cr)'!$C:$FB,2)</f>
        <v>375</v>
      </c>
      <c r="C55" s="75">
        <f>VLOOKUP($A55,'Data Vlaue (Cr)'!$C:$FB,8)</f>
        <v>1761.5</v>
      </c>
      <c r="D55" s="75">
        <f>VLOOKUP($A55,'Data Vlaue (Cr)'!$C:$FB,4)</f>
        <v>1766.1</v>
      </c>
      <c r="E55" s="75">
        <f>VLOOKUP($A55,'Data Vlaue (Cr)'!$C:$FB,5)</f>
        <v>1766.9</v>
      </c>
      <c r="F55" s="75">
        <f t="shared" si="0"/>
        <v>4.5999999999999091</v>
      </c>
      <c r="G55" s="75">
        <f t="shared" si="1"/>
        <v>-4.5297548270210174E-2</v>
      </c>
      <c r="H55" s="75">
        <f>VLOOKUP($A55,'Data Vlaue (Cr)'!$C:$FB,99)</f>
        <v>3550</v>
      </c>
      <c r="I55" s="75">
        <f>VLOOKUP($A55,'Data Vlaue (Cr)'!$C:$FB,100)</f>
        <v>3523</v>
      </c>
      <c r="J55" s="75">
        <f t="shared" si="2"/>
        <v>27</v>
      </c>
      <c r="K55" s="75">
        <f t="shared" si="3"/>
        <v>0.76056338028169013</v>
      </c>
      <c r="L55" s="75">
        <f>VLOOKUP($A55,'Data Vlaue (Cr)'!$C:$FB,67)</f>
        <v>1304</v>
      </c>
      <c r="M55" s="75">
        <f>VLOOKUP($A55,'Data Vlaue (Cr)'!$C:$FB,68)</f>
        <v>4833</v>
      </c>
      <c r="N55" s="75">
        <f t="shared" si="4"/>
        <v>-3529</v>
      </c>
      <c r="O55" s="75">
        <f t="shared" si="5"/>
        <v>-270.62883435582819</v>
      </c>
      <c r="P55" s="75">
        <f>VLOOKUP($A55,'Data Vlaue (Cr)'!$C:$FB,119)</f>
        <v>0.71</v>
      </c>
      <c r="Q55" s="75">
        <f>VLOOKUP($A55,'Data Vlaue (Cr)'!$C:$FB,122)*100</f>
        <v>4.41</v>
      </c>
      <c r="R55" s="75">
        <f>VLOOKUP($A55,'Data Vlaue (Cr)'!$C:$FB,125)</f>
        <v>0.46</v>
      </c>
      <c r="S55" s="75">
        <f>VLOOKUP($A55,'Data Vlaue (Cr)'!$C:$FB,128)*100</f>
        <v>84</v>
      </c>
    </row>
    <row r="56" spans="1:19" x14ac:dyDescent="0.25">
      <c r="A56" s="96" t="str">
        <f>'Data Vlaue (Cr)'!C47</f>
        <v>COLPAL</v>
      </c>
      <c r="B56" s="75">
        <f>VLOOKUP($A56,'Data Vlaue (Cr)'!$C:$FB,2)</f>
        <v>225</v>
      </c>
      <c r="C56" s="75">
        <f>VLOOKUP($A56,'Data Vlaue (Cr)'!$C:$FB,8)</f>
        <v>2285.8000000000002</v>
      </c>
      <c r="D56" s="75">
        <f>VLOOKUP($A56,'Data Vlaue (Cr)'!$C:$FB,4)</f>
        <v>2294</v>
      </c>
      <c r="E56" s="75">
        <f>VLOOKUP($A56,'Data Vlaue (Cr)'!$C:$FB,5)</f>
        <v>2230.8000000000002</v>
      </c>
      <c r="F56" s="75">
        <f t="shared" si="0"/>
        <v>8.1999999999998181</v>
      </c>
      <c r="G56" s="75">
        <f t="shared" si="1"/>
        <v>2.7550130775937145</v>
      </c>
      <c r="H56" s="75">
        <f>VLOOKUP($A56,'Data Vlaue (Cr)'!$C:$FB,99)</f>
        <v>1863</v>
      </c>
      <c r="I56" s="75">
        <f>VLOOKUP($A56,'Data Vlaue (Cr)'!$C:$FB,100)</f>
        <v>2022</v>
      </c>
      <c r="J56" s="75">
        <f t="shared" si="2"/>
        <v>-159</v>
      </c>
      <c r="K56" s="75">
        <f t="shared" si="3"/>
        <v>-8.5346215780998396</v>
      </c>
      <c r="L56" s="75">
        <f>VLOOKUP($A56,'Data Vlaue (Cr)'!$C:$FB,67)</f>
        <v>1882</v>
      </c>
      <c r="M56" s="75">
        <f>VLOOKUP($A56,'Data Vlaue (Cr)'!$C:$FB,68)</f>
        <v>730</v>
      </c>
      <c r="N56" s="75">
        <f t="shared" si="4"/>
        <v>1152</v>
      </c>
      <c r="O56" s="75">
        <f t="shared" si="5"/>
        <v>61.211477151966001</v>
      </c>
      <c r="P56" s="75">
        <f>VLOOKUP($A56,'Data Vlaue (Cr)'!$C:$FB,119)</f>
        <v>0.75</v>
      </c>
      <c r="Q56" s="75">
        <f>VLOOKUP($A56,'Data Vlaue (Cr)'!$C:$FB,122)*100</f>
        <v>5.63</v>
      </c>
      <c r="R56" s="75">
        <f>VLOOKUP($A56,'Data Vlaue (Cr)'!$C:$FB,125)</f>
        <v>0.31</v>
      </c>
      <c r="S56" s="75">
        <f>VLOOKUP($A56,'Data Vlaue (Cr)'!$C:$FB,128)*100</f>
        <v>-13.889999999999999</v>
      </c>
    </row>
    <row r="57" spans="1:19" x14ac:dyDescent="0.25">
      <c r="A57" s="96" t="str">
        <f>'Data Vlaue (Cr)'!C48</f>
        <v>CONCOR</v>
      </c>
      <c r="B57" s="75">
        <f>VLOOKUP($A57,'Data Vlaue (Cr)'!$C:$FB,2)</f>
        <v>1250</v>
      </c>
      <c r="C57" s="75">
        <f>VLOOKUP($A57,'Data Vlaue (Cr)'!$C:$FB,8)</f>
        <v>534.1</v>
      </c>
      <c r="D57" s="75">
        <f>VLOOKUP($A57,'Data Vlaue (Cr)'!$C:$FB,4)</f>
        <v>535.9</v>
      </c>
      <c r="E57" s="75">
        <f>VLOOKUP($A57,'Data Vlaue (Cr)'!$C:$FB,5)</f>
        <v>532.4</v>
      </c>
      <c r="F57" s="75">
        <f t="shared" si="0"/>
        <v>1.7999999999999545</v>
      </c>
      <c r="G57" s="75">
        <f t="shared" si="1"/>
        <v>0.65310692293338313</v>
      </c>
      <c r="H57" s="75">
        <f>VLOOKUP($A57,'Data Vlaue (Cr)'!$C:$FB,99)</f>
        <v>2498</v>
      </c>
      <c r="I57" s="75">
        <f>VLOOKUP($A57,'Data Vlaue (Cr)'!$C:$FB,100)</f>
        <v>2546</v>
      </c>
      <c r="J57" s="75">
        <f t="shared" si="2"/>
        <v>-48</v>
      </c>
      <c r="K57" s="75">
        <f t="shared" si="3"/>
        <v>-1.9215372297838269</v>
      </c>
      <c r="L57" s="75">
        <f>VLOOKUP($A57,'Data Vlaue (Cr)'!$C:$FB,67)</f>
        <v>574</v>
      </c>
      <c r="M57" s="75">
        <f>VLOOKUP($A57,'Data Vlaue (Cr)'!$C:$FB,68)</f>
        <v>526</v>
      </c>
      <c r="N57" s="75">
        <f t="shared" si="4"/>
        <v>48</v>
      </c>
      <c r="O57" s="75">
        <f t="shared" si="5"/>
        <v>8.3623693379790947</v>
      </c>
      <c r="P57" s="75">
        <f>VLOOKUP($A57,'Data Vlaue (Cr)'!$C:$FB,119)</f>
        <v>0.7</v>
      </c>
      <c r="Q57" s="75">
        <f>VLOOKUP($A57,'Data Vlaue (Cr)'!$C:$FB,122)*100</f>
        <v>2.94</v>
      </c>
      <c r="R57" s="75">
        <f>VLOOKUP($A57,'Data Vlaue (Cr)'!$C:$FB,125)</f>
        <v>0.36</v>
      </c>
      <c r="S57" s="75">
        <f>VLOOKUP($A57,'Data Vlaue (Cr)'!$C:$FB,128)*100</f>
        <v>12.5</v>
      </c>
    </row>
    <row r="58" spans="1:19" x14ac:dyDescent="0.25">
      <c r="A58" s="96" t="str">
        <f>'Data Vlaue (Cr)'!C49</f>
        <v>CROMPTON</v>
      </c>
      <c r="B58" s="75">
        <f>VLOOKUP($A58,'Data Vlaue (Cr)'!$C:$FB,2)</f>
        <v>1800</v>
      </c>
      <c r="C58" s="75">
        <f>VLOOKUP($A58,'Data Vlaue (Cr)'!$C:$FB,8)</f>
        <v>288.60000000000002</v>
      </c>
      <c r="D58" s="75">
        <f>VLOOKUP($A58,'Data Vlaue (Cr)'!$C:$FB,4)</f>
        <v>289.89999999999998</v>
      </c>
      <c r="E58" s="75">
        <f>VLOOKUP($A58,'Data Vlaue (Cr)'!$C:$FB,5)</f>
        <v>289</v>
      </c>
      <c r="F58" s="75">
        <f t="shared" si="0"/>
        <v>1.2999999999999545</v>
      </c>
      <c r="G58" s="75">
        <f t="shared" si="1"/>
        <v>0.31045187995859863</v>
      </c>
      <c r="H58" s="75">
        <f>VLOOKUP($A58,'Data Vlaue (Cr)'!$C:$FB,99)</f>
        <v>2428</v>
      </c>
      <c r="I58" s="75">
        <f>VLOOKUP($A58,'Data Vlaue (Cr)'!$C:$FB,100)</f>
        <v>2426</v>
      </c>
      <c r="J58" s="75">
        <f t="shared" si="2"/>
        <v>2</v>
      </c>
      <c r="K58" s="75">
        <f t="shared" si="3"/>
        <v>8.2372322899505773E-2</v>
      </c>
      <c r="L58" s="75">
        <f>VLOOKUP($A58,'Data Vlaue (Cr)'!$C:$FB,67)</f>
        <v>638</v>
      </c>
      <c r="M58" s="75">
        <f>VLOOKUP($A58,'Data Vlaue (Cr)'!$C:$FB,68)</f>
        <v>1218</v>
      </c>
      <c r="N58" s="75">
        <f t="shared" si="4"/>
        <v>-580</v>
      </c>
      <c r="O58" s="75">
        <f t="shared" si="5"/>
        <v>-90.909090909090907</v>
      </c>
      <c r="P58" s="75">
        <f>VLOOKUP($A58,'Data Vlaue (Cr)'!$C:$FB,119)</f>
        <v>0.54</v>
      </c>
      <c r="Q58" s="75">
        <f>VLOOKUP($A58,'Data Vlaue (Cr)'!$C:$FB,122)*100</f>
        <v>0</v>
      </c>
      <c r="R58" s="75">
        <f>VLOOKUP($A58,'Data Vlaue (Cr)'!$C:$FB,125)</f>
        <v>0.27</v>
      </c>
      <c r="S58" s="75">
        <f>VLOOKUP($A58,'Data Vlaue (Cr)'!$C:$FB,128)*100</f>
        <v>-6.9</v>
      </c>
    </row>
    <row r="59" spans="1:19" x14ac:dyDescent="0.25">
      <c r="A59" s="96" t="str">
        <f>'Data Vlaue (Cr)'!C50</f>
        <v>CUMMINSIND</v>
      </c>
      <c r="B59" s="75">
        <f>VLOOKUP($A59,'Data Vlaue (Cr)'!$C:$FB,2)</f>
        <v>200</v>
      </c>
      <c r="C59" s="75">
        <f>VLOOKUP($A59,'Data Vlaue (Cr)'!$C:$FB,8)</f>
        <v>3940.6</v>
      </c>
      <c r="D59" s="75">
        <f>VLOOKUP($A59,'Data Vlaue (Cr)'!$C:$FB,4)</f>
        <v>3950.5</v>
      </c>
      <c r="E59" s="75">
        <f>VLOOKUP($A59,'Data Vlaue (Cr)'!$C:$FB,5)</f>
        <v>3972.9</v>
      </c>
      <c r="F59" s="75">
        <f t="shared" si="0"/>
        <v>9.9000000000000909</v>
      </c>
      <c r="G59" s="75">
        <f t="shared" si="1"/>
        <v>-0.56701683331224118</v>
      </c>
      <c r="H59" s="75">
        <f>VLOOKUP($A59,'Data Vlaue (Cr)'!$C:$FB,99)</f>
        <v>1732</v>
      </c>
      <c r="I59" s="75">
        <f>VLOOKUP($A59,'Data Vlaue (Cr)'!$C:$FB,100)</f>
        <v>1692</v>
      </c>
      <c r="J59" s="75">
        <f t="shared" si="2"/>
        <v>40</v>
      </c>
      <c r="K59" s="75">
        <f t="shared" si="3"/>
        <v>2.3094688221709005</v>
      </c>
      <c r="L59" s="75">
        <f>VLOOKUP($A59,'Data Vlaue (Cr)'!$C:$FB,67)</f>
        <v>851</v>
      </c>
      <c r="M59" s="75">
        <f>VLOOKUP($A59,'Data Vlaue (Cr)'!$C:$FB,68)</f>
        <v>567</v>
      </c>
      <c r="N59" s="75">
        <f t="shared" si="4"/>
        <v>284</v>
      </c>
      <c r="O59" s="75">
        <f t="shared" si="5"/>
        <v>33.372502937720327</v>
      </c>
      <c r="P59" s="75">
        <f>VLOOKUP($A59,'Data Vlaue (Cr)'!$C:$FB,119)</f>
        <v>0.63</v>
      </c>
      <c r="Q59" s="75">
        <f>VLOOKUP($A59,'Data Vlaue (Cr)'!$C:$FB,122)*100</f>
        <v>-10</v>
      </c>
      <c r="R59" s="75">
        <f>VLOOKUP($A59,'Data Vlaue (Cr)'!$C:$FB,125)</f>
        <v>0.26</v>
      </c>
      <c r="S59" s="75">
        <f>VLOOKUP($A59,'Data Vlaue (Cr)'!$C:$FB,128)*100</f>
        <v>-23.53</v>
      </c>
    </row>
    <row r="60" spans="1:19" x14ac:dyDescent="0.25">
      <c r="A60" s="96" t="str">
        <f>'Data Vlaue (Cr)'!C51</f>
        <v>CYIENT</v>
      </c>
      <c r="B60" s="75">
        <f>VLOOKUP($A60,'Data Vlaue (Cr)'!$C:$FB,2)</f>
        <v>425</v>
      </c>
      <c r="C60" s="75">
        <f>VLOOKUP($A60,'Data Vlaue (Cr)'!$C:$FB,8)</f>
        <v>1180.5999999999999</v>
      </c>
      <c r="D60" s="75">
        <f>VLOOKUP($A60,'Data Vlaue (Cr)'!$C:$FB,4)</f>
        <v>1172.2</v>
      </c>
      <c r="E60" s="75">
        <f>VLOOKUP($A60,'Data Vlaue (Cr)'!$C:$FB,5)</f>
        <v>1119.4000000000001</v>
      </c>
      <c r="F60" s="75">
        <f t="shared" si="0"/>
        <v>-8.3999999999998636</v>
      </c>
      <c r="G60" s="75">
        <f t="shared" si="1"/>
        <v>4.5043507933799649</v>
      </c>
      <c r="H60" s="75">
        <f>VLOOKUP($A60,'Data Vlaue (Cr)'!$C:$FB,99)</f>
        <v>1336</v>
      </c>
      <c r="I60" s="75">
        <f>VLOOKUP($A60,'Data Vlaue (Cr)'!$C:$FB,100)</f>
        <v>1035</v>
      </c>
      <c r="J60" s="75">
        <f t="shared" si="2"/>
        <v>301</v>
      </c>
      <c r="K60" s="75">
        <f t="shared" si="3"/>
        <v>22.529940119760479</v>
      </c>
      <c r="L60" s="75">
        <f>VLOOKUP($A60,'Data Vlaue (Cr)'!$C:$FB,67)</f>
        <v>5107</v>
      </c>
      <c r="M60" s="75">
        <f>VLOOKUP($A60,'Data Vlaue (Cr)'!$C:$FB,68)</f>
        <v>1182</v>
      </c>
      <c r="N60" s="75">
        <f t="shared" si="4"/>
        <v>3925</v>
      </c>
      <c r="O60" s="75">
        <f t="shared" si="5"/>
        <v>76.855296651654598</v>
      </c>
      <c r="P60" s="75">
        <f>VLOOKUP($A60,'Data Vlaue (Cr)'!$C:$FB,119)</f>
        <v>0.69</v>
      </c>
      <c r="Q60" s="75">
        <f>VLOOKUP($A60,'Data Vlaue (Cr)'!$C:$FB,122)*100</f>
        <v>30.19</v>
      </c>
      <c r="R60" s="75">
        <f>VLOOKUP($A60,'Data Vlaue (Cr)'!$C:$FB,125)</f>
        <v>0.6</v>
      </c>
      <c r="S60" s="75">
        <f>VLOOKUP($A60,'Data Vlaue (Cr)'!$C:$FB,128)*100</f>
        <v>-30.23</v>
      </c>
    </row>
    <row r="61" spans="1:19" x14ac:dyDescent="0.25">
      <c r="A61" s="96" t="str">
        <f>'Data Vlaue (Cr)'!C52</f>
        <v>DABUR</v>
      </c>
      <c r="B61" s="75">
        <f>VLOOKUP($A61,'Data Vlaue (Cr)'!$C:$FB,2)</f>
        <v>1250</v>
      </c>
      <c r="C61" s="75">
        <f>VLOOKUP($A61,'Data Vlaue (Cr)'!$C:$FB,8)</f>
        <v>500.75</v>
      </c>
      <c r="D61" s="75">
        <f>VLOOKUP($A61,'Data Vlaue (Cr)'!$C:$FB,4)</f>
        <v>501.25</v>
      </c>
      <c r="E61" s="75">
        <f>VLOOKUP($A61,'Data Vlaue (Cr)'!$C:$FB,5)</f>
        <v>494.5</v>
      </c>
      <c r="F61" s="75">
        <f t="shared" si="0"/>
        <v>0.5</v>
      </c>
      <c r="G61" s="75">
        <f t="shared" si="1"/>
        <v>1.3466334164588529</v>
      </c>
      <c r="H61" s="75">
        <f>VLOOKUP($A61,'Data Vlaue (Cr)'!$C:$FB,99)</f>
        <v>2484</v>
      </c>
      <c r="I61" s="75">
        <f>VLOOKUP($A61,'Data Vlaue (Cr)'!$C:$FB,100)</f>
        <v>2678</v>
      </c>
      <c r="J61" s="75">
        <f t="shared" si="2"/>
        <v>-194</v>
      </c>
      <c r="K61" s="75">
        <f t="shared" si="3"/>
        <v>-7.8099838969404187</v>
      </c>
      <c r="L61" s="75">
        <f>VLOOKUP($A61,'Data Vlaue (Cr)'!$C:$FB,67)</f>
        <v>1359</v>
      </c>
      <c r="M61" s="75">
        <f>VLOOKUP($A61,'Data Vlaue (Cr)'!$C:$FB,68)</f>
        <v>908</v>
      </c>
      <c r="N61" s="75">
        <f t="shared" si="4"/>
        <v>451</v>
      </c>
      <c r="O61" s="75">
        <f t="shared" si="5"/>
        <v>33.186166298749079</v>
      </c>
      <c r="P61" s="75">
        <f>VLOOKUP($A61,'Data Vlaue (Cr)'!$C:$FB,119)</f>
        <v>0.53</v>
      </c>
      <c r="Q61" s="75">
        <f>VLOOKUP($A61,'Data Vlaue (Cr)'!$C:$FB,122)*100</f>
        <v>8.16</v>
      </c>
      <c r="R61" s="75">
        <f>VLOOKUP($A61,'Data Vlaue (Cr)'!$C:$FB,125)</f>
        <v>0.45</v>
      </c>
      <c r="S61" s="75">
        <f>VLOOKUP($A61,'Data Vlaue (Cr)'!$C:$FB,128)*100</f>
        <v>4.6500000000000004</v>
      </c>
    </row>
    <row r="62" spans="1:19" x14ac:dyDescent="0.25">
      <c r="A62" s="96" t="str">
        <f>'Data Vlaue (Cr)'!C53</f>
        <v>DALBHARAT</v>
      </c>
      <c r="B62" s="75">
        <f>VLOOKUP($A62,'Data Vlaue (Cr)'!$C:$FB,2)</f>
        <v>325</v>
      </c>
      <c r="C62" s="75">
        <f>VLOOKUP($A62,'Data Vlaue (Cr)'!$C:$FB,8)</f>
        <v>2224.4</v>
      </c>
      <c r="D62" s="75">
        <f>VLOOKUP($A62,'Data Vlaue (Cr)'!$C:$FB,4)</f>
        <v>2228.1999999999998</v>
      </c>
      <c r="E62" s="75">
        <f>VLOOKUP($A62,'Data Vlaue (Cr)'!$C:$FB,5)</f>
        <v>2221.9</v>
      </c>
      <c r="F62" s="75">
        <f t="shared" si="0"/>
        <v>3.7999999999997272</v>
      </c>
      <c r="G62" s="75">
        <f t="shared" si="1"/>
        <v>0.28273943093078391</v>
      </c>
      <c r="H62" s="75">
        <f>VLOOKUP($A62,'Data Vlaue (Cr)'!$C:$FB,99)</f>
        <v>777</v>
      </c>
      <c r="I62" s="75">
        <f>VLOOKUP($A62,'Data Vlaue (Cr)'!$C:$FB,100)</f>
        <v>785</v>
      </c>
      <c r="J62" s="75">
        <f t="shared" si="2"/>
        <v>-8</v>
      </c>
      <c r="K62" s="75">
        <f t="shared" si="3"/>
        <v>-1.0296010296010296</v>
      </c>
      <c r="L62" s="75">
        <f>VLOOKUP($A62,'Data Vlaue (Cr)'!$C:$FB,67)</f>
        <v>227</v>
      </c>
      <c r="M62" s="75">
        <f>VLOOKUP($A62,'Data Vlaue (Cr)'!$C:$FB,68)</f>
        <v>249</v>
      </c>
      <c r="N62" s="75">
        <f t="shared" si="4"/>
        <v>-22</v>
      </c>
      <c r="O62" s="75">
        <f t="shared" si="5"/>
        <v>-9.6916299559471373</v>
      </c>
      <c r="P62" s="75">
        <f>VLOOKUP($A62,'Data Vlaue (Cr)'!$C:$FB,119)</f>
        <v>0.5</v>
      </c>
      <c r="Q62" s="75">
        <f>VLOOKUP($A62,'Data Vlaue (Cr)'!$C:$FB,122)*100</f>
        <v>-9.09</v>
      </c>
      <c r="R62" s="75">
        <f>VLOOKUP($A62,'Data Vlaue (Cr)'!$C:$FB,125)</f>
        <v>0.43</v>
      </c>
      <c r="S62" s="75">
        <f>VLOOKUP($A62,'Data Vlaue (Cr)'!$C:$FB,128)*100</f>
        <v>-39.44</v>
      </c>
    </row>
    <row r="63" spans="1:19" x14ac:dyDescent="0.25">
      <c r="A63" s="96" t="str">
        <f>'Data Vlaue (Cr)'!C54</f>
        <v>DELHIVERY</v>
      </c>
      <c r="B63" s="75">
        <f>VLOOKUP($A63,'Data Vlaue (Cr)'!$C:$FB,2)</f>
        <v>2075</v>
      </c>
      <c r="C63" s="75">
        <f>VLOOKUP($A63,'Data Vlaue (Cr)'!$C:$FB,8)</f>
        <v>446.8</v>
      </c>
      <c r="D63" s="75">
        <f>VLOOKUP($A63,'Data Vlaue (Cr)'!$C:$FB,4)</f>
        <v>448.5</v>
      </c>
      <c r="E63" s="75">
        <f>VLOOKUP($A63,'Data Vlaue (Cr)'!$C:$FB,5)</f>
        <v>463.2</v>
      </c>
      <c r="F63" s="75">
        <f t="shared" si="0"/>
        <v>1.6999999999999886</v>
      </c>
      <c r="G63" s="75">
        <f t="shared" si="1"/>
        <v>-3.277591973244145</v>
      </c>
      <c r="H63" s="75">
        <f>VLOOKUP($A63,'Data Vlaue (Cr)'!$C:$FB,99)</f>
        <v>1734</v>
      </c>
      <c r="I63" s="75">
        <f>VLOOKUP($A63,'Data Vlaue (Cr)'!$C:$FB,100)</f>
        <v>1629</v>
      </c>
      <c r="J63" s="75">
        <f t="shared" si="2"/>
        <v>105</v>
      </c>
      <c r="K63" s="75">
        <f t="shared" si="3"/>
        <v>6.0553633217993079</v>
      </c>
      <c r="L63" s="75">
        <f>VLOOKUP($A63,'Data Vlaue (Cr)'!$C:$FB,67)</f>
        <v>1526</v>
      </c>
      <c r="M63" s="75">
        <f>VLOOKUP($A63,'Data Vlaue (Cr)'!$C:$FB,68)</f>
        <v>1007</v>
      </c>
      <c r="N63" s="75">
        <f t="shared" si="4"/>
        <v>519</v>
      </c>
      <c r="O63" s="75">
        <f t="shared" si="5"/>
        <v>34.010484927916117</v>
      </c>
      <c r="P63" s="75">
        <f>VLOOKUP($A63,'Data Vlaue (Cr)'!$C:$FB,119)</f>
        <v>0.43</v>
      </c>
      <c r="Q63" s="75">
        <f>VLOOKUP($A63,'Data Vlaue (Cr)'!$C:$FB,122)*100</f>
        <v>-21.82</v>
      </c>
      <c r="R63" s="75">
        <f>VLOOKUP($A63,'Data Vlaue (Cr)'!$C:$FB,125)</f>
        <v>0.42</v>
      </c>
      <c r="S63" s="75">
        <f>VLOOKUP($A63,'Data Vlaue (Cr)'!$C:$FB,128)*100</f>
        <v>-23.64</v>
      </c>
    </row>
    <row r="64" spans="1:19" x14ac:dyDescent="0.25">
      <c r="A64" s="96" t="str">
        <f>'Data Vlaue (Cr)'!C55</f>
        <v>DIVISLAB</v>
      </c>
      <c r="B64" s="75">
        <f>VLOOKUP($A64,'Data Vlaue (Cr)'!$C:$FB,2)</f>
        <v>100</v>
      </c>
      <c r="C64" s="75">
        <f>VLOOKUP($A64,'Data Vlaue (Cr)'!$C:$FB,8)</f>
        <v>6600.5</v>
      </c>
      <c r="D64" s="75">
        <f>VLOOKUP($A64,'Data Vlaue (Cr)'!$C:$FB,4)</f>
        <v>6615</v>
      </c>
      <c r="E64" s="75">
        <f>VLOOKUP($A64,'Data Vlaue (Cr)'!$C:$FB,5)</f>
        <v>6582</v>
      </c>
      <c r="F64" s="75">
        <f t="shared" si="0"/>
        <v>14.5</v>
      </c>
      <c r="G64" s="75">
        <f t="shared" si="1"/>
        <v>0.49886621315192742</v>
      </c>
      <c r="H64" s="75">
        <f>VLOOKUP($A64,'Data Vlaue (Cr)'!$C:$FB,99)</f>
        <v>4139</v>
      </c>
      <c r="I64" s="75">
        <f>VLOOKUP($A64,'Data Vlaue (Cr)'!$C:$FB,100)</f>
        <v>4119</v>
      </c>
      <c r="J64" s="75">
        <f t="shared" si="2"/>
        <v>20</v>
      </c>
      <c r="K64" s="75">
        <f t="shared" si="3"/>
        <v>0.48320850446967867</v>
      </c>
      <c r="L64" s="75">
        <f>VLOOKUP($A64,'Data Vlaue (Cr)'!$C:$FB,67)</f>
        <v>3177</v>
      </c>
      <c r="M64" s="75">
        <f>VLOOKUP($A64,'Data Vlaue (Cr)'!$C:$FB,68)</f>
        <v>2258</v>
      </c>
      <c r="N64" s="75">
        <f t="shared" si="4"/>
        <v>919</v>
      </c>
      <c r="O64" s="75">
        <f t="shared" si="5"/>
        <v>28.926660371419576</v>
      </c>
      <c r="P64" s="75">
        <f>VLOOKUP($A64,'Data Vlaue (Cr)'!$C:$FB,119)</f>
        <v>0.99</v>
      </c>
      <c r="Q64" s="75">
        <f>VLOOKUP($A64,'Data Vlaue (Cr)'!$C:$FB,122)*100</f>
        <v>-5.71</v>
      </c>
      <c r="R64" s="75">
        <f>VLOOKUP($A64,'Data Vlaue (Cr)'!$C:$FB,125)</f>
        <v>0.59</v>
      </c>
      <c r="S64" s="75">
        <f>VLOOKUP($A64,'Data Vlaue (Cr)'!$C:$FB,128)*100</f>
        <v>-15.709999999999999</v>
      </c>
    </row>
    <row r="65" spans="1:19" x14ac:dyDescent="0.25">
      <c r="A65" s="96" t="str">
        <f>'Data Vlaue (Cr)'!C56</f>
        <v>DIXON</v>
      </c>
      <c r="B65" s="75">
        <f>VLOOKUP($A65,'Data Vlaue (Cr)'!$C:$FB,2)</f>
        <v>50</v>
      </c>
      <c r="C65" s="75">
        <f>VLOOKUP($A65,'Data Vlaue (Cr)'!$C:$FB,8)</f>
        <v>16844</v>
      </c>
      <c r="D65" s="75">
        <f>VLOOKUP($A65,'Data Vlaue (Cr)'!$C:$FB,4)</f>
        <v>16911</v>
      </c>
      <c r="E65" s="75">
        <f>VLOOKUP($A65,'Data Vlaue (Cr)'!$C:$FB,5)</f>
        <v>16848</v>
      </c>
      <c r="F65" s="75">
        <f t="shared" si="0"/>
        <v>67</v>
      </c>
      <c r="G65" s="75">
        <f t="shared" si="1"/>
        <v>0.37253858435337944</v>
      </c>
      <c r="H65" s="75">
        <f>VLOOKUP($A65,'Data Vlaue (Cr)'!$C:$FB,99)</f>
        <v>6052</v>
      </c>
      <c r="I65" s="75">
        <f>VLOOKUP($A65,'Data Vlaue (Cr)'!$C:$FB,100)</f>
        <v>6008</v>
      </c>
      <c r="J65" s="75">
        <f t="shared" si="2"/>
        <v>44</v>
      </c>
      <c r="K65" s="75">
        <f t="shared" si="3"/>
        <v>0.72703238598810316</v>
      </c>
      <c r="L65" s="75">
        <f>VLOOKUP($A65,'Data Vlaue (Cr)'!$C:$FB,67)</f>
        <v>4857</v>
      </c>
      <c r="M65" s="75">
        <f>VLOOKUP($A65,'Data Vlaue (Cr)'!$C:$FB,68)</f>
        <v>7817</v>
      </c>
      <c r="N65" s="75">
        <f t="shared" si="4"/>
        <v>-2960</v>
      </c>
      <c r="O65" s="75">
        <f t="shared" si="5"/>
        <v>-60.942968910850311</v>
      </c>
      <c r="P65" s="75">
        <f>VLOOKUP($A65,'Data Vlaue (Cr)'!$C:$FB,119)</f>
        <v>0.66</v>
      </c>
      <c r="Q65" s="75">
        <f>VLOOKUP($A65,'Data Vlaue (Cr)'!$C:$FB,122)*100</f>
        <v>3.1300000000000003</v>
      </c>
      <c r="R65" s="75">
        <f>VLOOKUP($A65,'Data Vlaue (Cr)'!$C:$FB,125)</f>
        <v>0.55000000000000004</v>
      </c>
      <c r="S65" s="75">
        <f>VLOOKUP($A65,'Data Vlaue (Cr)'!$C:$FB,128)*100</f>
        <v>3.7699999999999996</v>
      </c>
    </row>
    <row r="66" spans="1:19" x14ac:dyDescent="0.25">
      <c r="A66" s="96" t="str">
        <f>'Data Vlaue (Cr)'!C57</f>
        <v>DLF</v>
      </c>
      <c r="B66" s="75">
        <f>VLOOKUP($A66,'Data Vlaue (Cr)'!$C:$FB,2)</f>
        <v>825</v>
      </c>
      <c r="C66" s="75">
        <f>VLOOKUP($A66,'Data Vlaue (Cr)'!$C:$FB,8)</f>
        <v>769.7</v>
      </c>
      <c r="D66" s="75">
        <f>VLOOKUP($A66,'Data Vlaue (Cr)'!$C:$FB,4)</f>
        <v>770.7</v>
      </c>
      <c r="E66" s="75">
        <f>VLOOKUP($A66,'Data Vlaue (Cr)'!$C:$FB,5)</f>
        <v>757.65</v>
      </c>
      <c r="F66" s="75">
        <f t="shared" si="0"/>
        <v>1</v>
      </c>
      <c r="G66" s="75">
        <f t="shared" si="1"/>
        <v>1.6932658622032006</v>
      </c>
      <c r="H66" s="75">
        <f>VLOOKUP($A66,'Data Vlaue (Cr)'!$C:$FB,99)</f>
        <v>4862</v>
      </c>
      <c r="I66" s="75">
        <f>VLOOKUP($A66,'Data Vlaue (Cr)'!$C:$FB,100)</f>
        <v>4953</v>
      </c>
      <c r="J66" s="75">
        <f t="shared" si="2"/>
        <v>-91</v>
      </c>
      <c r="K66" s="75">
        <f t="shared" si="3"/>
        <v>-1.8716577540106951</v>
      </c>
      <c r="L66" s="75">
        <f>VLOOKUP($A66,'Data Vlaue (Cr)'!$C:$FB,67)</f>
        <v>3323</v>
      </c>
      <c r="M66" s="75">
        <f>VLOOKUP($A66,'Data Vlaue (Cr)'!$C:$FB,68)</f>
        <v>5219</v>
      </c>
      <c r="N66" s="75">
        <f t="shared" si="4"/>
        <v>-1896</v>
      </c>
      <c r="O66" s="75">
        <f t="shared" si="5"/>
        <v>-57.056876316581409</v>
      </c>
      <c r="P66" s="75">
        <f>VLOOKUP($A66,'Data Vlaue (Cr)'!$C:$FB,119)</f>
        <v>0.7</v>
      </c>
      <c r="Q66" s="75">
        <f>VLOOKUP($A66,'Data Vlaue (Cr)'!$C:$FB,122)*100</f>
        <v>1.4500000000000002</v>
      </c>
      <c r="R66" s="75">
        <f>VLOOKUP($A66,'Data Vlaue (Cr)'!$C:$FB,125)</f>
        <v>0.41</v>
      </c>
      <c r="S66" s="75">
        <f>VLOOKUP($A66,'Data Vlaue (Cr)'!$C:$FB,128)*100</f>
        <v>-8.89</v>
      </c>
    </row>
    <row r="67" spans="1:19" x14ac:dyDescent="0.25">
      <c r="A67" s="96" t="str">
        <f>'Data Vlaue (Cr)'!C58</f>
        <v>DMART</v>
      </c>
      <c r="B67" s="75">
        <f>VLOOKUP($A67,'Data Vlaue (Cr)'!$C:$FB,2)</f>
        <v>150</v>
      </c>
      <c r="C67" s="75">
        <f>VLOOKUP($A67,'Data Vlaue (Cr)'!$C:$FB,8)</f>
        <v>4316.1000000000004</v>
      </c>
      <c r="D67" s="75">
        <f>VLOOKUP($A67,'Data Vlaue (Cr)'!$C:$FB,4)</f>
        <v>4321.7</v>
      </c>
      <c r="E67" s="75">
        <f>VLOOKUP($A67,'Data Vlaue (Cr)'!$C:$FB,5)</f>
        <v>4270.5</v>
      </c>
      <c r="F67" s="75">
        <f t="shared" si="0"/>
        <v>5.5999999999994543</v>
      </c>
      <c r="G67" s="75">
        <f t="shared" si="1"/>
        <v>1.1847189763287553</v>
      </c>
      <c r="H67" s="75">
        <f>VLOOKUP($A67,'Data Vlaue (Cr)'!$C:$FB,99)</f>
        <v>4874</v>
      </c>
      <c r="I67" s="75">
        <f>VLOOKUP($A67,'Data Vlaue (Cr)'!$C:$FB,100)</f>
        <v>5138</v>
      </c>
      <c r="J67" s="75">
        <f t="shared" si="2"/>
        <v>-264</v>
      </c>
      <c r="K67" s="75">
        <f t="shared" si="3"/>
        <v>-5.416495691423882</v>
      </c>
      <c r="L67" s="75">
        <f>VLOOKUP($A67,'Data Vlaue (Cr)'!$C:$FB,67)</f>
        <v>3401</v>
      </c>
      <c r="M67" s="75">
        <f>VLOOKUP($A67,'Data Vlaue (Cr)'!$C:$FB,68)</f>
        <v>2247</v>
      </c>
      <c r="N67" s="75">
        <f t="shared" si="4"/>
        <v>1154</v>
      </c>
      <c r="O67" s="75">
        <f t="shared" si="5"/>
        <v>33.931196706850926</v>
      </c>
      <c r="P67" s="75">
        <f>VLOOKUP($A67,'Data Vlaue (Cr)'!$C:$FB,119)</f>
        <v>0.43</v>
      </c>
      <c r="Q67" s="75">
        <f>VLOOKUP($A67,'Data Vlaue (Cr)'!$C:$FB,122)*100</f>
        <v>10.26</v>
      </c>
      <c r="R67" s="75">
        <f>VLOOKUP($A67,'Data Vlaue (Cr)'!$C:$FB,125)</f>
        <v>0.35</v>
      </c>
      <c r="S67" s="75">
        <f>VLOOKUP($A67,'Data Vlaue (Cr)'!$C:$FB,128)*100</f>
        <v>2.94</v>
      </c>
    </row>
    <row r="68" spans="1:19" x14ac:dyDescent="0.25">
      <c r="A68" s="96" t="str">
        <f>'Data Vlaue (Cr)'!C59</f>
        <v>DRREDDY</v>
      </c>
      <c r="B68" s="75">
        <f>VLOOKUP($A68,'Data Vlaue (Cr)'!$C:$FB,2)</f>
        <v>625</v>
      </c>
      <c r="C68" s="75">
        <f>VLOOKUP($A68,'Data Vlaue (Cr)'!$C:$FB,8)</f>
        <v>1240.2</v>
      </c>
      <c r="D68" s="75">
        <f>VLOOKUP($A68,'Data Vlaue (Cr)'!$C:$FB,4)</f>
        <v>1245.3</v>
      </c>
      <c r="E68" s="75">
        <f>VLOOKUP($A68,'Data Vlaue (Cr)'!$C:$FB,5)</f>
        <v>1237.9000000000001</v>
      </c>
      <c r="F68" s="75">
        <f t="shared" si="0"/>
        <v>5.0999999999999091</v>
      </c>
      <c r="G68" s="75">
        <f t="shared" si="1"/>
        <v>0.59423432104712626</v>
      </c>
      <c r="H68" s="75">
        <f>VLOOKUP($A68,'Data Vlaue (Cr)'!$C:$FB,99)</f>
        <v>2871</v>
      </c>
      <c r="I68" s="75">
        <f>VLOOKUP($A68,'Data Vlaue (Cr)'!$C:$FB,100)</f>
        <v>2830</v>
      </c>
      <c r="J68" s="75">
        <f t="shared" si="2"/>
        <v>41</v>
      </c>
      <c r="K68" s="75">
        <f t="shared" si="3"/>
        <v>1.4280738418669452</v>
      </c>
      <c r="L68" s="75">
        <f>VLOOKUP($A68,'Data Vlaue (Cr)'!$C:$FB,67)</f>
        <v>737</v>
      </c>
      <c r="M68" s="75">
        <f>VLOOKUP($A68,'Data Vlaue (Cr)'!$C:$FB,68)</f>
        <v>928</v>
      </c>
      <c r="N68" s="75">
        <f t="shared" si="4"/>
        <v>-191</v>
      </c>
      <c r="O68" s="75">
        <f t="shared" si="5"/>
        <v>-25.915875169606512</v>
      </c>
      <c r="P68" s="75">
        <f>VLOOKUP($A68,'Data Vlaue (Cr)'!$C:$FB,119)</f>
        <v>0.49</v>
      </c>
      <c r="Q68" s="75">
        <f>VLOOKUP($A68,'Data Vlaue (Cr)'!$C:$FB,122)*100</f>
        <v>0</v>
      </c>
      <c r="R68" s="75">
        <f>VLOOKUP($A68,'Data Vlaue (Cr)'!$C:$FB,125)</f>
        <v>0.43</v>
      </c>
      <c r="S68" s="75">
        <f>VLOOKUP($A68,'Data Vlaue (Cr)'!$C:$FB,128)*100</f>
        <v>-21.82</v>
      </c>
    </row>
    <row r="69" spans="1:19" x14ac:dyDescent="0.25">
      <c r="A69" s="96" t="str">
        <f>'Data Vlaue (Cr)'!C60</f>
        <v>EICHERMOT</v>
      </c>
      <c r="B69" s="75">
        <f>VLOOKUP($A69,'Data Vlaue (Cr)'!$C:$FB,2)</f>
        <v>175</v>
      </c>
      <c r="C69" s="75">
        <f>VLOOKUP($A69,'Data Vlaue (Cr)'!$C:$FB,8)</f>
        <v>6988</v>
      </c>
      <c r="D69" s="75">
        <f>VLOOKUP($A69,'Data Vlaue (Cr)'!$C:$FB,4)</f>
        <v>7014.5</v>
      </c>
      <c r="E69" s="75">
        <f>VLOOKUP($A69,'Data Vlaue (Cr)'!$C:$FB,5)</f>
        <v>6925</v>
      </c>
      <c r="F69" s="75">
        <f t="shared" si="0"/>
        <v>26.5</v>
      </c>
      <c r="G69" s="75">
        <f t="shared" si="1"/>
        <v>1.2759284339582293</v>
      </c>
      <c r="H69" s="75">
        <f>VLOOKUP($A69,'Data Vlaue (Cr)'!$C:$FB,99)</f>
        <v>4959</v>
      </c>
      <c r="I69" s="75">
        <f>VLOOKUP($A69,'Data Vlaue (Cr)'!$C:$FB,100)</f>
        <v>5106</v>
      </c>
      <c r="J69" s="75">
        <f t="shared" si="2"/>
        <v>-147</v>
      </c>
      <c r="K69" s="75">
        <f t="shared" si="3"/>
        <v>-2.9643073200241985</v>
      </c>
      <c r="L69" s="75">
        <f>VLOOKUP($A69,'Data Vlaue (Cr)'!$C:$FB,67)</f>
        <v>4521</v>
      </c>
      <c r="M69" s="75">
        <f>VLOOKUP($A69,'Data Vlaue (Cr)'!$C:$FB,68)</f>
        <v>2391</v>
      </c>
      <c r="N69" s="75">
        <f t="shared" si="4"/>
        <v>2130</v>
      </c>
      <c r="O69" s="75">
        <f t="shared" si="5"/>
        <v>47.113470471134704</v>
      </c>
      <c r="P69" s="75">
        <f>VLOOKUP($A69,'Data Vlaue (Cr)'!$C:$FB,119)</f>
        <v>0.75</v>
      </c>
      <c r="Q69" s="75">
        <f>VLOOKUP($A69,'Data Vlaue (Cr)'!$C:$FB,122)*100</f>
        <v>8.6999999999999993</v>
      </c>
      <c r="R69" s="75">
        <f>VLOOKUP($A69,'Data Vlaue (Cr)'!$C:$FB,125)</f>
        <v>0.37</v>
      </c>
      <c r="S69" s="75">
        <f>VLOOKUP($A69,'Data Vlaue (Cr)'!$C:$FB,128)*100</f>
        <v>-27.450000000000003</v>
      </c>
    </row>
    <row r="70" spans="1:19" x14ac:dyDescent="0.25">
      <c r="A70" s="96" t="str">
        <f>'Data Vlaue (Cr)'!C61</f>
        <v>ETERNAL</v>
      </c>
      <c r="B70" s="75">
        <f>VLOOKUP($A70,'Data Vlaue (Cr)'!$C:$FB,2)</f>
        <v>2425</v>
      </c>
      <c r="C70" s="75">
        <f>VLOOKUP($A70,'Data Vlaue (Cr)'!$C:$FB,8)</f>
        <v>347.85</v>
      </c>
      <c r="D70" s="75">
        <f>VLOOKUP($A70,'Data Vlaue (Cr)'!$C:$FB,4)</f>
        <v>348.25</v>
      </c>
      <c r="E70" s="75">
        <f>VLOOKUP($A70,'Data Vlaue (Cr)'!$C:$FB,5)</f>
        <v>355.15</v>
      </c>
      <c r="F70" s="75">
        <f t="shared" si="0"/>
        <v>0.39999999999997726</v>
      </c>
      <c r="G70" s="75">
        <f t="shared" si="1"/>
        <v>-1.9813352476668995</v>
      </c>
      <c r="H70" s="75">
        <f>VLOOKUP($A70,'Data Vlaue (Cr)'!$C:$FB,99)</f>
        <v>12758</v>
      </c>
      <c r="I70" s="75">
        <f>VLOOKUP($A70,'Data Vlaue (Cr)'!$C:$FB,100)</f>
        <v>11654</v>
      </c>
      <c r="J70" s="75">
        <f t="shared" si="2"/>
        <v>1104</v>
      </c>
      <c r="K70" s="75">
        <f t="shared" si="3"/>
        <v>8.6533939488948111</v>
      </c>
      <c r="L70" s="75">
        <f>VLOOKUP($A70,'Data Vlaue (Cr)'!$C:$FB,67)</f>
        <v>37628</v>
      </c>
      <c r="M70" s="75">
        <f>VLOOKUP($A70,'Data Vlaue (Cr)'!$C:$FB,68)</f>
        <v>5620</v>
      </c>
      <c r="N70" s="75">
        <f t="shared" si="4"/>
        <v>32008</v>
      </c>
      <c r="O70" s="75">
        <f t="shared" si="5"/>
        <v>85.064313808865748</v>
      </c>
      <c r="P70" s="75">
        <f>VLOOKUP($A70,'Data Vlaue (Cr)'!$C:$FB,119)</f>
        <v>0.62</v>
      </c>
      <c r="Q70" s="75">
        <f>VLOOKUP($A70,'Data Vlaue (Cr)'!$C:$FB,122)*100</f>
        <v>-12.68</v>
      </c>
      <c r="R70" s="75">
        <f>VLOOKUP($A70,'Data Vlaue (Cr)'!$C:$FB,125)</f>
        <v>0.61</v>
      </c>
      <c r="S70" s="75">
        <f>VLOOKUP($A70,'Data Vlaue (Cr)'!$C:$FB,128)*100</f>
        <v>38.64</v>
      </c>
    </row>
    <row r="71" spans="1:19" x14ac:dyDescent="0.25">
      <c r="A71" s="96" t="str">
        <f>'Data Vlaue (Cr)'!C62</f>
        <v>EXIDEIND</v>
      </c>
      <c r="B71" s="75">
        <f>VLOOKUP($A71,'Data Vlaue (Cr)'!$C:$FB,2)</f>
        <v>1800</v>
      </c>
      <c r="C71" s="75">
        <f>VLOOKUP($A71,'Data Vlaue (Cr)'!$C:$FB,8)</f>
        <v>397.85</v>
      </c>
      <c r="D71" s="75">
        <f>VLOOKUP($A71,'Data Vlaue (Cr)'!$C:$FB,4)</f>
        <v>398.95</v>
      </c>
      <c r="E71" s="75">
        <f>VLOOKUP($A71,'Data Vlaue (Cr)'!$C:$FB,5)</f>
        <v>392.35</v>
      </c>
      <c r="F71" s="75">
        <f t="shared" si="0"/>
        <v>1.0999999999999659</v>
      </c>
      <c r="G71" s="75">
        <f t="shared" si="1"/>
        <v>1.6543426494548104</v>
      </c>
      <c r="H71" s="75">
        <f>VLOOKUP($A71,'Data Vlaue (Cr)'!$C:$FB,99)</f>
        <v>2100</v>
      </c>
      <c r="I71" s="75">
        <f>VLOOKUP($A71,'Data Vlaue (Cr)'!$C:$FB,100)</f>
        <v>2110</v>
      </c>
      <c r="J71" s="75">
        <f t="shared" si="2"/>
        <v>-10</v>
      </c>
      <c r="K71" s="75">
        <f t="shared" si="3"/>
        <v>-0.47619047619047622</v>
      </c>
      <c r="L71" s="75">
        <f>VLOOKUP($A71,'Data Vlaue (Cr)'!$C:$FB,67)</f>
        <v>1230</v>
      </c>
      <c r="M71" s="75">
        <f>VLOOKUP($A71,'Data Vlaue (Cr)'!$C:$FB,68)</f>
        <v>695</v>
      </c>
      <c r="N71" s="75">
        <f t="shared" si="4"/>
        <v>535</v>
      </c>
      <c r="O71" s="75">
        <f t="shared" si="5"/>
        <v>43.49593495934959</v>
      </c>
      <c r="P71" s="75">
        <f>VLOOKUP($A71,'Data Vlaue (Cr)'!$C:$FB,119)</f>
        <v>0.67</v>
      </c>
      <c r="Q71" s="75">
        <f>VLOOKUP($A71,'Data Vlaue (Cr)'!$C:$FB,122)*100</f>
        <v>4.6899999999999995</v>
      </c>
      <c r="R71" s="75">
        <f>VLOOKUP($A71,'Data Vlaue (Cr)'!$C:$FB,125)</f>
        <v>0.53</v>
      </c>
      <c r="S71" s="75">
        <f>VLOOKUP($A71,'Data Vlaue (Cr)'!$C:$FB,128)*100</f>
        <v>-17.190000000000001</v>
      </c>
    </row>
    <row r="72" spans="1:19" x14ac:dyDescent="0.25">
      <c r="A72" s="96" t="str">
        <f>'Data Vlaue (Cr)'!C63</f>
        <v>FEDERALBNK</v>
      </c>
      <c r="B72" s="75">
        <f>VLOOKUP($A72,'Data Vlaue (Cr)'!$C:$FB,2)</f>
        <v>5000</v>
      </c>
      <c r="C72" s="75">
        <f>VLOOKUP($A72,'Data Vlaue (Cr)'!$C:$FB,8)</f>
        <v>214.5</v>
      </c>
      <c r="D72" s="75">
        <f>VLOOKUP($A72,'Data Vlaue (Cr)'!$C:$FB,4)</f>
        <v>215.29</v>
      </c>
      <c r="E72" s="75">
        <f>VLOOKUP($A72,'Data Vlaue (Cr)'!$C:$FB,5)</f>
        <v>217.25</v>
      </c>
      <c r="F72" s="75">
        <f t="shared" si="0"/>
        <v>0.78999999999999204</v>
      </c>
      <c r="G72" s="75">
        <f t="shared" si="1"/>
        <v>-0.91039992568164241</v>
      </c>
      <c r="H72" s="75">
        <f>VLOOKUP($A72,'Data Vlaue (Cr)'!$C:$FB,99)</f>
        <v>4622</v>
      </c>
      <c r="I72" s="75">
        <f>VLOOKUP($A72,'Data Vlaue (Cr)'!$C:$FB,100)</f>
        <v>4562</v>
      </c>
      <c r="J72" s="75">
        <f t="shared" si="2"/>
        <v>60</v>
      </c>
      <c r="K72" s="75">
        <f t="shared" si="3"/>
        <v>1.2981393336218088</v>
      </c>
      <c r="L72" s="75">
        <f>VLOOKUP($A72,'Data Vlaue (Cr)'!$C:$FB,67)</f>
        <v>2378</v>
      </c>
      <c r="M72" s="75">
        <f>VLOOKUP($A72,'Data Vlaue (Cr)'!$C:$FB,68)</f>
        <v>3674</v>
      </c>
      <c r="N72" s="75">
        <f t="shared" si="4"/>
        <v>-1296</v>
      </c>
      <c r="O72" s="75">
        <f t="shared" si="5"/>
        <v>-54.499579478553407</v>
      </c>
      <c r="P72" s="75">
        <f>VLOOKUP($A72,'Data Vlaue (Cr)'!$C:$FB,119)</f>
        <v>0.66</v>
      </c>
      <c r="Q72" s="75">
        <f>VLOOKUP($A72,'Data Vlaue (Cr)'!$C:$FB,122)*100</f>
        <v>1.54</v>
      </c>
      <c r="R72" s="75">
        <f>VLOOKUP($A72,'Data Vlaue (Cr)'!$C:$FB,125)</f>
        <v>0.45</v>
      </c>
      <c r="S72" s="75">
        <f>VLOOKUP($A72,'Data Vlaue (Cr)'!$C:$FB,128)*100</f>
        <v>-4.26</v>
      </c>
    </row>
    <row r="73" spans="1:19" x14ac:dyDescent="0.25">
      <c r="A73" s="96" t="str">
        <f>'Data Vlaue (Cr)'!C64</f>
        <v>FINNIFTY</v>
      </c>
      <c r="B73" s="75">
        <f>VLOOKUP($A73,'Data Vlaue (Cr)'!$C:$FB,2)</f>
        <v>65</v>
      </c>
      <c r="C73" s="75">
        <f>VLOOKUP($A73,'Data Vlaue (Cr)'!$C:$FB,8)</f>
        <v>27381.200000000001</v>
      </c>
      <c r="D73" s="75">
        <f>VLOOKUP($A73,'Data Vlaue (Cr)'!$C:$FB,4)</f>
        <v>27409.4</v>
      </c>
      <c r="E73" s="75">
        <f>VLOOKUP($A73,'Data Vlaue (Cr)'!$C:$FB,5)</f>
        <v>27165.7</v>
      </c>
      <c r="F73" s="75">
        <f t="shared" si="0"/>
        <v>28.200000000000728</v>
      </c>
      <c r="G73" s="75">
        <f t="shared" si="1"/>
        <v>0.88911103490043819</v>
      </c>
      <c r="H73" s="75">
        <f>VLOOKUP($A73,'Data Vlaue (Cr)'!$C:$FB,99)</f>
        <v>5617</v>
      </c>
      <c r="I73" s="75">
        <f>VLOOKUP($A73,'Data Vlaue (Cr)'!$C:$FB,100)</f>
        <v>5748</v>
      </c>
      <c r="J73" s="75">
        <f t="shared" si="2"/>
        <v>-131</v>
      </c>
      <c r="K73" s="75">
        <f t="shared" si="3"/>
        <v>-2.3322058038098628</v>
      </c>
      <c r="L73" s="75">
        <f>VLOOKUP($A73,'Data Vlaue (Cr)'!$C:$FB,67)</f>
        <v>15864</v>
      </c>
      <c r="M73" s="75">
        <f>VLOOKUP($A73,'Data Vlaue (Cr)'!$C:$FB,68)</f>
        <v>13083</v>
      </c>
      <c r="N73" s="75">
        <f t="shared" si="4"/>
        <v>2781</v>
      </c>
      <c r="O73" s="75">
        <f t="shared" si="5"/>
        <v>17.530257186081695</v>
      </c>
      <c r="P73" s="75">
        <f>VLOOKUP($A73,'Data Vlaue (Cr)'!$C:$FB,119)</f>
        <v>0.94</v>
      </c>
      <c r="Q73" s="75">
        <f>VLOOKUP($A73,'Data Vlaue (Cr)'!$C:$FB,122)*100</f>
        <v>17.5</v>
      </c>
      <c r="R73" s="75">
        <f>VLOOKUP($A73,'Data Vlaue (Cr)'!$C:$FB,125)</f>
        <v>0.6</v>
      </c>
      <c r="S73" s="75">
        <f>VLOOKUP($A73,'Data Vlaue (Cr)'!$C:$FB,128)*100</f>
        <v>-20</v>
      </c>
    </row>
    <row r="74" spans="1:19" x14ac:dyDescent="0.25">
      <c r="A74" s="96" t="str">
        <f>'Data Vlaue (Cr)'!C65</f>
        <v>FORTIS</v>
      </c>
      <c r="B74" s="75">
        <f>VLOOKUP($A74,'Data Vlaue (Cr)'!$C:$FB,2)</f>
        <v>775</v>
      </c>
      <c r="C74" s="75">
        <f>VLOOKUP($A74,'Data Vlaue (Cr)'!$C:$FB,8)</f>
        <v>1095.25</v>
      </c>
      <c r="D74" s="75">
        <f>VLOOKUP($A74,'Data Vlaue (Cr)'!$C:$FB,4)</f>
        <v>1099.3</v>
      </c>
      <c r="E74" s="75">
        <f>VLOOKUP($A74,'Data Vlaue (Cr)'!$C:$FB,5)</f>
        <v>1092.1500000000001</v>
      </c>
      <c r="F74" s="75">
        <f t="shared" si="0"/>
        <v>4.0499999999999545</v>
      </c>
      <c r="G74" s="75">
        <f t="shared" si="1"/>
        <v>0.6504138997543768</v>
      </c>
      <c r="H74" s="75">
        <f>VLOOKUP($A74,'Data Vlaue (Cr)'!$C:$FB,99)</f>
        <v>1735</v>
      </c>
      <c r="I74" s="75">
        <f>VLOOKUP($A74,'Data Vlaue (Cr)'!$C:$FB,100)</f>
        <v>1760</v>
      </c>
      <c r="J74" s="75">
        <f t="shared" si="2"/>
        <v>-25</v>
      </c>
      <c r="K74" s="75">
        <f t="shared" si="3"/>
        <v>-1.4409221902017291</v>
      </c>
      <c r="L74" s="75">
        <f>VLOOKUP($A74,'Data Vlaue (Cr)'!$C:$FB,67)</f>
        <v>901</v>
      </c>
      <c r="M74" s="75">
        <f>VLOOKUP($A74,'Data Vlaue (Cr)'!$C:$FB,68)</f>
        <v>839</v>
      </c>
      <c r="N74" s="75">
        <f t="shared" si="4"/>
        <v>62</v>
      </c>
      <c r="O74" s="75">
        <f t="shared" si="5"/>
        <v>6.8812430632630415</v>
      </c>
      <c r="P74" s="75">
        <f>VLOOKUP($A74,'Data Vlaue (Cr)'!$C:$FB,119)</f>
        <v>0.83</v>
      </c>
      <c r="Q74" s="75">
        <f>VLOOKUP($A74,'Data Vlaue (Cr)'!$C:$FB,122)*100</f>
        <v>5.0599999999999996</v>
      </c>
      <c r="R74" s="75">
        <f>VLOOKUP($A74,'Data Vlaue (Cr)'!$C:$FB,125)</f>
        <v>0.49</v>
      </c>
      <c r="S74" s="75">
        <f>VLOOKUP($A74,'Data Vlaue (Cr)'!$C:$FB,128)*100</f>
        <v>-16.950000000000003</v>
      </c>
    </row>
    <row r="75" spans="1:19" x14ac:dyDescent="0.25">
      <c r="A75" s="96" t="str">
        <f>'Data Vlaue (Cr)'!C66</f>
        <v>GAIL</v>
      </c>
      <c r="B75" s="75">
        <f>VLOOKUP($A75,'Data Vlaue (Cr)'!$C:$FB,2)</f>
        <v>3150</v>
      </c>
      <c r="C75" s="75">
        <f>VLOOKUP($A75,'Data Vlaue (Cr)'!$C:$FB,8)</f>
        <v>179.17</v>
      </c>
      <c r="D75" s="75">
        <f>VLOOKUP($A75,'Data Vlaue (Cr)'!$C:$FB,4)</f>
        <v>179.38</v>
      </c>
      <c r="E75" s="75">
        <f>VLOOKUP($A75,'Data Vlaue (Cr)'!$C:$FB,5)</f>
        <v>177.52</v>
      </c>
      <c r="F75" s="75">
        <f t="shared" si="0"/>
        <v>0.21000000000000796</v>
      </c>
      <c r="G75" s="75">
        <f>(D75-E75)/D75*100</f>
        <v>1.0369048946370751</v>
      </c>
      <c r="H75" s="75">
        <f>VLOOKUP($A75,'Data Vlaue (Cr)'!$C:$FB,99)</f>
        <v>2909</v>
      </c>
      <c r="I75" s="75">
        <f>VLOOKUP($A75,'Data Vlaue (Cr)'!$C:$FB,100)</f>
        <v>2988</v>
      </c>
      <c r="J75" s="75">
        <f t="shared" si="2"/>
        <v>-79</v>
      </c>
      <c r="K75" s="75">
        <f t="shared" si="3"/>
        <v>-2.7157098659333103</v>
      </c>
      <c r="L75" s="75">
        <f>VLOOKUP($A75,'Data Vlaue (Cr)'!$C:$FB,67)</f>
        <v>1342</v>
      </c>
      <c r="M75" s="75">
        <f>VLOOKUP($A75,'Data Vlaue (Cr)'!$C:$FB,68)</f>
        <v>1222</v>
      </c>
      <c r="N75" s="75">
        <f t="shared" si="4"/>
        <v>120</v>
      </c>
      <c r="O75" s="75">
        <f t="shared" si="5"/>
        <v>8.9418777943368113</v>
      </c>
      <c r="P75" s="75">
        <f>VLOOKUP($A75,'Data Vlaue (Cr)'!$C:$FB,119)</f>
        <v>0.61</v>
      </c>
      <c r="Q75" s="75">
        <f>VLOOKUP($A75,'Data Vlaue (Cr)'!$C:$FB,122)*100</f>
        <v>3.39</v>
      </c>
      <c r="R75" s="75">
        <f>VLOOKUP($A75,'Data Vlaue (Cr)'!$C:$FB,125)</f>
        <v>0.55000000000000004</v>
      </c>
      <c r="S75" s="75">
        <f>VLOOKUP($A75,'Data Vlaue (Cr)'!$C:$FB,128)*100</f>
        <v>17.02</v>
      </c>
    </row>
    <row r="76" spans="1:19" x14ac:dyDescent="0.25">
      <c r="A76" s="96" t="str">
        <f>'Data Vlaue (Cr)'!C67</f>
        <v>GLENMARK</v>
      </c>
      <c r="B76" s="75">
        <f>VLOOKUP($A76,'Data Vlaue (Cr)'!$C:$FB,2)</f>
        <v>375</v>
      </c>
      <c r="C76" s="75">
        <f>VLOOKUP($A76,'Data Vlaue (Cr)'!$C:$FB,8)</f>
        <v>1864.4</v>
      </c>
      <c r="D76" s="75">
        <f>VLOOKUP($A76,'Data Vlaue (Cr)'!$C:$FB,4)</f>
        <v>1872.6</v>
      </c>
      <c r="E76" s="75">
        <f>VLOOKUP($A76,'Data Vlaue (Cr)'!$C:$FB,5)</f>
        <v>1897.8</v>
      </c>
      <c r="F76" s="75">
        <f t="shared" ref="F76:F139" si="6">D76-C76</f>
        <v>8.1999999999998181</v>
      </c>
      <c r="G76" s="75">
        <f t="shared" ref="G76:G139" si="7">(D76-E76)/D76*100</f>
        <v>-1.3457225248317872</v>
      </c>
      <c r="H76" s="75">
        <f>VLOOKUP($A76,'Data Vlaue (Cr)'!$C:$FB,99)</f>
        <v>2214</v>
      </c>
      <c r="I76" s="75">
        <f>VLOOKUP($A76,'Data Vlaue (Cr)'!$C:$FB,100)</f>
        <v>2157</v>
      </c>
      <c r="J76" s="75">
        <f t="shared" ref="J76:J139" si="8">H76-I76</f>
        <v>57</v>
      </c>
      <c r="K76" s="75">
        <f t="shared" ref="K76:K139" si="9">J76/H76*100</f>
        <v>2.5745257452574526</v>
      </c>
      <c r="L76" s="75">
        <f>VLOOKUP($A76,'Data Vlaue (Cr)'!$C:$FB,67)</f>
        <v>904</v>
      </c>
      <c r="M76" s="75">
        <f>VLOOKUP($A76,'Data Vlaue (Cr)'!$C:$FB,68)</f>
        <v>640</v>
      </c>
      <c r="N76" s="75">
        <f t="shared" ref="N76:N139" si="10">L76-M76</f>
        <v>264</v>
      </c>
      <c r="O76" s="75">
        <f t="shared" ref="O76:O139" si="11">N76/L76*100</f>
        <v>29.20353982300885</v>
      </c>
      <c r="P76" s="75">
        <f>VLOOKUP($A76,'Data Vlaue (Cr)'!$C:$FB,119)</f>
        <v>0.47</v>
      </c>
      <c r="Q76" s="75">
        <f>VLOOKUP($A76,'Data Vlaue (Cr)'!$C:$FB,122)*100</f>
        <v>-11.32</v>
      </c>
      <c r="R76" s="75">
        <f>VLOOKUP($A76,'Data Vlaue (Cr)'!$C:$FB,125)</f>
        <v>0.45</v>
      </c>
      <c r="S76" s="75">
        <f>VLOOKUP($A76,'Data Vlaue (Cr)'!$C:$FB,128)*100</f>
        <v>-4.26</v>
      </c>
    </row>
    <row r="77" spans="1:19" x14ac:dyDescent="0.25">
      <c r="A77" s="96" t="str">
        <f>'Data Vlaue (Cr)'!C68</f>
        <v>GMRAIRPORT</v>
      </c>
      <c r="B77" s="75">
        <f>VLOOKUP($A77,'Data Vlaue (Cr)'!$C:$FB,2)</f>
        <v>6975</v>
      </c>
      <c r="C77" s="75">
        <f>VLOOKUP($A77,'Data Vlaue (Cr)'!$C:$FB,8)</f>
        <v>90.87</v>
      </c>
      <c r="D77" s="75">
        <f>VLOOKUP($A77,'Data Vlaue (Cr)'!$C:$FB,4)</f>
        <v>90.97</v>
      </c>
      <c r="E77" s="75">
        <f>VLOOKUP($A77,'Data Vlaue (Cr)'!$C:$FB,5)</f>
        <v>90.32</v>
      </c>
      <c r="F77" s="75">
        <f t="shared" si="6"/>
        <v>9.9999999999994316E-2</v>
      </c>
      <c r="G77" s="75">
        <f t="shared" si="7"/>
        <v>0.71452127074860472</v>
      </c>
      <c r="H77" s="75">
        <f>VLOOKUP($A77,'Data Vlaue (Cr)'!$C:$FB,99)</f>
        <v>3103</v>
      </c>
      <c r="I77" s="75">
        <f>VLOOKUP($A77,'Data Vlaue (Cr)'!$C:$FB,100)</f>
        <v>3064</v>
      </c>
      <c r="J77" s="75">
        <f t="shared" si="8"/>
        <v>39</v>
      </c>
      <c r="K77" s="75">
        <f t="shared" si="9"/>
        <v>1.2568482114083144</v>
      </c>
      <c r="L77" s="75">
        <f>VLOOKUP($A77,'Data Vlaue (Cr)'!$C:$FB,67)</f>
        <v>843</v>
      </c>
      <c r="M77" s="75">
        <f>VLOOKUP($A77,'Data Vlaue (Cr)'!$C:$FB,68)</f>
        <v>561</v>
      </c>
      <c r="N77" s="75">
        <f t="shared" si="10"/>
        <v>282</v>
      </c>
      <c r="O77" s="75">
        <f t="shared" si="11"/>
        <v>33.45195729537366</v>
      </c>
      <c r="P77" s="75">
        <f>VLOOKUP($A77,'Data Vlaue (Cr)'!$C:$FB,119)</f>
        <v>0.5</v>
      </c>
      <c r="Q77" s="75">
        <f>VLOOKUP($A77,'Data Vlaue (Cr)'!$C:$FB,122)*100</f>
        <v>4.17</v>
      </c>
      <c r="R77" s="75">
        <f>VLOOKUP($A77,'Data Vlaue (Cr)'!$C:$FB,125)</f>
        <v>0.53</v>
      </c>
      <c r="S77" s="75">
        <f>VLOOKUP($A77,'Data Vlaue (Cr)'!$C:$FB,128)*100</f>
        <v>39.47</v>
      </c>
    </row>
    <row r="78" spans="1:19" x14ac:dyDescent="0.25">
      <c r="A78" s="96" t="str">
        <f>'Data Vlaue (Cr)'!C69</f>
        <v>GODREJCP</v>
      </c>
      <c r="B78" s="75">
        <f>VLOOKUP($A78,'Data Vlaue (Cr)'!$C:$FB,2)</f>
        <v>500</v>
      </c>
      <c r="C78" s="75">
        <f>VLOOKUP($A78,'Data Vlaue (Cr)'!$C:$FB,8)</f>
        <v>1120.0999999999999</v>
      </c>
      <c r="D78" s="75">
        <f>VLOOKUP($A78,'Data Vlaue (Cr)'!$C:$FB,4)</f>
        <v>1122.9000000000001</v>
      </c>
      <c r="E78" s="75">
        <f>VLOOKUP($A78,'Data Vlaue (Cr)'!$C:$FB,5)</f>
        <v>1113</v>
      </c>
      <c r="F78" s="75">
        <f t="shared" si="6"/>
        <v>2.8000000000001819</v>
      </c>
      <c r="G78" s="75">
        <f t="shared" si="7"/>
        <v>0.88164573871227092</v>
      </c>
      <c r="H78" s="75">
        <f>VLOOKUP($A78,'Data Vlaue (Cr)'!$C:$FB,99)</f>
        <v>2171</v>
      </c>
      <c r="I78" s="75">
        <f>VLOOKUP($A78,'Data Vlaue (Cr)'!$C:$FB,100)</f>
        <v>2087</v>
      </c>
      <c r="J78" s="75">
        <f t="shared" si="8"/>
        <v>84</v>
      </c>
      <c r="K78" s="75">
        <f t="shared" si="9"/>
        <v>3.8691847075080608</v>
      </c>
      <c r="L78" s="75">
        <f>VLOOKUP($A78,'Data Vlaue (Cr)'!$C:$FB,67)</f>
        <v>876</v>
      </c>
      <c r="M78" s="75">
        <f>VLOOKUP($A78,'Data Vlaue (Cr)'!$C:$FB,68)</f>
        <v>465</v>
      </c>
      <c r="N78" s="75">
        <f t="shared" si="10"/>
        <v>411</v>
      </c>
      <c r="O78" s="75">
        <f t="shared" si="11"/>
        <v>46.917808219178085</v>
      </c>
      <c r="P78" s="75">
        <f>VLOOKUP($A78,'Data Vlaue (Cr)'!$C:$FB,119)</f>
        <v>0.45</v>
      </c>
      <c r="Q78" s="75">
        <f>VLOOKUP($A78,'Data Vlaue (Cr)'!$C:$FB,122)*100</f>
        <v>-10</v>
      </c>
      <c r="R78" s="75">
        <f>VLOOKUP($A78,'Data Vlaue (Cr)'!$C:$FB,125)</f>
        <v>0.2</v>
      </c>
      <c r="S78" s="75">
        <f>VLOOKUP($A78,'Data Vlaue (Cr)'!$C:$FB,128)*100</f>
        <v>-44.440000000000005</v>
      </c>
    </row>
    <row r="79" spans="1:19" x14ac:dyDescent="0.25">
      <c r="A79" s="96" t="str">
        <f>'Data Vlaue (Cr)'!C70</f>
        <v>GODREJPROP</v>
      </c>
      <c r="B79" s="75">
        <f>VLOOKUP($A79,'Data Vlaue (Cr)'!$C:$FB,2)</f>
        <v>275</v>
      </c>
      <c r="C79" s="75">
        <f>VLOOKUP($A79,'Data Vlaue (Cr)'!$C:$FB,8)</f>
        <v>2205.3000000000002</v>
      </c>
      <c r="D79" s="75">
        <f>VLOOKUP($A79,'Data Vlaue (Cr)'!$C:$FB,4)</f>
        <v>2208</v>
      </c>
      <c r="E79" s="75">
        <f>VLOOKUP($A79,'Data Vlaue (Cr)'!$C:$FB,5)</f>
        <v>2140.4</v>
      </c>
      <c r="F79" s="75">
        <f t="shared" si="6"/>
        <v>2.6999999999998181</v>
      </c>
      <c r="G79" s="75">
        <f t="shared" si="7"/>
        <v>3.0615942028985468</v>
      </c>
      <c r="H79" s="75">
        <f>VLOOKUP($A79,'Data Vlaue (Cr)'!$C:$FB,99)</f>
        <v>3146</v>
      </c>
      <c r="I79" s="75">
        <f>VLOOKUP($A79,'Data Vlaue (Cr)'!$C:$FB,100)</f>
        <v>3170</v>
      </c>
      <c r="J79" s="75">
        <f t="shared" si="8"/>
        <v>-24</v>
      </c>
      <c r="K79" s="75">
        <f t="shared" si="9"/>
        <v>-0.76287349014621741</v>
      </c>
      <c r="L79" s="75">
        <f>VLOOKUP($A79,'Data Vlaue (Cr)'!$C:$FB,67)</f>
        <v>3836</v>
      </c>
      <c r="M79" s="75">
        <f>VLOOKUP($A79,'Data Vlaue (Cr)'!$C:$FB,68)</f>
        <v>3837</v>
      </c>
      <c r="N79" s="75">
        <f t="shared" si="10"/>
        <v>-1</v>
      </c>
      <c r="O79" s="75">
        <f t="shared" si="11"/>
        <v>-2.6068821689259645E-2</v>
      </c>
      <c r="P79" s="75">
        <f>VLOOKUP($A79,'Data Vlaue (Cr)'!$C:$FB,119)</f>
        <v>0.74</v>
      </c>
      <c r="Q79" s="75">
        <f>VLOOKUP($A79,'Data Vlaue (Cr)'!$C:$FB,122)*100</f>
        <v>13.850000000000001</v>
      </c>
      <c r="R79" s="75">
        <f>VLOOKUP($A79,'Data Vlaue (Cr)'!$C:$FB,125)</f>
        <v>0.47</v>
      </c>
      <c r="S79" s="75">
        <f>VLOOKUP($A79,'Data Vlaue (Cr)'!$C:$FB,128)*100</f>
        <v>23.68</v>
      </c>
    </row>
    <row r="80" spans="1:19" x14ac:dyDescent="0.25">
      <c r="A80" s="96" t="str">
        <f>'Data Vlaue (Cr)'!C71</f>
        <v>GRASIM</v>
      </c>
      <c r="B80" s="75">
        <f>VLOOKUP($A80,'Data Vlaue (Cr)'!$C:$FB,2)</f>
        <v>250</v>
      </c>
      <c r="C80" s="75">
        <f>VLOOKUP($A80,'Data Vlaue (Cr)'!$C:$FB,8)</f>
        <v>2859.8</v>
      </c>
      <c r="D80" s="75">
        <f>VLOOKUP($A80,'Data Vlaue (Cr)'!$C:$FB,4)</f>
        <v>2868.7</v>
      </c>
      <c r="E80" s="75">
        <f>VLOOKUP($A80,'Data Vlaue (Cr)'!$C:$FB,5)</f>
        <v>2829</v>
      </c>
      <c r="F80" s="75">
        <f t="shared" si="6"/>
        <v>8.8999999999996362</v>
      </c>
      <c r="G80" s="75">
        <f t="shared" si="7"/>
        <v>1.3839021159410123</v>
      </c>
      <c r="H80" s="75">
        <f>VLOOKUP($A80,'Data Vlaue (Cr)'!$C:$FB,99)</f>
        <v>4982</v>
      </c>
      <c r="I80" s="75">
        <f>VLOOKUP($A80,'Data Vlaue (Cr)'!$C:$FB,100)</f>
        <v>4952</v>
      </c>
      <c r="J80" s="75">
        <f t="shared" si="8"/>
        <v>30</v>
      </c>
      <c r="K80" s="75">
        <f t="shared" si="9"/>
        <v>0.60216780409474102</v>
      </c>
      <c r="L80" s="75">
        <f>VLOOKUP($A80,'Data Vlaue (Cr)'!$C:$FB,67)</f>
        <v>2004</v>
      </c>
      <c r="M80" s="75">
        <f>VLOOKUP($A80,'Data Vlaue (Cr)'!$C:$FB,68)</f>
        <v>912</v>
      </c>
      <c r="N80" s="75">
        <f t="shared" si="10"/>
        <v>1092</v>
      </c>
      <c r="O80" s="75">
        <f t="shared" si="11"/>
        <v>54.491017964071851</v>
      </c>
      <c r="P80" s="75">
        <f>VLOOKUP($A80,'Data Vlaue (Cr)'!$C:$FB,119)</f>
        <v>0.69</v>
      </c>
      <c r="Q80" s="75">
        <f>VLOOKUP($A80,'Data Vlaue (Cr)'!$C:$FB,122)*100</f>
        <v>7.8100000000000005</v>
      </c>
      <c r="R80" s="75">
        <f>VLOOKUP($A80,'Data Vlaue (Cr)'!$C:$FB,125)</f>
        <v>0.47</v>
      </c>
      <c r="S80" s="75">
        <f>VLOOKUP($A80,'Data Vlaue (Cr)'!$C:$FB,128)*100</f>
        <v>6.8199999999999994</v>
      </c>
    </row>
    <row r="81" spans="1:19" x14ac:dyDescent="0.25">
      <c r="A81" s="96" t="str">
        <f>'Data Vlaue (Cr)'!C72</f>
        <v>HAL</v>
      </c>
      <c r="B81" s="75">
        <f>VLOOKUP($A81,'Data Vlaue (Cr)'!$C:$FB,2)</f>
        <v>150</v>
      </c>
      <c r="C81" s="75">
        <f>VLOOKUP($A81,'Data Vlaue (Cr)'!$C:$FB,8)</f>
        <v>4861.3</v>
      </c>
      <c r="D81" s="75">
        <f>VLOOKUP($A81,'Data Vlaue (Cr)'!$C:$FB,4)</f>
        <v>4879.8</v>
      </c>
      <c r="E81" s="75">
        <f>VLOOKUP($A81,'Data Vlaue (Cr)'!$C:$FB,5)</f>
        <v>4866.2</v>
      </c>
      <c r="F81" s="75">
        <f t="shared" si="6"/>
        <v>18.5</v>
      </c>
      <c r="G81" s="75">
        <f t="shared" si="7"/>
        <v>0.27869994671913528</v>
      </c>
      <c r="H81" s="75">
        <f>VLOOKUP($A81,'Data Vlaue (Cr)'!$C:$FB,99)</f>
        <v>8180</v>
      </c>
      <c r="I81" s="75">
        <f>VLOOKUP($A81,'Data Vlaue (Cr)'!$C:$FB,100)</f>
        <v>8116</v>
      </c>
      <c r="J81" s="75">
        <f t="shared" si="8"/>
        <v>64</v>
      </c>
      <c r="K81" s="75">
        <f t="shared" si="9"/>
        <v>0.78239608801955984</v>
      </c>
      <c r="L81" s="75">
        <f>VLOOKUP($A81,'Data Vlaue (Cr)'!$C:$FB,67)</f>
        <v>3865</v>
      </c>
      <c r="M81" s="75">
        <f>VLOOKUP($A81,'Data Vlaue (Cr)'!$C:$FB,68)</f>
        <v>6886</v>
      </c>
      <c r="N81" s="75">
        <f t="shared" si="10"/>
        <v>-3021</v>
      </c>
      <c r="O81" s="75">
        <f t="shared" si="11"/>
        <v>-78.163001293661054</v>
      </c>
      <c r="P81" s="75">
        <f>VLOOKUP($A81,'Data Vlaue (Cr)'!$C:$FB,119)</f>
        <v>0.57999999999999996</v>
      </c>
      <c r="Q81" s="75">
        <f>VLOOKUP($A81,'Data Vlaue (Cr)'!$C:$FB,122)*100</f>
        <v>-3.3300000000000005</v>
      </c>
      <c r="R81" s="75">
        <f>VLOOKUP($A81,'Data Vlaue (Cr)'!$C:$FB,125)</f>
        <v>0.43</v>
      </c>
      <c r="S81" s="75">
        <f>VLOOKUP($A81,'Data Vlaue (Cr)'!$C:$FB,128)*100</f>
        <v>0</v>
      </c>
    </row>
    <row r="82" spans="1:19" x14ac:dyDescent="0.25">
      <c r="A82" s="96" t="str">
        <f>'Data Vlaue (Cr)'!C73</f>
        <v>HAVELLS</v>
      </c>
      <c r="B82" s="75">
        <f>VLOOKUP($A82,'Data Vlaue (Cr)'!$C:$FB,2)</f>
        <v>500</v>
      </c>
      <c r="C82" s="75">
        <f>VLOOKUP($A82,'Data Vlaue (Cr)'!$C:$FB,8)</f>
        <v>1475.8</v>
      </c>
      <c r="D82" s="75">
        <f>VLOOKUP($A82,'Data Vlaue (Cr)'!$C:$FB,4)</f>
        <v>1481.7</v>
      </c>
      <c r="E82" s="75">
        <f>VLOOKUP($A82,'Data Vlaue (Cr)'!$C:$FB,5)</f>
        <v>1470.6</v>
      </c>
      <c r="F82" s="75">
        <f t="shared" si="6"/>
        <v>5.9000000000000909</v>
      </c>
      <c r="G82" s="75">
        <f t="shared" si="7"/>
        <v>0.74913950192347545</v>
      </c>
      <c r="H82" s="75">
        <f>VLOOKUP($A82,'Data Vlaue (Cr)'!$C:$FB,99)</f>
        <v>2537</v>
      </c>
      <c r="I82" s="75">
        <f>VLOOKUP($A82,'Data Vlaue (Cr)'!$C:$FB,100)</f>
        <v>2547</v>
      </c>
      <c r="J82" s="75">
        <f t="shared" si="8"/>
        <v>-10</v>
      </c>
      <c r="K82" s="75">
        <f t="shared" si="9"/>
        <v>-0.39416633819471819</v>
      </c>
      <c r="L82" s="75">
        <f>VLOOKUP($A82,'Data Vlaue (Cr)'!$C:$FB,67)</f>
        <v>1212</v>
      </c>
      <c r="M82" s="75">
        <f>VLOOKUP($A82,'Data Vlaue (Cr)'!$C:$FB,68)</f>
        <v>785</v>
      </c>
      <c r="N82" s="75">
        <f t="shared" si="10"/>
        <v>427</v>
      </c>
      <c r="O82" s="75">
        <f t="shared" si="11"/>
        <v>35.231023102310232</v>
      </c>
      <c r="P82" s="75">
        <f>VLOOKUP($A82,'Data Vlaue (Cr)'!$C:$FB,119)</f>
        <v>0.59</v>
      </c>
      <c r="Q82" s="75">
        <f>VLOOKUP($A82,'Data Vlaue (Cr)'!$C:$FB,122)*100</f>
        <v>5.36</v>
      </c>
      <c r="R82" s="75">
        <f>VLOOKUP($A82,'Data Vlaue (Cr)'!$C:$FB,125)</f>
        <v>0.34</v>
      </c>
      <c r="S82" s="75">
        <f>VLOOKUP($A82,'Data Vlaue (Cr)'!$C:$FB,128)*100</f>
        <v>-12.82</v>
      </c>
    </row>
    <row r="83" spans="1:19" x14ac:dyDescent="0.25">
      <c r="A83" s="96" t="str">
        <f>'Data Vlaue (Cr)'!C74</f>
        <v>HCLTECH</v>
      </c>
      <c r="B83" s="75">
        <f>VLOOKUP($A83,'Data Vlaue (Cr)'!$C:$FB,2)</f>
        <v>350</v>
      </c>
      <c r="C83" s="75">
        <f>VLOOKUP($A83,'Data Vlaue (Cr)'!$C:$FB,8)</f>
        <v>1515</v>
      </c>
      <c r="D83" s="75">
        <f>VLOOKUP($A83,'Data Vlaue (Cr)'!$C:$FB,4)</f>
        <v>1504.6</v>
      </c>
      <c r="E83" s="75">
        <f>VLOOKUP($A83,'Data Vlaue (Cr)'!$C:$FB,5)</f>
        <v>1488.1</v>
      </c>
      <c r="F83" s="75">
        <f t="shared" si="6"/>
        <v>-10.400000000000091</v>
      </c>
      <c r="G83" s="75">
        <f t="shared" si="7"/>
        <v>1.0966369799282201</v>
      </c>
      <c r="H83" s="75">
        <f>VLOOKUP($A83,'Data Vlaue (Cr)'!$C:$FB,99)</f>
        <v>5068</v>
      </c>
      <c r="I83" s="75">
        <f>VLOOKUP($A83,'Data Vlaue (Cr)'!$C:$FB,100)</f>
        <v>5798</v>
      </c>
      <c r="J83" s="75">
        <f t="shared" si="8"/>
        <v>-730</v>
      </c>
      <c r="K83" s="75">
        <f t="shared" si="9"/>
        <v>-14.404104183109709</v>
      </c>
      <c r="L83" s="75">
        <f>VLOOKUP($A83,'Data Vlaue (Cr)'!$C:$FB,67)</f>
        <v>4277</v>
      </c>
      <c r="M83" s="75">
        <f>VLOOKUP($A83,'Data Vlaue (Cr)'!$C:$FB,68)</f>
        <v>5218</v>
      </c>
      <c r="N83" s="75">
        <f t="shared" si="10"/>
        <v>-941</v>
      </c>
      <c r="O83" s="75">
        <f t="shared" si="11"/>
        <v>-22.001402852466683</v>
      </c>
      <c r="P83" s="75">
        <f>VLOOKUP($A83,'Data Vlaue (Cr)'!$C:$FB,119)</f>
        <v>0.59</v>
      </c>
      <c r="Q83" s="75">
        <f>VLOOKUP($A83,'Data Vlaue (Cr)'!$C:$FB,122)*100</f>
        <v>11.32</v>
      </c>
      <c r="R83" s="75">
        <f>VLOOKUP($A83,'Data Vlaue (Cr)'!$C:$FB,125)</f>
        <v>0.56999999999999995</v>
      </c>
      <c r="S83" s="75">
        <f>VLOOKUP($A83,'Data Vlaue (Cr)'!$C:$FB,128)*100</f>
        <v>7.55</v>
      </c>
    </row>
    <row r="84" spans="1:19" x14ac:dyDescent="0.25">
      <c r="A84" s="96" t="str">
        <f>'Data Vlaue (Cr)'!C75</f>
        <v>HDFCAMC</v>
      </c>
      <c r="B84" s="75">
        <f>VLOOKUP($A84,'Data Vlaue (Cr)'!$C:$FB,2)</f>
        <v>150</v>
      </c>
      <c r="C84" s="75">
        <f>VLOOKUP($A84,'Data Vlaue (Cr)'!$C:$FB,8)</f>
        <v>5803.5</v>
      </c>
      <c r="D84" s="75">
        <f>VLOOKUP($A84,'Data Vlaue (Cr)'!$C:$FB,4)</f>
        <v>5815.5</v>
      </c>
      <c r="E84" s="75">
        <f>VLOOKUP($A84,'Data Vlaue (Cr)'!$C:$FB,5)</f>
        <v>5786</v>
      </c>
      <c r="F84" s="75">
        <f t="shared" si="6"/>
        <v>12</v>
      </c>
      <c r="G84" s="75">
        <f t="shared" si="7"/>
        <v>0.50726506749204703</v>
      </c>
      <c r="H84" s="75">
        <f>VLOOKUP($A84,'Data Vlaue (Cr)'!$C:$FB,99)</f>
        <v>3505</v>
      </c>
      <c r="I84" s="75">
        <f>VLOOKUP($A84,'Data Vlaue (Cr)'!$C:$FB,100)</f>
        <v>3504</v>
      </c>
      <c r="J84" s="75">
        <f t="shared" si="8"/>
        <v>1</v>
      </c>
      <c r="K84" s="75">
        <f t="shared" si="9"/>
        <v>2.8530670470756064E-2</v>
      </c>
      <c r="L84" s="75">
        <f>VLOOKUP($A84,'Data Vlaue (Cr)'!$C:$FB,67)</f>
        <v>26293</v>
      </c>
      <c r="M84" s="75">
        <f>VLOOKUP($A84,'Data Vlaue (Cr)'!$C:$FB,68)</f>
        <v>13816</v>
      </c>
      <c r="N84" s="75">
        <f t="shared" si="10"/>
        <v>12477</v>
      </c>
      <c r="O84" s="75">
        <f t="shared" si="11"/>
        <v>47.453694899783208</v>
      </c>
      <c r="P84" s="75">
        <f>VLOOKUP($A84,'Data Vlaue (Cr)'!$C:$FB,119)</f>
        <v>0.54</v>
      </c>
      <c r="Q84" s="75">
        <f>VLOOKUP($A84,'Data Vlaue (Cr)'!$C:$FB,122)*100</f>
        <v>14.89</v>
      </c>
      <c r="R84" s="75">
        <f>VLOOKUP($A84,'Data Vlaue (Cr)'!$C:$FB,125)</f>
        <v>0.4</v>
      </c>
      <c r="S84" s="75">
        <f>VLOOKUP($A84,'Data Vlaue (Cr)'!$C:$FB,128)*100</f>
        <v>33.33</v>
      </c>
    </row>
    <row r="85" spans="1:19" x14ac:dyDescent="0.25">
      <c r="A85" s="96" t="str">
        <f>'Data Vlaue (Cr)'!C76</f>
        <v>HDFCBANK</v>
      </c>
      <c r="B85" s="75">
        <f>VLOOKUP($A85,'Data Vlaue (Cr)'!$C:$FB,2)</f>
        <v>1100</v>
      </c>
      <c r="C85" s="75">
        <f>VLOOKUP($A85,'Data Vlaue (Cr)'!$C:$FB,8)</f>
        <v>994.35</v>
      </c>
      <c r="D85" s="75">
        <f>VLOOKUP($A85,'Data Vlaue (Cr)'!$C:$FB,4)</f>
        <v>995.65</v>
      </c>
      <c r="E85" s="75">
        <f>VLOOKUP($A85,'Data Vlaue (Cr)'!$C:$FB,5)</f>
        <v>982.45</v>
      </c>
      <c r="F85" s="75">
        <f t="shared" si="6"/>
        <v>1.2999999999999545</v>
      </c>
      <c r="G85" s="75">
        <f t="shared" si="7"/>
        <v>1.3257670868276938</v>
      </c>
      <c r="H85" s="75">
        <f>VLOOKUP($A85,'Data Vlaue (Cr)'!$C:$FB,99)</f>
        <v>26622</v>
      </c>
      <c r="I85" s="75">
        <f>VLOOKUP($A85,'Data Vlaue (Cr)'!$C:$FB,100)</f>
        <v>26817</v>
      </c>
      <c r="J85" s="75">
        <f t="shared" si="8"/>
        <v>-195</v>
      </c>
      <c r="K85" s="75">
        <f t="shared" si="9"/>
        <v>-0.73247689880549915</v>
      </c>
      <c r="L85" s="75">
        <f>VLOOKUP($A85,'Data Vlaue (Cr)'!$C:$FB,67)</f>
        <v>12492</v>
      </c>
      <c r="M85" s="75">
        <f>VLOOKUP($A85,'Data Vlaue (Cr)'!$C:$FB,68)</f>
        <v>9767</v>
      </c>
      <c r="N85" s="75">
        <f t="shared" si="10"/>
        <v>2725</v>
      </c>
      <c r="O85" s="75">
        <f t="shared" si="11"/>
        <v>21.813960934998398</v>
      </c>
      <c r="P85" s="75">
        <f>VLOOKUP($A85,'Data Vlaue (Cr)'!$C:$FB,119)</f>
        <v>0.86</v>
      </c>
      <c r="Q85" s="75">
        <f>VLOOKUP($A85,'Data Vlaue (Cr)'!$C:$FB,122)*100</f>
        <v>16.220000000000002</v>
      </c>
      <c r="R85" s="75">
        <f>VLOOKUP($A85,'Data Vlaue (Cr)'!$C:$FB,125)</f>
        <v>0.63</v>
      </c>
      <c r="S85" s="75">
        <f>VLOOKUP($A85,'Data Vlaue (Cr)'!$C:$FB,128)*100</f>
        <v>12.5</v>
      </c>
    </row>
    <row r="86" spans="1:19" x14ac:dyDescent="0.25">
      <c r="A86" s="96" t="str">
        <f>'Data Vlaue (Cr)'!C77</f>
        <v>HDFCLIFE</v>
      </c>
      <c r="B86" s="75">
        <f>VLOOKUP($A86,'Data Vlaue (Cr)'!$C:$FB,2)</f>
        <v>1100</v>
      </c>
      <c r="C86" s="75">
        <f>VLOOKUP($A86,'Data Vlaue (Cr)'!$C:$FB,8)</f>
        <v>742.85</v>
      </c>
      <c r="D86" s="75">
        <f>VLOOKUP($A86,'Data Vlaue (Cr)'!$C:$FB,4)</f>
        <v>743.5</v>
      </c>
      <c r="E86" s="75">
        <f>VLOOKUP($A86,'Data Vlaue (Cr)'!$C:$FB,5)</f>
        <v>762.35</v>
      </c>
      <c r="F86" s="75">
        <f t="shared" si="6"/>
        <v>0.64999999999997726</v>
      </c>
      <c r="G86" s="75">
        <f t="shared" si="7"/>
        <v>-2.5353059852051141</v>
      </c>
      <c r="H86" s="75">
        <f>VLOOKUP($A86,'Data Vlaue (Cr)'!$C:$FB,99)</f>
        <v>4328</v>
      </c>
      <c r="I86" s="75">
        <f>VLOOKUP($A86,'Data Vlaue (Cr)'!$C:$FB,100)</f>
        <v>3806</v>
      </c>
      <c r="J86" s="75">
        <f t="shared" si="8"/>
        <v>522</v>
      </c>
      <c r="K86" s="75">
        <f t="shared" si="9"/>
        <v>12.060998151571164</v>
      </c>
      <c r="L86" s="75">
        <f>VLOOKUP($A86,'Data Vlaue (Cr)'!$C:$FB,67)</f>
        <v>7624</v>
      </c>
      <c r="M86" s="75">
        <f>VLOOKUP($A86,'Data Vlaue (Cr)'!$C:$FB,68)</f>
        <v>3722</v>
      </c>
      <c r="N86" s="75">
        <f t="shared" si="10"/>
        <v>3902</v>
      </c>
      <c r="O86" s="75">
        <f t="shared" si="11"/>
        <v>51.180482686253939</v>
      </c>
      <c r="P86" s="75">
        <f>VLOOKUP($A86,'Data Vlaue (Cr)'!$C:$FB,119)</f>
        <v>0.46</v>
      </c>
      <c r="Q86" s="75">
        <f>VLOOKUP($A86,'Data Vlaue (Cr)'!$C:$FB,122)*100</f>
        <v>-14.81</v>
      </c>
      <c r="R86" s="75">
        <f>VLOOKUP($A86,'Data Vlaue (Cr)'!$C:$FB,125)</f>
        <v>0.43</v>
      </c>
      <c r="S86" s="75">
        <f>VLOOKUP($A86,'Data Vlaue (Cr)'!$C:$FB,128)*100</f>
        <v>10.26</v>
      </c>
    </row>
    <row r="87" spans="1:19" x14ac:dyDescent="0.25">
      <c r="A87" s="96" t="str">
        <f>'Data Vlaue (Cr)'!C78</f>
        <v>HEROMOTOCO</v>
      </c>
      <c r="B87" s="75">
        <f>VLOOKUP($A87,'Data Vlaue (Cr)'!$C:$FB,2)</f>
        <v>150</v>
      </c>
      <c r="C87" s="75">
        <f>VLOOKUP($A87,'Data Vlaue (Cr)'!$C:$FB,8)</f>
        <v>5579.5</v>
      </c>
      <c r="D87" s="75">
        <f>VLOOKUP($A87,'Data Vlaue (Cr)'!$C:$FB,4)</f>
        <v>5591</v>
      </c>
      <c r="E87" s="75">
        <f>VLOOKUP($A87,'Data Vlaue (Cr)'!$C:$FB,5)</f>
        <v>5549.5</v>
      </c>
      <c r="F87" s="75">
        <f t="shared" si="6"/>
        <v>11.5</v>
      </c>
      <c r="G87" s="75">
        <f t="shared" si="7"/>
        <v>0.74226435342514763</v>
      </c>
      <c r="H87" s="75">
        <f>VLOOKUP($A87,'Data Vlaue (Cr)'!$C:$FB,99)</f>
        <v>4997</v>
      </c>
      <c r="I87" s="75">
        <f>VLOOKUP($A87,'Data Vlaue (Cr)'!$C:$FB,100)</f>
        <v>5114</v>
      </c>
      <c r="J87" s="75">
        <f t="shared" si="8"/>
        <v>-117</v>
      </c>
      <c r="K87" s="75">
        <f t="shared" si="9"/>
        <v>-2.3414048429057437</v>
      </c>
      <c r="L87" s="75">
        <f>VLOOKUP($A87,'Data Vlaue (Cr)'!$C:$FB,67)</f>
        <v>3097</v>
      </c>
      <c r="M87" s="75">
        <f>VLOOKUP($A87,'Data Vlaue (Cr)'!$C:$FB,68)</f>
        <v>5635</v>
      </c>
      <c r="N87" s="75">
        <f t="shared" si="10"/>
        <v>-2538</v>
      </c>
      <c r="O87" s="75">
        <f t="shared" si="11"/>
        <v>-81.950274459154016</v>
      </c>
      <c r="P87" s="75">
        <f>VLOOKUP($A87,'Data Vlaue (Cr)'!$C:$FB,119)</f>
        <v>0.67</v>
      </c>
      <c r="Q87" s="75">
        <f>VLOOKUP($A87,'Data Vlaue (Cr)'!$C:$FB,122)*100</f>
        <v>6.35</v>
      </c>
      <c r="R87" s="75">
        <f>VLOOKUP($A87,'Data Vlaue (Cr)'!$C:$FB,125)</f>
        <v>0.56000000000000005</v>
      </c>
      <c r="S87" s="75">
        <f>VLOOKUP($A87,'Data Vlaue (Cr)'!$C:$FB,128)*100</f>
        <v>-15.15</v>
      </c>
    </row>
    <row r="88" spans="1:19" x14ac:dyDescent="0.25">
      <c r="A88" s="96" t="str">
        <f>'Data Vlaue (Cr)'!C79</f>
        <v>HFCL</v>
      </c>
      <c r="B88" s="75">
        <f>VLOOKUP($A88,'Data Vlaue (Cr)'!$C:$FB,2)</f>
        <v>6450</v>
      </c>
      <c r="C88" s="75">
        <f>VLOOKUP($A88,'Data Vlaue (Cr)'!$C:$FB,8)</f>
        <v>77.319999999999993</v>
      </c>
      <c r="D88" s="75">
        <f>VLOOKUP($A88,'Data Vlaue (Cr)'!$C:$FB,4)</f>
        <v>77.599999999999994</v>
      </c>
      <c r="E88" s="75">
        <f>VLOOKUP($A88,'Data Vlaue (Cr)'!$C:$FB,5)</f>
        <v>77.62</v>
      </c>
      <c r="F88" s="75">
        <f t="shared" si="6"/>
        <v>0.28000000000000114</v>
      </c>
      <c r="G88" s="75">
        <f t="shared" si="7"/>
        <v>-2.5773195876301849E-2</v>
      </c>
      <c r="H88" s="75">
        <f>VLOOKUP($A88,'Data Vlaue (Cr)'!$C:$FB,99)</f>
        <v>1592</v>
      </c>
      <c r="I88" s="75">
        <f>VLOOKUP($A88,'Data Vlaue (Cr)'!$C:$FB,100)</f>
        <v>1568</v>
      </c>
      <c r="J88" s="75">
        <f t="shared" si="8"/>
        <v>24</v>
      </c>
      <c r="K88" s="75">
        <f t="shared" si="9"/>
        <v>1.5075376884422109</v>
      </c>
      <c r="L88" s="75">
        <f>VLOOKUP($A88,'Data Vlaue (Cr)'!$C:$FB,67)</f>
        <v>510</v>
      </c>
      <c r="M88" s="75">
        <f>VLOOKUP($A88,'Data Vlaue (Cr)'!$C:$FB,68)</f>
        <v>600</v>
      </c>
      <c r="N88" s="75">
        <f t="shared" si="10"/>
        <v>-90</v>
      </c>
      <c r="O88" s="75">
        <f t="shared" si="11"/>
        <v>-17.647058823529413</v>
      </c>
      <c r="P88" s="75">
        <f>VLOOKUP($A88,'Data Vlaue (Cr)'!$C:$FB,119)</f>
        <v>0.51</v>
      </c>
      <c r="Q88" s="75">
        <f>VLOOKUP($A88,'Data Vlaue (Cr)'!$C:$FB,122)*100</f>
        <v>-1.92</v>
      </c>
      <c r="R88" s="75">
        <f>VLOOKUP($A88,'Data Vlaue (Cr)'!$C:$FB,125)</f>
        <v>0.44</v>
      </c>
      <c r="S88" s="75">
        <f>VLOOKUP($A88,'Data Vlaue (Cr)'!$C:$FB,128)*100</f>
        <v>41.94</v>
      </c>
    </row>
    <row r="89" spans="1:19" x14ac:dyDescent="0.25">
      <c r="A89" s="96" t="str">
        <f>'Data Vlaue (Cr)'!C80</f>
        <v>HINDALCO</v>
      </c>
      <c r="B89" s="75">
        <f>VLOOKUP($A89,'Data Vlaue (Cr)'!$C:$FB,2)</f>
        <v>1400</v>
      </c>
      <c r="C89" s="75">
        <f>VLOOKUP($A89,'Data Vlaue (Cr)'!$C:$FB,8)</f>
        <v>780.1</v>
      </c>
      <c r="D89" s="75">
        <f>VLOOKUP($A89,'Data Vlaue (Cr)'!$C:$FB,4)</f>
        <v>781.25</v>
      </c>
      <c r="E89" s="75">
        <f>VLOOKUP($A89,'Data Vlaue (Cr)'!$C:$FB,5)</f>
        <v>767.6</v>
      </c>
      <c r="F89" s="75">
        <f t="shared" si="6"/>
        <v>1.1499999999999773</v>
      </c>
      <c r="G89" s="75">
        <f t="shared" si="7"/>
        <v>1.747199999999997</v>
      </c>
      <c r="H89" s="75">
        <f>VLOOKUP($A89,'Data Vlaue (Cr)'!$C:$FB,99)</f>
        <v>7604</v>
      </c>
      <c r="I89" s="75">
        <f>VLOOKUP($A89,'Data Vlaue (Cr)'!$C:$FB,100)</f>
        <v>7810</v>
      </c>
      <c r="J89" s="75">
        <f t="shared" si="8"/>
        <v>-206</v>
      </c>
      <c r="K89" s="75">
        <f t="shared" si="9"/>
        <v>-2.7091004734350341</v>
      </c>
      <c r="L89" s="75">
        <f>VLOOKUP($A89,'Data Vlaue (Cr)'!$C:$FB,67)</f>
        <v>4101</v>
      </c>
      <c r="M89" s="75">
        <f>VLOOKUP($A89,'Data Vlaue (Cr)'!$C:$FB,68)</f>
        <v>2531</v>
      </c>
      <c r="N89" s="75">
        <f t="shared" si="10"/>
        <v>1570</v>
      </c>
      <c r="O89" s="75">
        <f t="shared" si="11"/>
        <v>38.283345525481586</v>
      </c>
      <c r="P89" s="75">
        <f>VLOOKUP($A89,'Data Vlaue (Cr)'!$C:$FB,119)</f>
        <v>0.72</v>
      </c>
      <c r="Q89" s="75">
        <f>VLOOKUP($A89,'Data Vlaue (Cr)'!$C:$FB,122)*100</f>
        <v>12.5</v>
      </c>
      <c r="R89" s="75">
        <f>VLOOKUP($A89,'Data Vlaue (Cr)'!$C:$FB,125)</f>
        <v>0.59</v>
      </c>
      <c r="S89" s="75">
        <f>VLOOKUP($A89,'Data Vlaue (Cr)'!$C:$FB,128)*100</f>
        <v>1.72</v>
      </c>
    </row>
    <row r="90" spans="1:19" x14ac:dyDescent="0.25">
      <c r="A90" s="96" t="str">
        <f>'Data Vlaue (Cr)'!C81</f>
        <v>HINDPETRO</v>
      </c>
      <c r="B90" s="75">
        <f>VLOOKUP($A90,'Data Vlaue (Cr)'!$C:$FB,2)</f>
        <v>2025</v>
      </c>
      <c r="C90" s="75">
        <f>VLOOKUP($A90,'Data Vlaue (Cr)'!$C:$FB,8)</f>
        <v>451.95</v>
      </c>
      <c r="D90" s="75">
        <f>VLOOKUP($A90,'Data Vlaue (Cr)'!$C:$FB,4)</f>
        <v>452.5</v>
      </c>
      <c r="E90" s="75">
        <f>VLOOKUP($A90,'Data Vlaue (Cr)'!$C:$FB,5)</f>
        <v>450.6</v>
      </c>
      <c r="F90" s="75">
        <f t="shared" si="6"/>
        <v>0.55000000000001137</v>
      </c>
      <c r="G90" s="75">
        <f t="shared" si="7"/>
        <v>0.41988950276242593</v>
      </c>
      <c r="H90" s="75">
        <f>VLOOKUP($A90,'Data Vlaue (Cr)'!$C:$FB,99)</f>
        <v>3804</v>
      </c>
      <c r="I90" s="75">
        <f>VLOOKUP($A90,'Data Vlaue (Cr)'!$C:$FB,100)</f>
        <v>3890</v>
      </c>
      <c r="J90" s="75">
        <f t="shared" si="8"/>
        <v>-86</v>
      </c>
      <c r="K90" s="75">
        <f t="shared" si="9"/>
        <v>-2.2607781282860149</v>
      </c>
      <c r="L90" s="75">
        <f>VLOOKUP($A90,'Data Vlaue (Cr)'!$C:$FB,67)</f>
        <v>2689</v>
      </c>
      <c r="M90" s="75">
        <f>VLOOKUP($A90,'Data Vlaue (Cr)'!$C:$FB,68)</f>
        <v>2746</v>
      </c>
      <c r="N90" s="75">
        <f t="shared" si="10"/>
        <v>-57</v>
      </c>
      <c r="O90" s="75">
        <f t="shared" si="11"/>
        <v>-2.1197471178876905</v>
      </c>
      <c r="P90" s="75">
        <f>VLOOKUP($A90,'Data Vlaue (Cr)'!$C:$FB,119)</f>
        <v>0.55000000000000004</v>
      </c>
      <c r="Q90" s="75">
        <f>VLOOKUP($A90,'Data Vlaue (Cr)'!$C:$FB,122)*100</f>
        <v>3.7699999999999996</v>
      </c>
      <c r="R90" s="75">
        <f>VLOOKUP($A90,'Data Vlaue (Cr)'!$C:$FB,125)</f>
        <v>0.53</v>
      </c>
      <c r="S90" s="75">
        <f>VLOOKUP($A90,'Data Vlaue (Cr)'!$C:$FB,128)*100</f>
        <v>39.47</v>
      </c>
    </row>
    <row r="91" spans="1:19" x14ac:dyDescent="0.25">
      <c r="A91" s="96" t="str">
        <f>'Data Vlaue (Cr)'!C82</f>
        <v>HINDUNILVR</v>
      </c>
      <c r="B91" s="75">
        <f>VLOOKUP($A91,'Data Vlaue (Cr)'!$C:$FB,2)</f>
        <v>300</v>
      </c>
      <c r="C91" s="75">
        <f>VLOOKUP($A91,'Data Vlaue (Cr)'!$C:$FB,8)</f>
        <v>2561.5</v>
      </c>
      <c r="D91" s="75">
        <f>VLOOKUP($A91,'Data Vlaue (Cr)'!$C:$FB,4)</f>
        <v>2562.3000000000002</v>
      </c>
      <c r="E91" s="75">
        <f>VLOOKUP($A91,'Data Vlaue (Cr)'!$C:$FB,5)</f>
        <v>2519.5</v>
      </c>
      <c r="F91" s="75">
        <f t="shared" si="6"/>
        <v>0.8000000000001819</v>
      </c>
      <c r="G91" s="75">
        <f t="shared" si="7"/>
        <v>1.6703742731140063</v>
      </c>
      <c r="H91" s="75">
        <f>VLOOKUP($A91,'Data Vlaue (Cr)'!$C:$FB,99)</f>
        <v>5833</v>
      </c>
      <c r="I91" s="75">
        <f>VLOOKUP($A91,'Data Vlaue (Cr)'!$C:$FB,100)</f>
        <v>5845</v>
      </c>
      <c r="J91" s="75">
        <f t="shared" si="8"/>
        <v>-12</v>
      </c>
      <c r="K91" s="75">
        <f t="shared" si="9"/>
        <v>-0.20572604148808502</v>
      </c>
      <c r="L91" s="75">
        <f>VLOOKUP($A91,'Data Vlaue (Cr)'!$C:$FB,67)</f>
        <v>4091</v>
      </c>
      <c r="M91" s="75">
        <f>VLOOKUP($A91,'Data Vlaue (Cr)'!$C:$FB,68)</f>
        <v>2028</v>
      </c>
      <c r="N91" s="75">
        <f t="shared" si="10"/>
        <v>2063</v>
      </c>
      <c r="O91" s="75">
        <f t="shared" si="11"/>
        <v>50.427768271816184</v>
      </c>
      <c r="P91" s="75">
        <f>VLOOKUP($A91,'Data Vlaue (Cr)'!$C:$FB,119)</f>
        <v>0.65</v>
      </c>
      <c r="Q91" s="75">
        <f>VLOOKUP($A91,'Data Vlaue (Cr)'!$C:$FB,122)*100</f>
        <v>10.17</v>
      </c>
      <c r="R91" s="75">
        <f>VLOOKUP($A91,'Data Vlaue (Cr)'!$C:$FB,125)</f>
        <v>0.52</v>
      </c>
      <c r="S91" s="75">
        <f>VLOOKUP($A91,'Data Vlaue (Cr)'!$C:$FB,128)*100</f>
        <v>-1.8900000000000001</v>
      </c>
    </row>
    <row r="92" spans="1:19" x14ac:dyDescent="0.25">
      <c r="A92" s="96" t="str">
        <f>'Data Vlaue (Cr)'!C83</f>
        <v>HINDZINC</v>
      </c>
      <c r="B92" s="75">
        <f>VLOOKUP($A92,'Data Vlaue (Cr)'!$C:$FB,2)</f>
        <v>1225</v>
      </c>
      <c r="C92" s="75">
        <f>VLOOKUP($A92,'Data Vlaue (Cr)'!$C:$FB,8)</f>
        <v>506.7</v>
      </c>
      <c r="D92" s="75">
        <f>VLOOKUP($A92,'Data Vlaue (Cr)'!$C:$FB,4)</f>
        <v>507.95</v>
      </c>
      <c r="E92" s="75">
        <f>VLOOKUP($A92,'Data Vlaue (Cr)'!$C:$FB,5)</f>
        <v>514.45000000000005</v>
      </c>
      <c r="F92" s="75">
        <f t="shared" si="6"/>
        <v>1.25</v>
      </c>
      <c r="G92" s="75">
        <f t="shared" si="7"/>
        <v>-1.2796535092036729</v>
      </c>
      <c r="H92" s="75">
        <f>VLOOKUP($A92,'Data Vlaue (Cr)'!$C:$FB,99)</f>
        <v>3692</v>
      </c>
      <c r="I92" s="75">
        <f>VLOOKUP($A92,'Data Vlaue (Cr)'!$C:$FB,100)</f>
        <v>3636</v>
      </c>
      <c r="J92" s="75">
        <f t="shared" si="8"/>
        <v>56</v>
      </c>
      <c r="K92" s="75">
        <f t="shared" si="9"/>
        <v>1.5167930660888407</v>
      </c>
      <c r="L92" s="75">
        <f>VLOOKUP($A92,'Data Vlaue (Cr)'!$C:$FB,67)</f>
        <v>1928</v>
      </c>
      <c r="M92" s="75">
        <f>VLOOKUP($A92,'Data Vlaue (Cr)'!$C:$FB,68)</f>
        <v>3169</v>
      </c>
      <c r="N92" s="75">
        <f t="shared" si="10"/>
        <v>-1241</v>
      </c>
      <c r="O92" s="75">
        <f t="shared" si="11"/>
        <v>-64.367219917012449</v>
      </c>
      <c r="P92" s="75">
        <f>VLOOKUP($A92,'Data Vlaue (Cr)'!$C:$FB,119)</f>
        <v>0.55000000000000004</v>
      </c>
      <c r="Q92" s="75">
        <f>VLOOKUP($A92,'Data Vlaue (Cr)'!$C:$FB,122)*100</f>
        <v>-1.79</v>
      </c>
      <c r="R92" s="75">
        <f>VLOOKUP($A92,'Data Vlaue (Cr)'!$C:$FB,125)</f>
        <v>0.34</v>
      </c>
      <c r="S92" s="75">
        <f>VLOOKUP($A92,'Data Vlaue (Cr)'!$C:$FB,128)*100</f>
        <v>13.33</v>
      </c>
    </row>
    <row r="93" spans="1:19" x14ac:dyDescent="0.25">
      <c r="A93" s="96" t="str">
        <f>'Data Vlaue (Cr)'!C84</f>
        <v>HUDCO</v>
      </c>
      <c r="B93" s="75">
        <f>VLOOKUP($A93,'Data Vlaue (Cr)'!$C:$FB,2)</f>
        <v>2775</v>
      </c>
      <c r="C93" s="75">
        <f>VLOOKUP($A93,'Data Vlaue (Cr)'!$C:$FB,8)</f>
        <v>227.99</v>
      </c>
      <c r="D93" s="75">
        <f>VLOOKUP($A93,'Data Vlaue (Cr)'!$C:$FB,4)</f>
        <v>228.89</v>
      </c>
      <c r="E93" s="75">
        <f>VLOOKUP($A93,'Data Vlaue (Cr)'!$C:$FB,5)</f>
        <v>229.88</v>
      </c>
      <c r="F93" s="75">
        <f t="shared" si="6"/>
        <v>0.89999999999997726</v>
      </c>
      <c r="G93" s="75">
        <f t="shared" si="7"/>
        <v>-0.43252217222246897</v>
      </c>
      <c r="H93" s="75">
        <f>VLOOKUP($A93,'Data Vlaue (Cr)'!$C:$FB,99)</f>
        <v>1253</v>
      </c>
      <c r="I93" s="75">
        <f>VLOOKUP($A93,'Data Vlaue (Cr)'!$C:$FB,100)</f>
        <v>1195</v>
      </c>
      <c r="J93" s="75">
        <f t="shared" si="8"/>
        <v>58</v>
      </c>
      <c r="K93" s="75">
        <f t="shared" si="9"/>
        <v>4.6288906624102157</v>
      </c>
      <c r="L93" s="75">
        <f>VLOOKUP($A93,'Data Vlaue (Cr)'!$C:$FB,67)</f>
        <v>697</v>
      </c>
      <c r="M93" s="75">
        <f>VLOOKUP($A93,'Data Vlaue (Cr)'!$C:$FB,68)</f>
        <v>585</v>
      </c>
      <c r="N93" s="75">
        <f t="shared" si="10"/>
        <v>112</v>
      </c>
      <c r="O93" s="75">
        <f t="shared" si="11"/>
        <v>16.068866571018649</v>
      </c>
      <c r="P93" s="75">
        <f>VLOOKUP($A93,'Data Vlaue (Cr)'!$C:$FB,119)</f>
        <v>0.49</v>
      </c>
      <c r="Q93" s="75">
        <f>VLOOKUP($A93,'Data Vlaue (Cr)'!$C:$FB,122)*100</f>
        <v>-5.7700000000000005</v>
      </c>
      <c r="R93" s="75">
        <f>VLOOKUP($A93,'Data Vlaue (Cr)'!$C:$FB,125)</f>
        <v>0.33</v>
      </c>
      <c r="S93" s="75">
        <f>VLOOKUP($A93,'Data Vlaue (Cr)'!$C:$FB,128)*100</f>
        <v>-25</v>
      </c>
    </row>
    <row r="94" spans="1:19" x14ac:dyDescent="0.25">
      <c r="A94" s="96" t="str">
        <f>'Data Vlaue (Cr)'!C85</f>
        <v>ICICIBANK</v>
      </c>
      <c r="B94" s="75">
        <f>VLOOKUP($A94,'Data Vlaue (Cr)'!$C:$FB,2)</f>
        <v>700</v>
      </c>
      <c r="C94" s="75">
        <f>VLOOKUP($A94,'Data Vlaue (Cr)'!$C:$FB,8)</f>
        <v>1417.3</v>
      </c>
      <c r="D94" s="75">
        <f>VLOOKUP($A94,'Data Vlaue (Cr)'!$C:$FB,4)</f>
        <v>1419</v>
      </c>
      <c r="E94" s="75">
        <f>VLOOKUP($A94,'Data Vlaue (Cr)'!$C:$FB,5)</f>
        <v>1401</v>
      </c>
      <c r="F94" s="75">
        <f t="shared" si="6"/>
        <v>1.7000000000000455</v>
      </c>
      <c r="G94" s="75">
        <f t="shared" si="7"/>
        <v>1.2684989429175475</v>
      </c>
      <c r="H94" s="75">
        <f>VLOOKUP($A94,'Data Vlaue (Cr)'!$C:$FB,99)</f>
        <v>21751</v>
      </c>
      <c r="I94" s="75">
        <f>VLOOKUP($A94,'Data Vlaue (Cr)'!$C:$FB,100)</f>
        <v>22108</v>
      </c>
      <c r="J94" s="75">
        <f t="shared" si="8"/>
        <v>-357</v>
      </c>
      <c r="K94" s="75">
        <f t="shared" si="9"/>
        <v>-1.6413038480989379</v>
      </c>
      <c r="L94" s="75">
        <f>VLOOKUP($A94,'Data Vlaue (Cr)'!$C:$FB,67)</f>
        <v>12698</v>
      </c>
      <c r="M94" s="75">
        <f>VLOOKUP($A94,'Data Vlaue (Cr)'!$C:$FB,68)</f>
        <v>9070</v>
      </c>
      <c r="N94" s="75">
        <f t="shared" si="10"/>
        <v>3628</v>
      </c>
      <c r="O94" s="75">
        <f t="shared" si="11"/>
        <v>28.571428571428569</v>
      </c>
      <c r="P94" s="75">
        <f>VLOOKUP($A94,'Data Vlaue (Cr)'!$C:$FB,119)</f>
        <v>0.81</v>
      </c>
      <c r="Q94" s="75">
        <f>VLOOKUP($A94,'Data Vlaue (Cr)'!$C:$FB,122)*100</f>
        <v>1.25</v>
      </c>
      <c r="R94" s="75">
        <f>VLOOKUP($A94,'Data Vlaue (Cr)'!$C:$FB,125)</f>
        <v>0.51</v>
      </c>
      <c r="S94" s="75">
        <f>VLOOKUP($A94,'Data Vlaue (Cr)'!$C:$FB,128)*100</f>
        <v>-27.139999999999997</v>
      </c>
    </row>
    <row r="95" spans="1:19" x14ac:dyDescent="0.25">
      <c r="A95" s="96" t="str">
        <f>'Data Vlaue (Cr)'!C86</f>
        <v>ICICIGI</v>
      </c>
      <c r="B95" s="75">
        <f>VLOOKUP($A95,'Data Vlaue (Cr)'!$C:$FB,2)</f>
        <v>325</v>
      </c>
      <c r="C95" s="75">
        <f>VLOOKUP($A95,'Data Vlaue (Cr)'!$C:$FB,8)</f>
        <v>2010.1</v>
      </c>
      <c r="D95" s="75">
        <f>VLOOKUP($A95,'Data Vlaue (Cr)'!$C:$FB,4)</f>
        <v>2005.3</v>
      </c>
      <c r="E95" s="75">
        <f>VLOOKUP($A95,'Data Vlaue (Cr)'!$C:$FB,5)</f>
        <v>2019</v>
      </c>
      <c r="F95" s="75">
        <f t="shared" si="6"/>
        <v>-4.7999999999999545</v>
      </c>
      <c r="G95" s="75">
        <f t="shared" si="7"/>
        <v>-0.68318954769860096</v>
      </c>
      <c r="H95" s="75">
        <f>VLOOKUP($A95,'Data Vlaue (Cr)'!$C:$FB,99)</f>
        <v>2427</v>
      </c>
      <c r="I95" s="75">
        <f>VLOOKUP($A95,'Data Vlaue (Cr)'!$C:$FB,100)</f>
        <v>2798</v>
      </c>
      <c r="J95" s="75">
        <f t="shared" si="8"/>
        <v>-371</v>
      </c>
      <c r="K95" s="75">
        <f t="shared" si="9"/>
        <v>-15.286361763494025</v>
      </c>
      <c r="L95" s="75">
        <f>VLOOKUP($A95,'Data Vlaue (Cr)'!$C:$FB,67)</f>
        <v>3242</v>
      </c>
      <c r="M95" s="75">
        <f>VLOOKUP($A95,'Data Vlaue (Cr)'!$C:$FB,68)</f>
        <v>15966</v>
      </c>
      <c r="N95" s="75">
        <f t="shared" si="10"/>
        <v>-12724</v>
      </c>
      <c r="O95" s="75">
        <f t="shared" si="11"/>
        <v>-392.47378161628626</v>
      </c>
      <c r="P95" s="75">
        <f>VLOOKUP($A95,'Data Vlaue (Cr)'!$C:$FB,119)</f>
        <v>1.51</v>
      </c>
      <c r="Q95" s="75">
        <f>VLOOKUP($A95,'Data Vlaue (Cr)'!$C:$FB,122)*100</f>
        <v>22.759999999999998</v>
      </c>
      <c r="R95" s="75">
        <f>VLOOKUP($A95,'Data Vlaue (Cr)'!$C:$FB,125)</f>
        <v>0.8</v>
      </c>
      <c r="S95" s="75">
        <f>VLOOKUP($A95,'Data Vlaue (Cr)'!$C:$FB,128)*100</f>
        <v>73.91</v>
      </c>
    </row>
    <row r="96" spans="1:19" x14ac:dyDescent="0.25">
      <c r="A96" s="96" t="str">
        <f>'Data Vlaue (Cr)'!C87</f>
        <v>ICICIPRULI</v>
      </c>
      <c r="B96" s="75">
        <f>VLOOKUP($A96,'Data Vlaue (Cr)'!$C:$FB,2)</f>
        <v>925</v>
      </c>
      <c r="C96" s="75">
        <f>VLOOKUP($A96,'Data Vlaue (Cr)'!$C:$FB,8)</f>
        <v>587</v>
      </c>
      <c r="D96" s="75">
        <f>VLOOKUP($A96,'Data Vlaue (Cr)'!$C:$FB,4)</f>
        <v>589.20000000000005</v>
      </c>
      <c r="E96" s="75">
        <f>VLOOKUP($A96,'Data Vlaue (Cr)'!$C:$FB,5)</f>
        <v>590.65</v>
      </c>
      <c r="F96" s="75">
        <f t="shared" si="6"/>
        <v>2.2000000000000455</v>
      </c>
      <c r="G96" s="75">
        <f t="shared" si="7"/>
        <v>-0.24609640190087095</v>
      </c>
      <c r="H96" s="75">
        <f>VLOOKUP($A96,'Data Vlaue (Cr)'!$C:$FB,99)</f>
        <v>1434</v>
      </c>
      <c r="I96" s="75">
        <f>VLOOKUP($A96,'Data Vlaue (Cr)'!$C:$FB,100)</f>
        <v>1430</v>
      </c>
      <c r="J96" s="75">
        <f t="shared" si="8"/>
        <v>4</v>
      </c>
      <c r="K96" s="75">
        <f t="shared" si="9"/>
        <v>0.2789400278940028</v>
      </c>
      <c r="L96" s="75">
        <f>VLOOKUP($A96,'Data Vlaue (Cr)'!$C:$FB,67)</f>
        <v>866</v>
      </c>
      <c r="M96" s="75">
        <f>VLOOKUP($A96,'Data Vlaue (Cr)'!$C:$FB,68)</f>
        <v>3581</v>
      </c>
      <c r="N96" s="75">
        <f t="shared" si="10"/>
        <v>-2715</v>
      </c>
      <c r="O96" s="75">
        <f t="shared" si="11"/>
        <v>-313.51039260969975</v>
      </c>
      <c r="P96" s="75">
        <f>VLOOKUP($A96,'Data Vlaue (Cr)'!$C:$FB,119)</f>
        <v>0.44</v>
      </c>
      <c r="Q96" s="75">
        <f>VLOOKUP($A96,'Data Vlaue (Cr)'!$C:$FB,122)*100</f>
        <v>-4.3499999999999996</v>
      </c>
      <c r="R96" s="75">
        <f>VLOOKUP($A96,'Data Vlaue (Cr)'!$C:$FB,125)</f>
        <v>0.35</v>
      </c>
      <c r="S96" s="75">
        <f>VLOOKUP($A96,'Data Vlaue (Cr)'!$C:$FB,128)*100</f>
        <v>-20.45</v>
      </c>
    </row>
    <row r="97" spans="1:19" x14ac:dyDescent="0.25">
      <c r="A97" s="96" t="str">
        <f>'Data Vlaue (Cr)'!C88</f>
        <v>IDEA</v>
      </c>
      <c r="B97" s="75">
        <f>VLOOKUP($A97,'Data Vlaue (Cr)'!$C:$FB,2)</f>
        <v>71475</v>
      </c>
      <c r="C97" s="75">
        <f>VLOOKUP($A97,'Data Vlaue (Cr)'!$C:$FB,8)</f>
        <v>8.85</v>
      </c>
      <c r="D97" s="75">
        <f>VLOOKUP($A97,'Data Vlaue (Cr)'!$C:$FB,4)</f>
        <v>8.8800000000000008</v>
      </c>
      <c r="E97" s="75">
        <f>VLOOKUP($A97,'Data Vlaue (Cr)'!$C:$FB,5)</f>
        <v>8.8000000000000007</v>
      </c>
      <c r="F97" s="75">
        <f t="shared" si="6"/>
        <v>3.0000000000001137E-2</v>
      </c>
      <c r="G97" s="75">
        <f t="shared" si="7"/>
        <v>0.90090090090090158</v>
      </c>
      <c r="H97" s="75">
        <f>VLOOKUP($A97,'Data Vlaue (Cr)'!$C:$FB,99)</f>
        <v>9054</v>
      </c>
      <c r="I97" s="75">
        <f>VLOOKUP($A97,'Data Vlaue (Cr)'!$C:$FB,100)</f>
        <v>8973</v>
      </c>
      <c r="J97" s="75">
        <f t="shared" si="8"/>
        <v>81</v>
      </c>
      <c r="K97" s="75">
        <f t="shared" si="9"/>
        <v>0.89463220675944333</v>
      </c>
      <c r="L97" s="75">
        <f>VLOOKUP($A97,'Data Vlaue (Cr)'!$C:$FB,67)</f>
        <v>1502</v>
      </c>
      <c r="M97" s="75">
        <f>VLOOKUP($A97,'Data Vlaue (Cr)'!$C:$FB,68)</f>
        <v>2803</v>
      </c>
      <c r="N97" s="75">
        <f t="shared" si="10"/>
        <v>-1301</v>
      </c>
      <c r="O97" s="75">
        <f t="shared" si="11"/>
        <v>-86.617842876165113</v>
      </c>
      <c r="P97" s="75">
        <f>VLOOKUP($A97,'Data Vlaue (Cr)'!$C:$FB,119)</f>
        <v>0.56000000000000005</v>
      </c>
      <c r="Q97" s="75">
        <f>VLOOKUP($A97,'Data Vlaue (Cr)'!$C:$FB,122)*100</f>
        <v>5.66</v>
      </c>
      <c r="R97" s="75">
        <f>VLOOKUP($A97,'Data Vlaue (Cr)'!$C:$FB,125)</f>
        <v>0.41</v>
      </c>
      <c r="S97" s="75">
        <f>VLOOKUP($A97,'Data Vlaue (Cr)'!$C:$FB,128)*100</f>
        <v>115.78999999999999</v>
      </c>
    </row>
    <row r="98" spans="1:19" x14ac:dyDescent="0.25">
      <c r="A98" s="96" t="str">
        <f>'Data Vlaue (Cr)'!C89</f>
        <v>IDFCFIRSTB</v>
      </c>
      <c r="B98" s="75">
        <f>VLOOKUP($A98,'Data Vlaue (Cr)'!$C:$FB,2)</f>
        <v>9275</v>
      </c>
      <c r="C98" s="75">
        <f>VLOOKUP($A98,'Data Vlaue (Cr)'!$C:$FB,8)</f>
        <v>71.790000000000006</v>
      </c>
      <c r="D98" s="75">
        <f>VLOOKUP($A98,'Data Vlaue (Cr)'!$C:$FB,4)</f>
        <v>71.900000000000006</v>
      </c>
      <c r="E98" s="75">
        <f>VLOOKUP($A98,'Data Vlaue (Cr)'!$C:$FB,5)</f>
        <v>73.17</v>
      </c>
      <c r="F98" s="75">
        <f t="shared" si="6"/>
        <v>0.10999999999999943</v>
      </c>
      <c r="G98" s="75">
        <f t="shared" si="7"/>
        <v>-1.766342141863694</v>
      </c>
      <c r="H98" s="75">
        <f>VLOOKUP($A98,'Data Vlaue (Cr)'!$C:$FB,99)</f>
        <v>4853</v>
      </c>
      <c r="I98" s="75">
        <f>VLOOKUP($A98,'Data Vlaue (Cr)'!$C:$FB,100)</f>
        <v>4660</v>
      </c>
      <c r="J98" s="75">
        <f t="shared" si="8"/>
        <v>193</v>
      </c>
      <c r="K98" s="75">
        <f t="shared" si="9"/>
        <v>3.976921491860705</v>
      </c>
      <c r="L98" s="75">
        <f>VLOOKUP($A98,'Data Vlaue (Cr)'!$C:$FB,67)</f>
        <v>2259</v>
      </c>
      <c r="M98" s="75">
        <f>VLOOKUP($A98,'Data Vlaue (Cr)'!$C:$FB,68)</f>
        <v>1231</v>
      </c>
      <c r="N98" s="75">
        <f t="shared" si="10"/>
        <v>1028</v>
      </c>
      <c r="O98" s="75">
        <f t="shared" si="11"/>
        <v>45.506861443116428</v>
      </c>
      <c r="P98" s="75">
        <f>VLOOKUP($A98,'Data Vlaue (Cr)'!$C:$FB,119)</f>
        <v>0.68</v>
      </c>
      <c r="Q98" s="75">
        <f>VLOOKUP($A98,'Data Vlaue (Cr)'!$C:$FB,122)*100</f>
        <v>-2.86</v>
      </c>
      <c r="R98" s="75">
        <f>VLOOKUP($A98,'Data Vlaue (Cr)'!$C:$FB,125)</f>
        <v>0.55000000000000004</v>
      </c>
      <c r="S98" s="75">
        <f>VLOOKUP($A98,'Data Vlaue (Cr)'!$C:$FB,128)*100</f>
        <v>-5.17</v>
      </c>
    </row>
    <row r="99" spans="1:19" x14ac:dyDescent="0.25">
      <c r="A99" s="96" t="str">
        <f>'Data Vlaue (Cr)'!C90</f>
        <v>IEX</v>
      </c>
      <c r="B99" s="75">
        <f>VLOOKUP($A99,'Data Vlaue (Cr)'!$C:$FB,2)</f>
        <v>3750</v>
      </c>
      <c r="C99" s="75">
        <f>VLOOKUP($A99,'Data Vlaue (Cr)'!$C:$FB,8)</f>
        <v>134.79</v>
      </c>
      <c r="D99" s="75">
        <f>VLOOKUP($A99,'Data Vlaue (Cr)'!$C:$FB,4)</f>
        <v>135.04</v>
      </c>
      <c r="E99" s="75">
        <f>VLOOKUP($A99,'Data Vlaue (Cr)'!$C:$FB,5)</f>
        <v>135.53</v>
      </c>
      <c r="F99" s="75">
        <f t="shared" si="6"/>
        <v>0.25</v>
      </c>
      <c r="G99" s="75">
        <f t="shared" si="7"/>
        <v>-0.36285545023697358</v>
      </c>
      <c r="H99" s="75">
        <f>VLOOKUP($A99,'Data Vlaue (Cr)'!$C:$FB,99)</f>
        <v>1830</v>
      </c>
      <c r="I99" s="75">
        <f>VLOOKUP($A99,'Data Vlaue (Cr)'!$C:$FB,100)</f>
        <v>1741</v>
      </c>
      <c r="J99" s="75">
        <f t="shared" si="8"/>
        <v>89</v>
      </c>
      <c r="K99" s="75">
        <f t="shared" si="9"/>
        <v>4.863387978142077</v>
      </c>
      <c r="L99" s="75">
        <f>VLOOKUP($A99,'Data Vlaue (Cr)'!$C:$FB,67)</f>
        <v>756</v>
      </c>
      <c r="M99" s="75">
        <f>VLOOKUP($A99,'Data Vlaue (Cr)'!$C:$FB,68)</f>
        <v>1059</v>
      </c>
      <c r="N99" s="75">
        <f t="shared" si="10"/>
        <v>-303</v>
      </c>
      <c r="O99" s="75">
        <f t="shared" si="11"/>
        <v>-40.079365079365083</v>
      </c>
      <c r="P99" s="75">
        <f>VLOOKUP($A99,'Data Vlaue (Cr)'!$C:$FB,119)</f>
        <v>0.59</v>
      </c>
      <c r="Q99" s="75">
        <f>VLOOKUP($A99,'Data Vlaue (Cr)'!$C:$FB,122)*100</f>
        <v>0</v>
      </c>
      <c r="R99" s="75">
        <f>VLOOKUP($A99,'Data Vlaue (Cr)'!$C:$FB,125)</f>
        <v>0.59</v>
      </c>
      <c r="S99" s="75">
        <f>VLOOKUP($A99,'Data Vlaue (Cr)'!$C:$FB,128)*100</f>
        <v>-14.49</v>
      </c>
    </row>
    <row r="100" spans="1:19" x14ac:dyDescent="0.25">
      <c r="A100" s="96" t="str">
        <f>'Data Vlaue (Cr)'!C91</f>
        <v>IGL</v>
      </c>
      <c r="B100" s="75">
        <f>VLOOKUP($A100,'Data Vlaue (Cr)'!$C:$FB,2)</f>
        <v>2750</v>
      </c>
      <c r="C100" s="75">
        <f>VLOOKUP($A100,'Data Vlaue (Cr)'!$C:$FB,8)</f>
        <v>213.67</v>
      </c>
      <c r="D100" s="75">
        <f>VLOOKUP($A100,'Data Vlaue (Cr)'!$C:$FB,4)</f>
        <v>213.87</v>
      </c>
      <c r="E100" s="75">
        <f>VLOOKUP($A100,'Data Vlaue (Cr)'!$C:$FB,5)</f>
        <v>212.31</v>
      </c>
      <c r="F100" s="75">
        <f t="shared" si="6"/>
        <v>0.20000000000001705</v>
      </c>
      <c r="G100" s="75">
        <f t="shared" si="7"/>
        <v>0.72941506522654054</v>
      </c>
      <c r="H100" s="75">
        <f>VLOOKUP($A100,'Data Vlaue (Cr)'!$C:$FB,99)</f>
        <v>1080</v>
      </c>
      <c r="I100" s="75">
        <f>VLOOKUP($A100,'Data Vlaue (Cr)'!$C:$FB,100)</f>
        <v>1074</v>
      </c>
      <c r="J100" s="75">
        <f t="shared" si="8"/>
        <v>6</v>
      </c>
      <c r="K100" s="75">
        <f t="shared" si="9"/>
        <v>0.55555555555555558</v>
      </c>
      <c r="L100" s="75">
        <f>VLOOKUP($A100,'Data Vlaue (Cr)'!$C:$FB,67)</f>
        <v>305</v>
      </c>
      <c r="M100" s="75">
        <f>VLOOKUP($A100,'Data Vlaue (Cr)'!$C:$FB,68)</f>
        <v>613</v>
      </c>
      <c r="N100" s="75">
        <f t="shared" si="10"/>
        <v>-308</v>
      </c>
      <c r="O100" s="75">
        <f t="shared" si="11"/>
        <v>-100.98360655737706</v>
      </c>
      <c r="P100" s="75">
        <f>VLOOKUP($A100,'Data Vlaue (Cr)'!$C:$FB,119)</f>
        <v>0.5</v>
      </c>
      <c r="Q100" s="75">
        <f>VLOOKUP($A100,'Data Vlaue (Cr)'!$C:$FB,122)*100</f>
        <v>-1.96</v>
      </c>
      <c r="R100" s="75">
        <f>VLOOKUP($A100,'Data Vlaue (Cr)'!$C:$FB,125)</f>
        <v>0.41</v>
      </c>
      <c r="S100" s="75">
        <f>VLOOKUP($A100,'Data Vlaue (Cr)'!$C:$FB,128)*100</f>
        <v>-14.580000000000002</v>
      </c>
    </row>
    <row r="101" spans="1:19" x14ac:dyDescent="0.25">
      <c r="A101" s="96" t="str">
        <f>'Data Vlaue (Cr)'!C92</f>
        <v>IIFL</v>
      </c>
      <c r="B101" s="75">
        <f>VLOOKUP($A101,'Data Vlaue (Cr)'!$C:$FB,2)</f>
        <v>1650</v>
      </c>
      <c r="C101" s="75">
        <f>VLOOKUP($A101,'Data Vlaue (Cr)'!$C:$FB,8)</f>
        <v>499.9</v>
      </c>
      <c r="D101" s="75">
        <f>VLOOKUP($A101,'Data Vlaue (Cr)'!$C:$FB,4)</f>
        <v>501.55</v>
      </c>
      <c r="E101" s="75">
        <f>VLOOKUP($A101,'Data Vlaue (Cr)'!$C:$FB,5)</f>
        <v>507.75</v>
      </c>
      <c r="F101" s="75">
        <f t="shared" si="6"/>
        <v>1.6500000000000341</v>
      </c>
      <c r="G101" s="75">
        <f t="shared" si="7"/>
        <v>-1.2361678795733204</v>
      </c>
      <c r="H101" s="75">
        <f>VLOOKUP($A101,'Data Vlaue (Cr)'!$C:$FB,99)</f>
        <v>1180</v>
      </c>
      <c r="I101" s="75">
        <f>VLOOKUP($A101,'Data Vlaue (Cr)'!$C:$FB,100)</f>
        <v>1196</v>
      </c>
      <c r="J101" s="75">
        <f t="shared" si="8"/>
        <v>-16</v>
      </c>
      <c r="K101" s="75">
        <f t="shared" si="9"/>
        <v>-1.3559322033898304</v>
      </c>
      <c r="L101" s="75">
        <f>VLOOKUP($A101,'Data Vlaue (Cr)'!$C:$FB,67)</f>
        <v>425</v>
      </c>
      <c r="M101" s="75">
        <f>VLOOKUP($A101,'Data Vlaue (Cr)'!$C:$FB,68)</f>
        <v>1524</v>
      </c>
      <c r="N101" s="75">
        <f t="shared" si="10"/>
        <v>-1099</v>
      </c>
      <c r="O101" s="75">
        <f t="shared" si="11"/>
        <v>-258.58823529411768</v>
      </c>
      <c r="P101" s="75">
        <f>VLOOKUP($A101,'Data Vlaue (Cr)'!$C:$FB,119)</f>
        <v>0.7</v>
      </c>
      <c r="Q101" s="75">
        <f>VLOOKUP($A101,'Data Vlaue (Cr)'!$C:$FB,122)*100</f>
        <v>-6.67</v>
      </c>
      <c r="R101" s="75">
        <f>VLOOKUP($A101,'Data Vlaue (Cr)'!$C:$FB,125)</f>
        <v>0.5</v>
      </c>
      <c r="S101" s="75">
        <f>VLOOKUP($A101,'Data Vlaue (Cr)'!$C:$FB,128)*100</f>
        <v>28.21</v>
      </c>
    </row>
    <row r="102" spans="1:19" x14ac:dyDescent="0.25">
      <c r="A102" s="96" t="str">
        <f>'Data Vlaue (Cr)'!C93</f>
        <v>INDHOTEL</v>
      </c>
      <c r="B102" s="75">
        <f>VLOOKUP($A102,'Data Vlaue (Cr)'!$C:$FB,2)</f>
        <v>1000</v>
      </c>
      <c r="C102" s="75">
        <f>VLOOKUP($A102,'Data Vlaue (Cr)'!$C:$FB,8)</f>
        <v>738.05</v>
      </c>
      <c r="D102" s="75">
        <f>VLOOKUP($A102,'Data Vlaue (Cr)'!$C:$FB,4)</f>
        <v>739.05</v>
      </c>
      <c r="E102" s="75">
        <f>VLOOKUP($A102,'Data Vlaue (Cr)'!$C:$FB,5)</f>
        <v>731</v>
      </c>
      <c r="F102" s="75">
        <f t="shared" si="6"/>
        <v>1</v>
      </c>
      <c r="G102" s="75">
        <f t="shared" si="7"/>
        <v>1.0892361815844605</v>
      </c>
      <c r="H102" s="75">
        <f>VLOOKUP($A102,'Data Vlaue (Cr)'!$C:$FB,99)</f>
        <v>3746</v>
      </c>
      <c r="I102" s="75">
        <f>VLOOKUP($A102,'Data Vlaue (Cr)'!$C:$FB,100)</f>
        <v>3939</v>
      </c>
      <c r="J102" s="75">
        <f t="shared" si="8"/>
        <v>-193</v>
      </c>
      <c r="K102" s="75">
        <f t="shared" si="9"/>
        <v>-5.152162306460224</v>
      </c>
      <c r="L102" s="75">
        <f>VLOOKUP($A102,'Data Vlaue (Cr)'!$C:$FB,67)</f>
        <v>1723</v>
      </c>
      <c r="M102" s="75">
        <f>VLOOKUP($A102,'Data Vlaue (Cr)'!$C:$FB,68)</f>
        <v>2165</v>
      </c>
      <c r="N102" s="75">
        <f t="shared" si="10"/>
        <v>-442</v>
      </c>
      <c r="O102" s="75">
        <f t="shared" si="11"/>
        <v>-25.652930934416716</v>
      </c>
      <c r="P102" s="75">
        <f>VLOOKUP($A102,'Data Vlaue (Cr)'!$C:$FB,119)</f>
        <v>0.49</v>
      </c>
      <c r="Q102" s="75">
        <f>VLOOKUP($A102,'Data Vlaue (Cr)'!$C:$FB,122)*100</f>
        <v>2.08</v>
      </c>
      <c r="R102" s="75">
        <f>VLOOKUP($A102,'Data Vlaue (Cr)'!$C:$FB,125)</f>
        <v>0.39</v>
      </c>
      <c r="S102" s="75">
        <f>VLOOKUP($A102,'Data Vlaue (Cr)'!$C:$FB,128)*100</f>
        <v>44.440000000000005</v>
      </c>
    </row>
    <row r="103" spans="1:19" x14ac:dyDescent="0.25">
      <c r="A103" s="96" t="str">
        <f>'Data Vlaue (Cr)'!C94</f>
        <v>INDIANB</v>
      </c>
      <c r="B103" s="75">
        <f>VLOOKUP($A103,'Data Vlaue (Cr)'!$C:$FB,2)</f>
        <v>1000</v>
      </c>
      <c r="C103" s="75">
        <f>VLOOKUP($A103,'Data Vlaue (Cr)'!$C:$FB,8)</f>
        <v>771.05</v>
      </c>
      <c r="D103" s="75">
        <f>VLOOKUP($A103,'Data Vlaue (Cr)'!$C:$FB,4)</f>
        <v>774.45</v>
      </c>
      <c r="E103" s="75">
        <f>VLOOKUP($A103,'Data Vlaue (Cr)'!$C:$FB,5)</f>
        <v>778.15</v>
      </c>
      <c r="F103" s="75">
        <f t="shared" si="6"/>
        <v>3.4000000000000909</v>
      </c>
      <c r="G103" s="75">
        <f t="shared" si="7"/>
        <v>-0.4777584091936124</v>
      </c>
      <c r="H103" s="75">
        <f>VLOOKUP($A103,'Data Vlaue (Cr)'!$C:$FB,99)</f>
        <v>1290</v>
      </c>
      <c r="I103" s="75">
        <f>VLOOKUP($A103,'Data Vlaue (Cr)'!$C:$FB,100)</f>
        <v>1066</v>
      </c>
      <c r="J103" s="75">
        <f t="shared" si="8"/>
        <v>224</v>
      </c>
      <c r="K103" s="75">
        <f t="shared" si="9"/>
        <v>17.364341085271317</v>
      </c>
      <c r="L103" s="75">
        <f>VLOOKUP($A103,'Data Vlaue (Cr)'!$C:$FB,67)</f>
        <v>4706</v>
      </c>
      <c r="M103" s="75">
        <f>VLOOKUP($A103,'Data Vlaue (Cr)'!$C:$FB,68)</f>
        <v>491</v>
      </c>
      <c r="N103" s="75">
        <f t="shared" si="10"/>
        <v>4215</v>
      </c>
      <c r="O103" s="75">
        <f t="shared" si="11"/>
        <v>89.566510837229075</v>
      </c>
      <c r="P103" s="75">
        <f>VLOOKUP($A103,'Data Vlaue (Cr)'!$C:$FB,119)</f>
        <v>0.62</v>
      </c>
      <c r="Q103" s="75">
        <f>VLOOKUP($A103,'Data Vlaue (Cr)'!$C:$FB,122)*100</f>
        <v>-28.74</v>
      </c>
      <c r="R103" s="75">
        <f>VLOOKUP($A103,'Data Vlaue (Cr)'!$C:$FB,125)</f>
        <v>0.44</v>
      </c>
      <c r="S103" s="75">
        <f>VLOOKUP($A103,'Data Vlaue (Cr)'!$C:$FB,128)*100</f>
        <v>-13.73</v>
      </c>
    </row>
    <row r="104" spans="1:19" x14ac:dyDescent="0.25">
      <c r="A104" s="96" t="str">
        <f>'Data Vlaue (Cr)'!C95</f>
        <v>INDIAVIX</v>
      </c>
      <c r="B104" s="75">
        <f>VLOOKUP($A104,'Data Vlaue (Cr)'!$C:$FB,2)</f>
        <v>1</v>
      </c>
      <c r="C104" s="75">
        <f>VLOOKUP($A104,'Data Vlaue (Cr)'!$C:$FB,8)</f>
        <v>10.87</v>
      </c>
      <c r="D104" s="75">
        <f>VLOOKUP($A104,'Data Vlaue (Cr)'!$C:$FB,4)</f>
        <v>10.87</v>
      </c>
      <c r="E104" s="75">
        <f>VLOOKUP($A104,'Data Vlaue (Cr)'!$C:$FB,5)</f>
        <v>10.53</v>
      </c>
      <c r="F104" s="75">
        <f t="shared" si="6"/>
        <v>0</v>
      </c>
      <c r="G104" s="75">
        <f t="shared" si="7"/>
        <v>3.1278748850045988</v>
      </c>
      <c r="H104" s="75">
        <f>VLOOKUP($A104,'Data Vlaue (Cr)'!$C:$FB,99)</f>
        <v>0</v>
      </c>
      <c r="I104" s="75">
        <f>VLOOKUP($A104,'Data Vlaue (Cr)'!$C:$FB,100)</f>
        <v>0</v>
      </c>
      <c r="J104" s="75">
        <f t="shared" si="8"/>
        <v>0</v>
      </c>
      <c r="K104" s="75" t="e">
        <f t="shared" si="9"/>
        <v>#DIV/0!</v>
      </c>
      <c r="L104" s="75">
        <f>VLOOKUP($A104,'Data Vlaue (Cr)'!$C:$FB,67)</f>
        <v>0</v>
      </c>
      <c r="M104" s="75">
        <f>VLOOKUP($A104,'Data Vlaue (Cr)'!$C:$FB,68)</f>
        <v>0</v>
      </c>
      <c r="N104" s="75">
        <f t="shared" si="10"/>
        <v>0</v>
      </c>
      <c r="O104" s="75" t="e">
        <f t="shared" si="11"/>
        <v>#DIV/0!</v>
      </c>
      <c r="P104" s="75">
        <f>VLOOKUP($A104,'Data Vlaue (Cr)'!$C:$FB,119)</f>
        <v>0</v>
      </c>
      <c r="Q104" s="75">
        <f>VLOOKUP($A104,'Data Vlaue (Cr)'!$C:$FB,122)*100</f>
        <v>0</v>
      </c>
      <c r="R104" s="75">
        <f>VLOOKUP($A104,'Data Vlaue (Cr)'!$C:$FB,125)</f>
        <v>0</v>
      </c>
      <c r="S104" s="75">
        <f>VLOOKUP($A104,'Data Vlaue (Cr)'!$C:$FB,128)*100</f>
        <v>0</v>
      </c>
    </row>
    <row r="105" spans="1:19" x14ac:dyDescent="0.25">
      <c r="A105" s="96" t="str">
        <f>'Data Vlaue (Cr)'!C96</f>
        <v>INDIGO</v>
      </c>
      <c r="B105" s="75">
        <f>VLOOKUP($A105,'Data Vlaue (Cr)'!$C:$FB,2)</f>
        <v>150</v>
      </c>
      <c r="C105" s="75">
        <f>VLOOKUP($A105,'Data Vlaue (Cr)'!$C:$FB,8)</f>
        <v>5881</v>
      </c>
      <c r="D105" s="75">
        <f>VLOOKUP($A105,'Data Vlaue (Cr)'!$C:$FB,4)</f>
        <v>5893.5</v>
      </c>
      <c r="E105" s="75">
        <f>VLOOKUP($A105,'Data Vlaue (Cr)'!$C:$FB,5)</f>
        <v>5874</v>
      </c>
      <c r="F105" s="75">
        <f t="shared" si="6"/>
        <v>12.5</v>
      </c>
      <c r="G105" s="75">
        <f t="shared" si="7"/>
        <v>0.33087299567319928</v>
      </c>
      <c r="H105" s="75">
        <f>VLOOKUP($A105,'Data Vlaue (Cr)'!$C:$FB,99)</f>
        <v>6798</v>
      </c>
      <c r="I105" s="75">
        <f>VLOOKUP($A105,'Data Vlaue (Cr)'!$C:$FB,100)</f>
        <v>6665</v>
      </c>
      <c r="J105" s="75">
        <f t="shared" si="8"/>
        <v>133</v>
      </c>
      <c r="K105" s="75">
        <f t="shared" si="9"/>
        <v>1.9564577817005002</v>
      </c>
      <c r="L105" s="75">
        <f>VLOOKUP($A105,'Data Vlaue (Cr)'!$C:$FB,67)</f>
        <v>3227</v>
      </c>
      <c r="M105" s="75">
        <f>VLOOKUP($A105,'Data Vlaue (Cr)'!$C:$FB,68)</f>
        <v>5112</v>
      </c>
      <c r="N105" s="75">
        <f t="shared" si="10"/>
        <v>-1885</v>
      </c>
      <c r="O105" s="75">
        <f t="shared" si="11"/>
        <v>-58.413387046792685</v>
      </c>
      <c r="P105" s="75">
        <f>VLOOKUP($A105,'Data Vlaue (Cr)'!$C:$FB,119)</f>
        <v>0.78</v>
      </c>
      <c r="Q105" s="75">
        <f>VLOOKUP($A105,'Data Vlaue (Cr)'!$C:$FB,122)*100</f>
        <v>-4.88</v>
      </c>
      <c r="R105" s="75">
        <f>VLOOKUP($A105,'Data Vlaue (Cr)'!$C:$FB,125)</f>
        <v>0.49</v>
      </c>
      <c r="S105" s="75">
        <f>VLOOKUP($A105,'Data Vlaue (Cr)'!$C:$FB,128)*100</f>
        <v>19.509999999999998</v>
      </c>
    </row>
    <row r="106" spans="1:19" x14ac:dyDescent="0.25">
      <c r="A106" s="96" t="str">
        <f>'Data Vlaue (Cr)'!C97</f>
        <v>INDUSINDBK</v>
      </c>
      <c r="B106" s="75">
        <f>VLOOKUP($A106,'Data Vlaue (Cr)'!$C:$FB,2)</f>
        <v>700</v>
      </c>
      <c r="C106" s="75">
        <f>VLOOKUP($A106,'Data Vlaue (Cr)'!$C:$FB,8)</f>
        <v>739.5</v>
      </c>
      <c r="D106" s="75">
        <f>VLOOKUP($A106,'Data Vlaue (Cr)'!$C:$FB,4)</f>
        <v>739.7</v>
      </c>
      <c r="E106" s="75">
        <f>VLOOKUP($A106,'Data Vlaue (Cr)'!$C:$FB,5)</f>
        <v>741.95</v>
      </c>
      <c r="F106" s="75">
        <f t="shared" si="6"/>
        <v>0.20000000000004547</v>
      </c>
      <c r="G106" s="75">
        <f t="shared" si="7"/>
        <v>-0.30417736920373123</v>
      </c>
      <c r="H106" s="75">
        <f>VLOOKUP($A106,'Data Vlaue (Cr)'!$C:$FB,99)</f>
        <v>5999</v>
      </c>
      <c r="I106" s="75">
        <f>VLOOKUP($A106,'Data Vlaue (Cr)'!$C:$FB,100)</f>
        <v>5865</v>
      </c>
      <c r="J106" s="75">
        <f t="shared" si="8"/>
        <v>134</v>
      </c>
      <c r="K106" s="75">
        <f t="shared" si="9"/>
        <v>2.2337056176029337</v>
      </c>
      <c r="L106" s="75">
        <f>VLOOKUP($A106,'Data Vlaue (Cr)'!$C:$FB,67)</f>
        <v>1545</v>
      </c>
      <c r="M106" s="75">
        <f>VLOOKUP($A106,'Data Vlaue (Cr)'!$C:$FB,68)</f>
        <v>2290</v>
      </c>
      <c r="N106" s="75">
        <f t="shared" si="10"/>
        <v>-745</v>
      </c>
      <c r="O106" s="75">
        <f t="shared" si="11"/>
        <v>-48.220064724919091</v>
      </c>
      <c r="P106" s="75">
        <f>VLOOKUP($A106,'Data Vlaue (Cr)'!$C:$FB,119)</f>
        <v>0.88</v>
      </c>
      <c r="Q106" s="75">
        <f>VLOOKUP($A106,'Data Vlaue (Cr)'!$C:$FB,122)*100</f>
        <v>-1.1199999999999999</v>
      </c>
      <c r="R106" s="75">
        <f>VLOOKUP($A106,'Data Vlaue (Cr)'!$C:$FB,125)</f>
        <v>0.52</v>
      </c>
      <c r="S106" s="75">
        <f>VLOOKUP($A106,'Data Vlaue (Cr)'!$C:$FB,128)*100</f>
        <v>-23.53</v>
      </c>
    </row>
    <row r="107" spans="1:19" x14ac:dyDescent="0.25">
      <c r="A107" s="96" t="str">
        <f>'Data Vlaue (Cr)'!C98</f>
        <v>INDUSTOWER</v>
      </c>
      <c r="B107" s="75">
        <f>VLOOKUP($A107,'Data Vlaue (Cr)'!$C:$FB,2)</f>
        <v>1700</v>
      </c>
      <c r="C107" s="75">
        <f>VLOOKUP($A107,'Data Vlaue (Cr)'!$C:$FB,8)</f>
        <v>343.95</v>
      </c>
      <c r="D107" s="75">
        <f>VLOOKUP($A107,'Data Vlaue (Cr)'!$C:$FB,4)</f>
        <v>345.4</v>
      </c>
      <c r="E107" s="75">
        <f>VLOOKUP($A107,'Data Vlaue (Cr)'!$C:$FB,5)</f>
        <v>346.3</v>
      </c>
      <c r="F107" s="75">
        <f t="shared" si="6"/>
        <v>1.4499999999999886</v>
      </c>
      <c r="G107" s="75">
        <f t="shared" si="7"/>
        <v>-0.26056745801969722</v>
      </c>
      <c r="H107" s="75">
        <f>VLOOKUP($A107,'Data Vlaue (Cr)'!$C:$FB,99)</f>
        <v>4317</v>
      </c>
      <c r="I107" s="75">
        <f>VLOOKUP($A107,'Data Vlaue (Cr)'!$C:$FB,100)</f>
        <v>4287</v>
      </c>
      <c r="J107" s="75">
        <f t="shared" si="8"/>
        <v>30</v>
      </c>
      <c r="K107" s="75">
        <f t="shared" si="9"/>
        <v>0.69492703266157052</v>
      </c>
      <c r="L107" s="75">
        <f>VLOOKUP($A107,'Data Vlaue (Cr)'!$C:$FB,67)</f>
        <v>603</v>
      </c>
      <c r="M107" s="75">
        <f>VLOOKUP($A107,'Data Vlaue (Cr)'!$C:$FB,68)</f>
        <v>1184</v>
      </c>
      <c r="N107" s="75">
        <f t="shared" si="10"/>
        <v>-581</v>
      </c>
      <c r="O107" s="75">
        <f t="shared" si="11"/>
        <v>-96.35157545605307</v>
      </c>
      <c r="P107" s="75">
        <f>VLOOKUP($A107,'Data Vlaue (Cr)'!$C:$FB,119)</f>
        <v>0.74</v>
      </c>
      <c r="Q107" s="75">
        <f>VLOOKUP($A107,'Data Vlaue (Cr)'!$C:$FB,122)*100</f>
        <v>2.78</v>
      </c>
      <c r="R107" s="75">
        <f>VLOOKUP($A107,'Data Vlaue (Cr)'!$C:$FB,125)</f>
        <v>0.52</v>
      </c>
      <c r="S107" s="75">
        <f>VLOOKUP($A107,'Data Vlaue (Cr)'!$C:$FB,128)*100</f>
        <v>4</v>
      </c>
    </row>
    <row r="108" spans="1:19" x14ac:dyDescent="0.25">
      <c r="A108" s="96" t="str">
        <f>'Data Vlaue (Cr)'!C99</f>
        <v>INFY</v>
      </c>
      <c r="B108" s="75">
        <f>VLOOKUP($A108,'Data Vlaue (Cr)'!$C:$FB,2)</f>
        <v>400</v>
      </c>
      <c r="C108" s="75">
        <f>VLOOKUP($A108,'Data Vlaue (Cr)'!$C:$FB,8)</f>
        <v>1471.5</v>
      </c>
      <c r="D108" s="75">
        <f>VLOOKUP($A108,'Data Vlaue (Cr)'!$C:$FB,4)</f>
        <v>1456.9</v>
      </c>
      <c r="E108" s="75">
        <f>VLOOKUP($A108,'Data Vlaue (Cr)'!$C:$FB,5)</f>
        <v>1464.9</v>
      </c>
      <c r="F108" s="75">
        <f t="shared" si="6"/>
        <v>-14.599999999999909</v>
      </c>
      <c r="G108" s="75">
        <f t="shared" si="7"/>
        <v>-0.5491111263641979</v>
      </c>
      <c r="H108" s="75">
        <f>VLOOKUP($A108,'Data Vlaue (Cr)'!$C:$FB,99)</f>
        <v>21414</v>
      </c>
      <c r="I108" s="75">
        <f>VLOOKUP($A108,'Data Vlaue (Cr)'!$C:$FB,100)</f>
        <v>18920</v>
      </c>
      <c r="J108" s="75">
        <f t="shared" si="8"/>
        <v>2494</v>
      </c>
      <c r="K108" s="75">
        <f t="shared" si="9"/>
        <v>11.646586345381527</v>
      </c>
      <c r="L108" s="75">
        <f>VLOOKUP($A108,'Data Vlaue (Cr)'!$C:$FB,67)</f>
        <v>16011</v>
      </c>
      <c r="M108" s="75">
        <f>VLOOKUP($A108,'Data Vlaue (Cr)'!$C:$FB,68)</f>
        <v>9496</v>
      </c>
      <c r="N108" s="75">
        <f t="shared" si="10"/>
        <v>6515</v>
      </c>
      <c r="O108" s="75">
        <f t="shared" si="11"/>
        <v>40.690775092124163</v>
      </c>
      <c r="P108" s="75">
        <f>VLOOKUP($A108,'Data Vlaue (Cr)'!$C:$FB,119)</f>
        <v>0.48</v>
      </c>
      <c r="Q108" s="75">
        <f>VLOOKUP($A108,'Data Vlaue (Cr)'!$C:$FB,122)*100</f>
        <v>0</v>
      </c>
      <c r="R108" s="75">
        <f>VLOOKUP($A108,'Data Vlaue (Cr)'!$C:$FB,125)</f>
        <v>0.45</v>
      </c>
      <c r="S108" s="75">
        <f>VLOOKUP($A108,'Data Vlaue (Cr)'!$C:$FB,128)*100</f>
        <v>-10</v>
      </c>
    </row>
    <row r="109" spans="1:19" x14ac:dyDescent="0.25">
      <c r="A109" s="96" t="str">
        <f>'Data Vlaue (Cr)'!C100</f>
        <v>INOXWIND</v>
      </c>
      <c r="B109" s="75">
        <f>VLOOKUP($A109,'Data Vlaue (Cr)'!$C:$FB,2)</f>
        <v>3272</v>
      </c>
      <c r="C109" s="75">
        <f>VLOOKUP($A109,'Data Vlaue (Cr)'!$C:$FB,8)</f>
        <v>146.84</v>
      </c>
      <c r="D109" s="75">
        <f>VLOOKUP($A109,'Data Vlaue (Cr)'!$C:$FB,4)</f>
        <v>147.26</v>
      </c>
      <c r="E109" s="75">
        <f>VLOOKUP($A109,'Data Vlaue (Cr)'!$C:$FB,5)</f>
        <v>148.88999999999999</v>
      </c>
      <c r="F109" s="75">
        <f t="shared" si="6"/>
        <v>0.41999999999998749</v>
      </c>
      <c r="G109" s="75">
        <f t="shared" si="7"/>
        <v>-1.1068857802526115</v>
      </c>
      <c r="H109" s="75">
        <f>VLOOKUP($A109,'Data Vlaue (Cr)'!$C:$FB,99)</f>
        <v>1160</v>
      </c>
      <c r="I109" s="75">
        <f>VLOOKUP($A109,'Data Vlaue (Cr)'!$C:$FB,100)</f>
        <v>1145</v>
      </c>
      <c r="J109" s="75">
        <f t="shared" si="8"/>
        <v>15</v>
      </c>
      <c r="K109" s="75">
        <f t="shared" si="9"/>
        <v>1.2931034482758621</v>
      </c>
      <c r="L109" s="75">
        <f>VLOOKUP($A109,'Data Vlaue (Cr)'!$C:$FB,67)</f>
        <v>221</v>
      </c>
      <c r="M109" s="75">
        <f>VLOOKUP($A109,'Data Vlaue (Cr)'!$C:$FB,68)</f>
        <v>320</v>
      </c>
      <c r="N109" s="75">
        <f t="shared" si="10"/>
        <v>-99</v>
      </c>
      <c r="O109" s="75">
        <f t="shared" si="11"/>
        <v>-44.796380090497742</v>
      </c>
      <c r="P109" s="75">
        <f>VLOOKUP($A109,'Data Vlaue (Cr)'!$C:$FB,119)</f>
        <v>0.46</v>
      </c>
      <c r="Q109" s="75">
        <f>VLOOKUP($A109,'Data Vlaue (Cr)'!$C:$FB,122)*100</f>
        <v>0</v>
      </c>
      <c r="R109" s="75">
        <f>VLOOKUP($A109,'Data Vlaue (Cr)'!$C:$FB,125)</f>
        <v>0.3</v>
      </c>
      <c r="S109" s="75">
        <f>VLOOKUP($A109,'Data Vlaue (Cr)'!$C:$FB,128)*100</f>
        <v>-18.920000000000002</v>
      </c>
    </row>
    <row r="110" spans="1:19" x14ac:dyDescent="0.25">
      <c r="A110" s="96" t="str">
        <f>'Data Vlaue (Cr)'!C101</f>
        <v>IOC</v>
      </c>
      <c r="B110" s="75">
        <f>VLOOKUP($A110,'Data Vlaue (Cr)'!$C:$FB,2)</f>
        <v>4875</v>
      </c>
      <c r="C110" s="75">
        <f>VLOOKUP($A110,'Data Vlaue (Cr)'!$C:$FB,8)</f>
        <v>153.66999999999999</v>
      </c>
      <c r="D110" s="75">
        <f>VLOOKUP($A110,'Data Vlaue (Cr)'!$C:$FB,4)</f>
        <v>153.91999999999999</v>
      </c>
      <c r="E110" s="75">
        <f>VLOOKUP($A110,'Data Vlaue (Cr)'!$C:$FB,5)</f>
        <v>154.37</v>
      </c>
      <c r="F110" s="75">
        <f t="shared" si="6"/>
        <v>0.25</v>
      </c>
      <c r="G110" s="75">
        <f t="shared" si="7"/>
        <v>-0.2923596673596785</v>
      </c>
      <c r="H110" s="75">
        <f>VLOOKUP($A110,'Data Vlaue (Cr)'!$C:$FB,99)</f>
        <v>2995</v>
      </c>
      <c r="I110" s="75">
        <f>VLOOKUP($A110,'Data Vlaue (Cr)'!$C:$FB,100)</f>
        <v>2917</v>
      </c>
      <c r="J110" s="75">
        <f t="shared" si="8"/>
        <v>78</v>
      </c>
      <c r="K110" s="75">
        <f t="shared" si="9"/>
        <v>2.6043405676126881</v>
      </c>
      <c r="L110" s="75">
        <f>VLOOKUP($A110,'Data Vlaue (Cr)'!$C:$FB,67)</f>
        <v>1768</v>
      </c>
      <c r="M110" s="75">
        <f>VLOOKUP($A110,'Data Vlaue (Cr)'!$C:$FB,68)</f>
        <v>1324</v>
      </c>
      <c r="N110" s="75">
        <f t="shared" si="10"/>
        <v>444</v>
      </c>
      <c r="O110" s="75">
        <f t="shared" si="11"/>
        <v>25.113122171945701</v>
      </c>
      <c r="P110" s="75">
        <f>VLOOKUP($A110,'Data Vlaue (Cr)'!$C:$FB,119)</f>
        <v>0.65</v>
      </c>
      <c r="Q110" s="75">
        <f>VLOOKUP($A110,'Data Vlaue (Cr)'!$C:$FB,122)*100</f>
        <v>1.5599999999999998</v>
      </c>
      <c r="R110" s="75">
        <f>VLOOKUP($A110,'Data Vlaue (Cr)'!$C:$FB,125)</f>
        <v>0.56999999999999995</v>
      </c>
      <c r="S110" s="75">
        <f>VLOOKUP($A110,'Data Vlaue (Cr)'!$C:$FB,128)*100</f>
        <v>1.79</v>
      </c>
    </row>
    <row r="111" spans="1:19" x14ac:dyDescent="0.25">
      <c r="A111" s="96" t="str">
        <f>'Data Vlaue (Cr)'!C102</f>
        <v>IRCTC</v>
      </c>
      <c r="B111" s="75">
        <f>VLOOKUP($A111,'Data Vlaue (Cr)'!$C:$FB,2)</f>
        <v>875</v>
      </c>
      <c r="C111" s="75">
        <f>VLOOKUP($A111,'Data Vlaue (Cr)'!$C:$FB,8)</f>
        <v>718.9</v>
      </c>
      <c r="D111" s="75">
        <f>VLOOKUP($A111,'Data Vlaue (Cr)'!$C:$FB,4)</f>
        <v>720.95</v>
      </c>
      <c r="E111" s="75">
        <f>VLOOKUP($A111,'Data Vlaue (Cr)'!$C:$FB,5)</f>
        <v>719</v>
      </c>
      <c r="F111" s="75">
        <f t="shared" si="6"/>
        <v>2.0500000000000682</v>
      </c>
      <c r="G111" s="75">
        <f t="shared" si="7"/>
        <v>0.27047645467786191</v>
      </c>
      <c r="H111" s="75">
        <f>VLOOKUP($A111,'Data Vlaue (Cr)'!$C:$FB,99)</f>
        <v>2254</v>
      </c>
      <c r="I111" s="75">
        <f>VLOOKUP($A111,'Data Vlaue (Cr)'!$C:$FB,100)</f>
        <v>2280</v>
      </c>
      <c r="J111" s="75">
        <f t="shared" si="8"/>
        <v>-26</v>
      </c>
      <c r="K111" s="75">
        <f t="shared" si="9"/>
        <v>-1.1535048802129548</v>
      </c>
      <c r="L111" s="75">
        <f>VLOOKUP($A111,'Data Vlaue (Cr)'!$C:$FB,67)</f>
        <v>861</v>
      </c>
      <c r="M111" s="75">
        <f>VLOOKUP($A111,'Data Vlaue (Cr)'!$C:$FB,68)</f>
        <v>1373</v>
      </c>
      <c r="N111" s="75">
        <f t="shared" si="10"/>
        <v>-512</v>
      </c>
      <c r="O111" s="75">
        <f t="shared" si="11"/>
        <v>-59.465737514518004</v>
      </c>
      <c r="P111" s="75">
        <f>VLOOKUP($A111,'Data Vlaue (Cr)'!$C:$FB,119)</f>
        <v>0.49</v>
      </c>
      <c r="Q111" s="75">
        <f>VLOOKUP($A111,'Data Vlaue (Cr)'!$C:$FB,122)*100</f>
        <v>-2</v>
      </c>
      <c r="R111" s="75">
        <f>VLOOKUP($A111,'Data Vlaue (Cr)'!$C:$FB,125)</f>
        <v>0.28999999999999998</v>
      </c>
      <c r="S111" s="75">
        <f>VLOOKUP($A111,'Data Vlaue (Cr)'!$C:$FB,128)*100</f>
        <v>45</v>
      </c>
    </row>
    <row r="112" spans="1:19" x14ac:dyDescent="0.25">
      <c r="A112" s="96" t="str">
        <f>'Data Vlaue (Cr)'!C103</f>
        <v>IREDA</v>
      </c>
      <c r="B112" s="75">
        <f>VLOOKUP($A112,'Data Vlaue (Cr)'!$C:$FB,2)</f>
        <v>3450</v>
      </c>
      <c r="C112" s="75">
        <f>VLOOKUP($A112,'Data Vlaue (Cr)'!$C:$FB,8)</f>
        <v>153.13</v>
      </c>
      <c r="D112" s="75">
        <f>VLOOKUP($A112,'Data Vlaue (Cr)'!$C:$FB,4)</f>
        <v>153.19</v>
      </c>
      <c r="E112" s="75">
        <f>VLOOKUP($A112,'Data Vlaue (Cr)'!$C:$FB,5)</f>
        <v>155.24</v>
      </c>
      <c r="F112" s="75">
        <f t="shared" si="6"/>
        <v>6.0000000000002274E-2</v>
      </c>
      <c r="G112" s="75">
        <f t="shared" si="7"/>
        <v>-1.3382074547947069</v>
      </c>
      <c r="H112" s="75">
        <f>VLOOKUP($A112,'Data Vlaue (Cr)'!$C:$FB,99)</f>
        <v>1837</v>
      </c>
      <c r="I112" s="75">
        <f>VLOOKUP($A112,'Data Vlaue (Cr)'!$C:$FB,100)</f>
        <v>1738</v>
      </c>
      <c r="J112" s="75">
        <f t="shared" si="8"/>
        <v>99</v>
      </c>
      <c r="K112" s="75">
        <f t="shared" si="9"/>
        <v>5.3892215568862278</v>
      </c>
      <c r="L112" s="75">
        <f>VLOOKUP($A112,'Data Vlaue (Cr)'!$C:$FB,67)</f>
        <v>1095</v>
      </c>
      <c r="M112" s="75">
        <f>VLOOKUP($A112,'Data Vlaue (Cr)'!$C:$FB,68)</f>
        <v>4092</v>
      </c>
      <c r="N112" s="75">
        <f t="shared" si="10"/>
        <v>-2997</v>
      </c>
      <c r="O112" s="75">
        <f t="shared" si="11"/>
        <v>-273.69863013698631</v>
      </c>
      <c r="P112" s="75">
        <f>VLOOKUP($A112,'Data Vlaue (Cr)'!$C:$FB,119)</f>
        <v>0.41</v>
      </c>
      <c r="Q112" s="75">
        <f>VLOOKUP($A112,'Data Vlaue (Cr)'!$C:$FB,122)*100</f>
        <v>-2.3800000000000003</v>
      </c>
      <c r="R112" s="75">
        <f>VLOOKUP($A112,'Data Vlaue (Cr)'!$C:$FB,125)</f>
        <v>0.28000000000000003</v>
      </c>
      <c r="S112" s="75">
        <f>VLOOKUP($A112,'Data Vlaue (Cr)'!$C:$FB,128)*100</f>
        <v>-9.68</v>
      </c>
    </row>
    <row r="113" spans="1:19" x14ac:dyDescent="0.25">
      <c r="A113" s="96" t="str">
        <f>'Data Vlaue (Cr)'!C104</f>
        <v>IRFC</v>
      </c>
      <c r="B113" s="75">
        <f>VLOOKUP($A113,'Data Vlaue (Cr)'!$C:$FB,2)</f>
        <v>4250</v>
      </c>
      <c r="C113" s="75">
        <f>VLOOKUP($A113,'Data Vlaue (Cr)'!$C:$FB,8)</f>
        <v>124.72</v>
      </c>
      <c r="D113" s="75">
        <f>VLOOKUP($A113,'Data Vlaue (Cr)'!$C:$FB,4)</f>
        <v>123.84</v>
      </c>
      <c r="E113" s="75">
        <f>VLOOKUP($A113,'Data Vlaue (Cr)'!$C:$FB,5)</f>
        <v>124.16</v>
      </c>
      <c r="F113" s="75">
        <f t="shared" si="6"/>
        <v>-0.87999999999999545</v>
      </c>
      <c r="G113" s="75">
        <f t="shared" si="7"/>
        <v>-0.25839793281653195</v>
      </c>
      <c r="H113" s="75">
        <f>VLOOKUP($A113,'Data Vlaue (Cr)'!$C:$FB,99)</f>
        <v>1397</v>
      </c>
      <c r="I113" s="75">
        <f>VLOOKUP($A113,'Data Vlaue (Cr)'!$C:$FB,100)</f>
        <v>1348</v>
      </c>
      <c r="J113" s="75">
        <f t="shared" si="8"/>
        <v>49</v>
      </c>
      <c r="K113" s="75">
        <f t="shared" si="9"/>
        <v>3.5075161059413031</v>
      </c>
      <c r="L113" s="75">
        <f>VLOOKUP($A113,'Data Vlaue (Cr)'!$C:$FB,67)</f>
        <v>728</v>
      </c>
      <c r="M113" s="75">
        <f>VLOOKUP($A113,'Data Vlaue (Cr)'!$C:$FB,68)</f>
        <v>2131</v>
      </c>
      <c r="N113" s="75">
        <f t="shared" si="10"/>
        <v>-1403</v>
      </c>
      <c r="O113" s="75">
        <f t="shared" si="11"/>
        <v>-192.71978021978023</v>
      </c>
      <c r="P113" s="75">
        <f>VLOOKUP($A113,'Data Vlaue (Cr)'!$C:$FB,119)</f>
        <v>0.43</v>
      </c>
      <c r="Q113" s="75">
        <f>VLOOKUP($A113,'Data Vlaue (Cr)'!$C:$FB,122)*100</f>
        <v>0</v>
      </c>
      <c r="R113" s="75">
        <f>VLOOKUP($A113,'Data Vlaue (Cr)'!$C:$FB,125)</f>
        <v>0.27</v>
      </c>
      <c r="S113" s="75">
        <f>VLOOKUP($A113,'Data Vlaue (Cr)'!$C:$FB,128)*100</f>
        <v>-25</v>
      </c>
    </row>
    <row r="114" spans="1:19" x14ac:dyDescent="0.25">
      <c r="A114" s="96" t="str">
        <f>'Data Vlaue (Cr)'!C105</f>
        <v>ITC</v>
      </c>
      <c r="B114" s="75">
        <f>VLOOKUP($A114,'Data Vlaue (Cr)'!$C:$FB,2)</f>
        <v>1600</v>
      </c>
      <c r="C114" s="75">
        <f>VLOOKUP($A114,'Data Vlaue (Cr)'!$C:$FB,8)</f>
        <v>405.15</v>
      </c>
      <c r="D114" s="75">
        <f>VLOOKUP($A114,'Data Vlaue (Cr)'!$C:$FB,4)</f>
        <v>406.75</v>
      </c>
      <c r="E114" s="75">
        <f>VLOOKUP($A114,'Data Vlaue (Cr)'!$C:$FB,5)</f>
        <v>401.65</v>
      </c>
      <c r="F114" s="75">
        <f t="shared" si="6"/>
        <v>1.6000000000000227</v>
      </c>
      <c r="G114" s="75">
        <f t="shared" si="7"/>
        <v>1.2538414259373136</v>
      </c>
      <c r="H114" s="75">
        <f>VLOOKUP($A114,'Data Vlaue (Cr)'!$C:$FB,99)</f>
        <v>9012</v>
      </c>
      <c r="I114" s="75">
        <f>VLOOKUP($A114,'Data Vlaue (Cr)'!$C:$FB,100)</f>
        <v>9143</v>
      </c>
      <c r="J114" s="75">
        <f t="shared" si="8"/>
        <v>-131</v>
      </c>
      <c r="K114" s="75">
        <f t="shared" si="9"/>
        <v>-1.4536173990235242</v>
      </c>
      <c r="L114" s="75">
        <f>VLOOKUP($A114,'Data Vlaue (Cr)'!$C:$FB,67)</f>
        <v>5763</v>
      </c>
      <c r="M114" s="75">
        <f>VLOOKUP($A114,'Data Vlaue (Cr)'!$C:$FB,68)</f>
        <v>3258</v>
      </c>
      <c r="N114" s="75">
        <f t="shared" si="10"/>
        <v>2505</v>
      </c>
      <c r="O114" s="75">
        <f t="shared" si="11"/>
        <v>43.466944299843831</v>
      </c>
      <c r="P114" s="75">
        <f>VLOOKUP($A114,'Data Vlaue (Cr)'!$C:$FB,119)</f>
        <v>0.74</v>
      </c>
      <c r="Q114" s="75">
        <f>VLOOKUP($A114,'Data Vlaue (Cr)'!$C:$FB,122)*100</f>
        <v>10.45</v>
      </c>
      <c r="R114" s="75">
        <f>VLOOKUP($A114,'Data Vlaue (Cr)'!$C:$FB,125)</f>
        <v>0.56000000000000005</v>
      </c>
      <c r="S114" s="75">
        <f>VLOOKUP($A114,'Data Vlaue (Cr)'!$C:$FB,128)*100</f>
        <v>-21.13</v>
      </c>
    </row>
    <row r="115" spans="1:19" x14ac:dyDescent="0.25">
      <c r="A115" s="96" t="str">
        <f>'Data Vlaue (Cr)'!C106</f>
        <v>JINDALSTEL</v>
      </c>
      <c r="B115" s="75">
        <f>VLOOKUP($A115,'Data Vlaue (Cr)'!$C:$FB,2)</f>
        <v>625</v>
      </c>
      <c r="C115" s="75">
        <f>VLOOKUP($A115,'Data Vlaue (Cr)'!$C:$FB,8)</f>
        <v>1022.8</v>
      </c>
      <c r="D115" s="75">
        <f>VLOOKUP($A115,'Data Vlaue (Cr)'!$C:$FB,4)</f>
        <v>1024.9000000000001</v>
      </c>
      <c r="E115" s="75">
        <f>VLOOKUP($A115,'Data Vlaue (Cr)'!$C:$FB,5)</f>
        <v>1005.8</v>
      </c>
      <c r="F115" s="75">
        <f t="shared" si="6"/>
        <v>2.1000000000001364</v>
      </c>
      <c r="G115" s="75">
        <f t="shared" si="7"/>
        <v>1.8635964484340066</v>
      </c>
      <c r="H115" s="75">
        <f>VLOOKUP($A115,'Data Vlaue (Cr)'!$C:$FB,99)</f>
        <v>2739</v>
      </c>
      <c r="I115" s="75">
        <f>VLOOKUP($A115,'Data Vlaue (Cr)'!$C:$FB,100)</f>
        <v>2879</v>
      </c>
      <c r="J115" s="75">
        <f t="shared" si="8"/>
        <v>-140</v>
      </c>
      <c r="K115" s="75">
        <f t="shared" si="9"/>
        <v>-5.1113545089448698</v>
      </c>
      <c r="L115" s="75">
        <f>VLOOKUP($A115,'Data Vlaue (Cr)'!$C:$FB,67)</f>
        <v>1775</v>
      </c>
      <c r="M115" s="75">
        <f>VLOOKUP($A115,'Data Vlaue (Cr)'!$C:$FB,68)</f>
        <v>1198</v>
      </c>
      <c r="N115" s="75">
        <f t="shared" si="10"/>
        <v>577</v>
      </c>
      <c r="O115" s="75">
        <f t="shared" si="11"/>
        <v>32.507042253521128</v>
      </c>
      <c r="P115" s="75">
        <f>VLOOKUP($A115,'Data Vlaue (Cr)'!$C:$FB,119)</f>
        <v>0.51</v>
      </c>
      <c r="Q115" s="75">
        <f>VLOOKUP($A115,'Data Vlaue (Cr)'!$C:$FB,122)*100</f>
        <v>13.33</v>
      </c>
      <c r="R115" s="75">
        <f>VLOOKUP($A115,'Data Vlaue (Cr)'!$C:$FB,125)</f>
        <v>0.37</v>
      </c>
      <c r="S115" s="75">
        <f>VLOOKUP($A115,'Data Vlaue (Cr)'!$C:$FB,128)*100</f>
        <v>54.169999999999995</v>
      </c>
    </row>
    <row r="116" spans="1:19" x14ac:dyDescent="0.25">
      <c r="A116" s="96" t="str">
        <f>'Data Vlaue (Cr)'!C107</f>
        <v>JIOFIN</v>
      </c>
      <c r="B116" s="75">
        <f>VLOOKUP($A116,'Data Vlaue (Cr)'!$C:$FB,2)</f>
        <v>2350</v>
      </c>
      <c r="C116" s="75">
        <f>VLOOKUP($A116,'Data Vlaue (Cr)'!$C:$FB,8)</f>
        <v>312.10000000000002</v>
      </c>
      <c r="D116" s="75">
        <f>VLOOKUP($A116,'Data Vlaue (Cr)'!$C:$FB,4)</f>
        <v>313.3</v>
      </c>
      <c r="E116" s="75">
        <f>VLOOKUP($A116,'Data Vlaue (Cr)'!$C:$FB,5)</f>
        <v>313.95</v>
      </c>
      <c r="F116" s="75">
        <f t="shared" si="6"/>
        <v>1.1999999999999886</v>
      </c>
      <c r="G116" s="75">
        <f t="shared" si="7"/>
        <v>-0.20746887966804251</v>
      </c>
      <c r="H116" s="75">
        <f>VLOOKUP($A116,'Data Vlaue (Cr)'!$C:$FB,99)</f>
        <v>8083</v>
      </c>
      <c r="I116" s="75">
        <f>VLOOKUP($A116,'Data Vlaue (Cr)'!$C:$FB,100)</f>
        <v>7538</v>
      </c>
      <c r="J116" s="75">
        <f t="shared" si="8"/>
        <v>545</v>
      </c>
      <c r="K116" s="75">
        <f t="shared" si="9"/>
        <v>6.7425460843746139</v>
      </c>
      <c r="L116" s="75">
        <f>VLOOKUP($A116,'Data Vlaue (Cr)'!$C:$FB,67)</f>
        <v>4130</v>
      </c>
      <c r="M116" s="75">
        <f>VLOOKUP($A116,'Data Vlaue (Cr)'!$C:$FB,68)</f>
        <v>5686</v>
      </c>
      <c r="N116" s="75">
        <f t="shared" si="10"/>
        <v>-1556</v>
      </c>
      <c r="O116" s="75">
        <f t="shared" si="11"/>
        <v>-37.675544794188866</v>
      </c>
      <c r="P116" s="75">
        <f>VLOOKUP($A116,'Data Vlaue (Cr)'!$C:$FB,119)</f>
        <v>0.59</v>
      </c>
      <c r="Q116" s="75">
        <f>VLOOKUP($A116,'Data Vlaue (Cr)'!$C:$FB,122)*100</f>
        <v>-6.35</v>
      </c>
      <c r="R116" s="75">
        <f>VLOOKUP($A116,'Data Vlaue (Cr)'!$C:$FB,125)</f>
        <v>0.44</v>
      </c>
      <c r="S116" s="75">
        <f>VLOOKUP($A116,'Data Vlaue (Cr)'!$C:$FB,128)*100</f>
        <v>18.920000000000002</v>
      </c>
    </row>
    <row r="117" spans="1:19" x14ac:dyDescent="0.25">
      <c r="A117" s="96" t="str">
        <f>'Data Vlaue (Cr)'!C108</f>
        <v>JSWENERGY</v>
      </c>
      <c r="B117" s="75">
        <f>VLOOKUP($A117,'Data Vlaue (Cr)'!$C:$FB,2)</f>
        <v>1000</v>
      </c>
      <c r="C117" s="75">
        <f>VLOOKUP($A117,'Data Vlaue (Cr)'!$C:$FB,8)</f>
        <v>548.6</v>
      </c>
      <c r="D117" s="75">
        <f>VLOOKUP($A117,'Data Vlaue (Cr)'!$C:$FB,4)</f>
        <v>549.35</v>
      </c>
      <c r="E117" s="75">
        <f>VLOOKUP($A117,'Data Vlaue (Cr)'!$C:$FB,5)</f>
        <v>546.85</v>
      </c>
      <c r="F117" s="75">
        <f t="shared" si="6"/>
        <v>0.75</v>
      </c>
      <c r="G117" s="75">
        <f t="shared" si="7"/>
        <v>0.45508328024028399</v>
      </c>
      <c r="H117" s="75">
        <f>VLOOKUP($A117,'Data Vlaue (Cr)'!$C:$FB,99)</f>
        <v>2783</v>
      </c>
      <c r="I117" s="75">
        <f>VLOOKUP($A117,'Data Vlaue (Cr)'!$C:$FB,100)</f>
        <v>2767</v>
      </c>
      <c r="J117" s="75">
        <f t="shared" si="8"/>
        <v>16</v>
      </c>
      <c r="K117" s="75">
        <f t="shared" si="9"/>
        <v>0.57491915199425081</v>
      </c>
      <c r="L117" s="75">
        <f>VLOOKUP($A117,'Data Vlaue (Cr)'!$C:$FB,67)</f>
        <v>1041</v>
      </c>
      <c r="M117" s="75">
        <f>VLOOKUP($A117,'Data Vlaue (Cr)'!$C:$FB,68)</f>
        <v>596</v>
      </c>
      <c r="N117" s="75">
        <f t="shared" si="10"/>
        <v>445</v>
      </c>
      <c r="O117" s="75">
        <f t="shared" si="11"/>
        <v>42.74735830931796</v>
      </c>
      <c r="P117" s="75">
        <f>VLOOKUP($A117,'Data Vlaue (Cr)'!$C:$FB,119)</f>
        <v>0.44</v>
      </c>
      <c r="Q117" s="75">
        <f>VLOOKUP($A117,'Data Vlaue (Cr)'!$C:$FB,122)*100</f>
        <v>-4.3499999999999996</v>
      </c>
      <c r="R117" s="75">
        <f>VLOOKUP($A117,'Data Vlaue (Cr)'!$C:$FB,125)</f>
        <v>0.23</v>
      </c>
      <c r="S117" s="75">
        <f>VLOOKUP($A117,'Data Vlaue (Cr)'!$C:$FB,128)*100</f>
        <v>0</v>
      </c>
    </row>
    <row r="118" spans="1:19" x14ac:dyDescent="0.25">
      <c r="A118" s="96" t="str">
        <f>'Data Vlaue (Cr)'!C109</f>
        <v>JSWSTEEL</v>
      </c>
      <c r="B118" s="75">
        <f>VLOOKUP($A118,'Data Vlaue (Cr)'!$C:$FB,2)</f>
        <v>675</v>
      </c>
      <c r="C118" s="75">
        <f>VLOOKUP($A118,'Data Vlaue (Cr)'!$C:$FB,8)</f>
        <v>1172.0999999999999</v>
      </c>
      <c r="D118" s="75">
        <f>VLOOKUP($A118,'Data Vlaue (Cr)'!$C:$FB,4)</f>
        <v>1173.5999999999999</v>
      </c>
      <c r="E118" s="75">
        <f>VLOOKUP($A118,'Data Vlaue (Cr)'!$C:$FB,5)</f>
        <v>1165.5</v>
      </c>
      <c r="F118" s="75">
        <f t="shared" si="6"/>
        <v>1.5</v>
      </c>
      <c r="G118" s="75">
        <f t="shared" si="7"/>
        <v>0.69018404907974684</v>
      </c>
      <c r="H118" s="75">
        <f>VLOOKUP($A118,'Data Vlaue (Cr)'!$C:$FB,99)</f>
        <v>6526</v>
      </c>
      <c r="I118" s="75">
        <f>VLOOKUP($A118,'Data Vlaue (Cr)'!$C:$FB,100)</f>
        <v>6496</v>
      </c>
      <c r="J118" s="75">
        <f t="shared" si="8"/>
        <v>30</v>
      </c>
      <c r="K118" s="75">
        <f t="shared" si="9"/>
        <v>0.45969966288691388</v>
      </c>
      <c r="L118" s="75">
        <f>VLOOKUP($A118,'Data Vlaue (Cr)'!$C:$FB,67)</f>
        <v>1131</v>
      </c>
      <c r="M118" s="75">
        <f>VLOOKUP($A118,'Data Vlaue (Cr)'!$C:$FB,68)</f>
        <v>946</v>
      </c>
      <c r="N118" s="75">
        <f t="shared" si="10"/>
        <v>185</v>
      </c>
      <c r="O118" s="75">
        <f t="shared" si="11"/>
        <v>16.357206012378427</v>
      </c>
      <c r="P118" s="75">
        <f>VLOOKUP($A118,'Data Vlaue (Cr)'!$C:$FB,119)</f>
        <v>0.69</v>
      </c>
      <c r="Q118" s="75">
        <f>VLOOKUP($A118,'Data Vlaue (Cr)'!$C:$FB,122)*100</f>
        <v>6.15</v>
      </c>
      <c r="R118" s="75">
        <f>VLOOKUP($A118,'Data Vlaue (Cr)'!$C:$FB,125)</f>
        <v>0.48</v>
      </c>
      <c r="S118" s="75">
        <f>VLOOKUP($A118,'Data Vlaue (Cr)'!$C:$FB,128)*100</f>
        <v>2.13</v>
      </c>
    </row>
    <row r="119" spans="1:19" x14ac:dyDescent="0.25">
      <c r="A119" s="96" t="str">
        <f>'Data Vlaue (Cr)'!C110</f>
        <v>JUBLFOOD</v>
      </c>
      <c r="B119" s="75">
        <f>VLOOKUP($A119,'Data Vlaue (Cr)'!$C:$FB,2)</f>
        <v>1250</v>
      </c>
      <c r="C119" s="75">
        <f>VLOOKUP($A119,'Data Vlaue (Cr)'!$C:$FB,8)</f>
        <v>595.29999999999995</v>
      </c>
      <c r="D119" s="75">
        <f>VLOOKUP($A119,'Data Vlaue (Cr)'!$C:$FB,4)</f>
        <v>596.5</v>
      </c>
      <c r="E119" s="75">
        <f>VLOOKUP($A119,'Data Vlaue (Cr)'!$C:$FB,5)</f>
        <v>587.25</v>
      </c>
      <c r="F119" s="75">
        <f t="shared" si="6"/>
        <v>1.2000000000000455</v>
      </c>
      <c r="G119" s="75">
        <f t="shared" si="7"/>
        <v>1.5507124895222129</v>
      </c>
      <c r="H119" s="75">
        <f>VLOOKUP($A119,'Data Vlaue (Cr)'!$C:$FB,99)</f>
        <v>2324</v>
      </c>
      <c r="I119" s="75">
        <f>VLOOKUP($A119,'Data Vlaue (Cr)'!$C:$FB,100)</f>
        <v>2435</v>
      </c>
      <c r="J119" s="75">
        <f t="shared" si="8"/>
        <v>-111</v>
      </c>
      <c r="K119" s="75">
        <f t="shared" si="9"/>
        <v>-4.7762478485370057</v>
      </c>
      <c r="L119" s="75">
        <f>VLOOKUP($A119,'Data Vlaue (Cr)'!$C:$FB,67)</f>
        <v>1046</v>
      </c>
      <c r="M119" s="75">
        <f>VLOOKUP($A119,'Data Vlaue (Cr)'!$C:$FB,68)</f>
        <v>816</v>
      </c>
      <c r="N119" s="75">
        <f t="shared" si="10"/>
        <v>230</v>
      </c>
      <c r="O119" s="75">
        <f t="shared" si="11"/>
        <v>21.988527724665392</v>
      </c>
      <c r="P119" s="75">
        <f>VLOOKUP($A119,'Data Vlaue (Cr)'!$C:$FB,119)</f>
        <v>0.43</v>
      </c>
      <c r="Q119" s="75">
        <f>VLOOKUP($A119,'Data Vlaue (Cr)'!$C:$FB,122)*100</f>
        <v>2.3800000000000003</v>
      </c>
      <c r="R119" s="75">
        <f>VLOOKUP($A119,'Data Vlaue (Cr)'!$C:$FB,125)</f>
        <v>0.26</v>
      </c>
      <c r="S119" s="75">
        <f>VLOOKUP($A119,'Data Vlaue (Cr)'!$C:$FB,128)*100</f>
        <v>8.33</v>
      </c>
    </row>
    <row r="120" spans="1:19" x14ac:dyDescent="0.25">
      <c r="A120" s="96" t="str">
        <f>'Data Vlaue (Cr)'!C111</f>
        <v>KALYANKJIL</v>
      </c>
      <c r="B120" s="75">
        <f>VLOOKUP($A120,'Data Vlaue (Cr)'!$C:$FB,2)</f>
        <v>1175</v>
      </c>
      <c r="C120" s="75">
        <f>VLOOKUP($A120,'Data Vlaue (Cr)'!$C:$FB,8)</f>
        <v>487.15</v>
      </c>
      <c r="D120" s="75">
        <f>VLOOKUP($A120,'Data Vlaue (Cr)'!$C:$FB,4)</f>
        <v>488.45</v>
      </c>
      <c r="E120" s="75">
        <f>VLOOKUP($A120,'Data Vlaue (Cr)'!$C:$FB,5)</f>
        <v>478.7</v>
      </c>
      <c r="F120" s="75">
        <f t="shared" si="6"/>
        <v>1.3000000000000114</v>
      </c>
      <c r="G120" s="75">
        <f t="shared" si="7"/>
        <v>1.9961101443341183</v>
      </c>
      <c r="H120" s="75">
        <f>VLOOKUP($A120,'Data Vlaue (Cr)'!$C:$FB,99)</f>
        <v>2683</v>
      </c>
      <c r="I120" s="75">
        <f>VLOOKUP($A120,'Data Vlaue (Cr)'!$C:$FB,100)</f>
        <v>2764</v>
      </c>
      <c r="J120" s="75">
        <f t="shared" si="8"/>
        <v>-81</v>
      </c>
      <c r="K120" s="75">
        <f t="shared" si="9"/>
        <v>-3.0190085724934774</v>
      </c>
      <c r="L120" s="75">
        <f>VLOOKUP($A120,'Data Vlaue (Cr)'!$C:$FB,67)</f>
        <v>2313</v>
      </c>
      <c r="M120" s="75">
        <f>VLOOKUP($A120,'Data Vlaue (Cr)'!$C:$FB,68)</f>
        <v>945</v>
      </c>
      <c r="N120" s="75">
        <f t="shared" si="10"/>
        <v>1368</v>
      </c>
      <c r="O120" s="75">
        <f t="shared" si="11"/>
        <v>59.143968871595334</v>
      </c>
      <c r="P120" s="75">
        <f>VLOOKUP($A120,'Data Vlaue (Cr)'!$C:$FB,119)</f>
        <v>0.49</v>
      </c>
      <c r="Q120" s="75">
        <f>VLOOKUP($A120,'Data Vlaue (Cr)'!$C:$FB,122)*100</f>
        <v>0</v>
      </c>
      <c r="R120" s="75">
        <f>VLOOKUP($A120,'Data Vlaue (Cr)'!$C:$FB,125)</f>
        <v>0.37</v>
      </c>
      <c r="S120" s="75">
        <f>VLOOKUP($A120,'Data Vlaue (Cr)'!$C:$FB,128)*100</f>
        <v>15.620000000000001</v>
      </c>
    </row>
    <row r="121" spans="1:19" x14ac:dyDescent="0.25">
      <c r="A121" s="96" t="str">
        <f>'Data Vlaue (Cr)'!C112</f>
        <v>KAYNES</v>
      </c>
      <c r="B121" s="75">
        <f>VLOOKUP($A121,'Data Vlaue (Cr)'!$C:$FB,2)</f>
        <v>100</v>
      </c>
      <c r="C121" s="75">
        <f>VLOOKUP($A121,'Data Vlaue (Cr)'!$C:$FB,8)</f>
        <v>6991.5</v>
      </c>
      <c r="D121" s="75">
        <f>VLOOKUP($A121,'Data Vlaue (Cr)'!$C:$FB,4)</f>
        <v>6999</v>
      </c>
      <c r="E121" s="75">
        <f>VLOOKUP($A121,'Data Vlaue (Cr)'!$C:$FB,5)</f>
        <v>6970.5</v>
      </c>
      <c r="F121" s="75">
        <f t="shared" si="6"/>
        <v>7.5</v>
      </c>
      <c r="G121" s="75">
        <f t="shared" si="7"/>
        <v>0.40720102871838837</v>
      </c>
      <c r="H121" s="75">
        <f>VLOOKUP($A121,'Data Vlaue (Cr)'!$C:$FB,99)</f>
        <v>3363</v>
      </c>
      <c r="I121" s="75">
        <f>VLOOKUP($A121,'Data Vlaue (Cr)'!$C:$FB,100)</f>
        <v>3233</v>
      </c>
      <c r="J121" s="75">
        <f t="shared" si="8"/>
        <v>130</v>
      </c>
      <c r="K121" s="75">
        <f t="shared" si="9"/>
        <v>3.8655961938745169</v>
      </c>
      <c r="L121" s="75">
        <f>VLOOKUP($A121,'Data Vlaue (Cr)'!$C:$FB,67)</f>
        <v>3726</v>
      </c>
      <c r="M121" s="75">
        <f>VLOOKUP($A121,'Data Vlaue (Cr)'!$C:$FB,68)</f>
        <v>2015</v>
      </c>
      <c r="N121" s="75">
        <f t="shared" si="10"/>
        <v>1711</v>
      </c>
      <c r="O121" s="75">
        <f t="shared" si="11"/>
        <v>45.920558239398815</v>
      </c>
      <c r="P121" s="75">
        <f>VLOOKUP($A121,'Data Vlaue (Cr)'!$C:$FB,119)</f>
        <v>0.42</v>
      </c>
      <c r="Q121" s="75">
        <f>VLOOKUP($A121,'Data Vlaue (Cr)'!$C:$FB,122)*100</f>
        <v>-4.55</v>
      </c>
      <c r="R121" s="75">
        <f>VLOOKUP($A121,'Data Vlaue (Cr)'!$C:$FB,125)</f>
        <v>0.28000000000000003</v>
      </c>
      <c r="S121" s="75">
        <f>VLOOKUP($A121,'Data Vlaue (Cr)'!$C:$FB,128)*100</f>
        <v>-24.32</v>
      </c>
    </row>
    <row r="122" spans="1:19" x14ac:dyDescent="0.25">
      <c r="A122" s="96" t="str">
        <f>'Data Vlaue (Cr)'!C113</f>
        <v>KEI</v>
      </c>
      <c r="B122" s="75">
        <f>VLOOKUP($A122,'Data Vlaue (Cr)'!$C:$FB,2)</f>
        <v>175</v>
      </c>
      <c r="C122" s="75">
        <f>VLOOKUP($A122,'Data Vlaue (Cr)'!$C:$FB,8)</f>
        <v>4172.6000000000004</v>
      </c>
      <c r="D122" s="75">
        <f>VLOOKUP($A122,'Data Vlaue (Cr)'!$C:$FB,4)</f>
        <v>4171.5</v>
      </c>
      <c r="E122" s="75">
        <f>VLOOKUP($A122,'Data Vlaue (Cr)'!$C:$FB,5)</f>
        <v>4436.2</v>
      </c>
      <c r="F122" s="75">
        <f t="shared" si="6"/>
        <v>-1.1000000000003638</v>
      </c>
      <c r="G122" s="75">
        <f t="shared" si="7"/>
        <v>-6.3454392904231049</v>
      </c>
      <c r="H122" s="75">
        <f>VLOOKUP($A122,'Data Vlaue (Cr)'!$C:$FB,99)</f>
        <v>1776</v>
      </c>
      <c r="I122" s="75">
        <f>VLOOKUP($A122,'Data Vlaue (Cr)'!$C:$FB,100)</f>
        <v>1106</v>
      </c>
      <c r="J122" s="75">
        <f t="shared" si="8"/>
        <v>670</v>
      </c>
      <c r="K122" s="75">
        <f t="shared" si="9"/>
        <v>37.725225225225223</v>
      </c>
      <c r="L122" s="75">
        <f>VLOOKUP($A122,'Data Vlaue (Cr)'!$C:$FB,67)</f>
        <v>8299</v>
      </c>
      <c r="M122" s="75">
        <f>VLOOKUP($A122,'Data Vlaue (Cr)'!$C:$FB,68)</f>
        <v>2261</v>
      </c>
      <c r="N122" s="75">
        <f t="shared" si="10"/>
        <v>6038</v>
      </c>
      <c r="O122" s="75">
        <f t="shared" si="11"/>
        <v>72.75575370526569</v>
      </c>
      <c r="P122" s="75">
        <f>VLOOKUP($A122,'Data Vlaue (Cr)'!$C:$FB,119)</f>
        <v>0.38</v>
      </c>
      <c r="Q122" s="75">
        <f>VLOOKUP($A122,'Data Vlaue (Cr)'!$C:$FB,122)*100</f>
        <v>-43.28</v>
      </c>
      <c r="R122" s="75">
        <f>VLOOKUP($A122,'Data Vlaue (Cr)'!$C:$FB,125)</f>
        <v>0.41</v>
      </c>
      <c r="S122" s="75">
        <f>VLOOKUP($A122,'Data Vlaue (Cr)'!$C:$FB,128)*100</f>
        <v>13.889999999999999</v>
      </c>
    </row>
    <row r="123" spans="1:19" x14ac:dyDescent="0.25">
      <c r="A123" s="96" t="str">
        <f>'Data Vlaue (Cr)'!C114</f>
        <v>KFINTECH</v>
      </c>
      <c r="B123" s="75">
        <f>VLOOKUP($A123,'Data Vlaue (Cr)'!$C:$FB,2)</f>
        <v>450</v>
      </c>
      <c r="C123" s="75">
        <f>VLOOKUP($A123,'Data Vlaue (Cr)'!$C:$FB,8)</f>
        <v>1123.9000000000001</v>
      </c>
      <c r="D123" s="75">
        <f>VLOOKUP($A123,'Data Vlaue (Cr)'!$C:$FB,4)</f>
        <v>1127.5999999999999</v>
      </c>
      <c r="E123" s="75">
        <f>VLOOKUP($A123,'Data Vlaue (Cr)'!$C:$FB,5)</f>
        <v>1131.5</v>
      </c>
      <c r="F123" s="75">
        <f t="shared" si="6"/>
        <v>3.6999999999998181</v>
      </c>
      <c r="G123" s="75">
        <f t="shared" si="7"/>
        <v>-0.34586732884002225</v>
      </c>
      <c r="H123" s="75">
        <f>VLOOKUP($A123,'Data Vlaue (Cr)'!$C:$FB,99)</f>
        <v>602</v>
      </c>
      <c r="I123" s="75">
        <f>VLOOKUP($A123,'Data Vlaue (Cr)'!$C:$FB,100)</f>
        <v>597</v>
      </c>
      <c r="J123" s="75">
        <f t="shared" si="8"/>
        <v>5</v>
      </c>
      <c r="K123" s="75">
        <f t="shared" si="9"/>
        <v>0.83056478405315626</v>
      </c>
      <c r="L123" s="75">
        <f>VLOOKUP($A123,'Data Vlaue (Cr)'!$C:$FB,67)</f>
        <v>303</v>
      </c>
      <c r="M123" s="75">
        <f>VLOOKUP($A123,'Data Vlaue (Cr)'!$C:$FB,68)</f>
        <v>472</v>
      </c>
      <c r="N123" s="75">
        <f t="shared" si="10"/>
        <v>-169</v>
      </c>
      <c r="O123" s="75">
        <f t="shared" si="11"/>
        <v>-55.775577557755774</v>
      </c>
      <c r="P123" s="75">
        <f>VLOOKUP($A123,'Data Vlaue (Cr)'!$C:$FB,119)</f>
        <v>0.56000000000000005</v>
      </c>
      <c r="Q123" s="75">
        <f>VLOOKUP($A123,'Data Vlaue (Cr)'!$C:$FB,122)*100</f>
        <v>3.6999999999999997</v>
      </c>
      <c r="R123" s="75">
        <f>VLOOKUP($A123,'Data Vlaue (Cr)'!$C:$FB,125)</f>
        <v>0.51</v>
      </c>
      <c r="S123" s="75">
        <f>VLOOKUP($A123,'Data Vlaue (Cr)'!$C:$FB,128)*100</f>
        <v>37.840000000000003</v>
      </c>
    </row>
    <row r="124" spans="1:19" x14ac:dyDescent="0.25">
      <c r="A124" s="96" t="str">
        <f>'Data Vlaue (Cr)'!C115</f>
        <v>KOTAKBANK</v>
      </c>
      <c r="B124" s="75">
        <f>VLOOKUP($A124,'Data Vlaue (Cr)'!$C:$FB,2)</f>
        <v>400</v>
      </c>
      <c r="C124" s="75">
        <f>VLOOKUP($A124,'Data Vlaue (Cr)'!$C:$FB,8)</f>
        <v>2205.4</v>
      </c>
      <c r="D124" s="75">
        <f>VLOOKUP($A124,'Data Vlaue (Cr)'!$C:$FB,4)</f>
        <v>2208</v>
      </c>
      <c r="E124" s="75">
        <f>VLOOKUP($A124,'Data Vlaue (Cr)'!$C:$FB,5)</f>
        <v>2153</v>
      </c>
      <c r="F124" s="75">
        <f t="shared" si="6"/>
        <v>2.5999999999999091</v>
      </c>
      <c r="G124" s="75">
        <f t="shared" si="7"/>
        <v>2.4909420289855073</v>
      </c>
      <c r="H124" s="75">
        <f>VLOOKUP($A124,'Data Vlaue (Cr)'!$C:$FB,99)</f>
        <v>11483</v>
      </c>
      <c r="I124" s="75">
        <f>VLOOKUP($A124,'Data Vlaue (Cr)'!$C:$FB,100)</f>
        <v>11181</v>
      </c>
      <c r="J124" s="75">
        <f t="shared" si="8"/>
        <v>302</v>
      </c>
      <c r="K124" s="75">
        <f t="shared" si="9"/>
        <v>2.6299747452756246</v>
      </c>
      <c r="L124" s="75">
        <f>VLOOKUP($A124,'Data Vlaue (Cr)'!$C:$FB,67)</f>
        <v>12310</v>
      </c>
      <c r="M124" s="75">
        <f>VLOOKUP($A124,'Data Vlaue (Cr)'!$C:$FB,68)</f>
        <v>3245</v>
      </c>
      <c r="N124" s="75">
        <f t="shared" si="10"/>
        <v>9065</v>
      </c>
      <c r="O124" s="75">
        <f t="shared" si="11"/>
        <v>73.639317627944763</v>
      </c>
      <c r="P124" s="75">
        <f>VLOOKUP($A124,'Data Vlaue (Cr)'!$C:$FB,119)</f>
        <v>1.0900000000000001</v>
      </c>
      <c r="Q124" s="75">
        <f>VLOOKUP($A124,'Data Vlaue (Cr)'!$C:$FB,122)*100</f>
        <v>7.9200000000000008</v>
      </c>
      <c r="R124" s="75">
        <f>VLOOKUP($A124,'Data Vlaue (Cr)'!$C:$FB,125)</f>
        <v>0.66</v>
      </c>
      <c r="S124" s="75">
        <f>VLOOKUP($A124,'Data Vlaue (Cr)'!$C:$FB,128)*100</f>
        <v>-1.49</v>
      </c>
    </row>
    <row r="125" spans="1:19" x14ac:dyDescent="0.25">
      <c r="A125" s="96" t="str">
        <f>'Data Vlaue (Cr)'!C116</f>
        <v>KPITTECH</v>
      </c>
      <c r="B125" s="75">
        <f>VLOOKUP($A125,'Data Vlaue (Cr)'!$C:$FB,2)</f>
        <v>400</v>
      </c>
      <c r="C125" s="75">
        <f>VLOOKUP($A125,'Data Vlaue (Cr)'!$C:$FB,8)</f>
        <v>1161.9000000000001</v>
      </c>
      <c r="D125" s="75">
        <f>VLOOKUP($A125,'Data Vlaue (Cr)'!$C:$FB,4)</f>
        <v>1163.0999999999999</v>
      </c>
      <c r="E125" s="75">
        <f>VLOOKUP($A125,'Data Vlaue (Cr)'!$C:$FB,5)</f>
        <v>1162</v>
      </c>
      <c r="F125" s="75">
        <f t="shared" si="6"/>
        <v>1.1999999999998181</v>
      </c>
      <c r="G125" s="75">
        <f t="shared" si="7"/>
        <v>9.4574843091729782E-2</v>
      </c>
      <c r="H125" s="75">
        <f>VLOOKUP($A125,'Data Vlaue (Cr)'!$C:$FB,99)</f>
        <v>1225</v>
      </c>
      <c r="I125" s="75">
        <f>VLOOKUP($A125,'Data Vlaue (Cr)'!$C:$FB,100)</f>
        <v>1263</v>
      </c>
      <c r="J125" s="75">
        <f t="shared" si="8"/>
        <v>-38</v>
      </c>
      <c r="K125" s="75">
        <f t="shared" si="9"/>
        <v>-3.1020408163265305</v>
      </c>
      <c r="L125" s="75">
        <f>VLOOKUP($A125,'Data Vlaue (Cr)'!$C:$FB,67)</f>
        <v>333</v>
      </c>
      <c r="M125" s="75">
        <f>VLOOKUP($A125,'Data Vlaue (Cr)'!$C:$FB,68)</f>
        <v>367</v>
      </c>
      <c r="N125" s="75">
        <f t="shared" si="10"/>
        <v>-34</v>
      </c>
      <c r="O125" s="75">
        <f t="shared" si="11"/>
        <v>-10.21021021021021</v>
      </c>
      <c r="P125" s="75">
        <f>VLOOKUP($A125,'Data Vlaue (Cr)'!$C:$FB,119)</f>
        <v>0.69</v>
      </c>
      <c r="Q125" s="75">
        <f>VLOOKUP($A125,'Data Vlaue (Cr)'!$C:$FB,122)*100</f>
        <v>2.9899999999999998</v>
      </c>
      <c r="R125" s="75">
        <f>VLOOKUP($A125,'Data Vlaue (Cr)'!$C:$FB,125)</f>
        <v>0.45</v>
      </c>
      <c r="S125" s="75">
        <f>VLOOKUP($A125,'Data Vlaue (Cr)'!$C:$FB,128)*100</f>
        <v>36.36</v>
      </c>
    </row>
    <row r="126" spans="1:19" x14ac:dyDescent="0.25">
      <c r="A126" s="96" t="str">
        <f>'Data Vlaue (Cr)'!C117</f>
        <v>LAURUSLABS</v>
      </c>
      <c r="B126" s="75">
        <f>VLOOKUP($A126,'Data Vlaue (Cr)'!$C:$FB,2)</f>
        <v>1700</v>
      </c>
      <c r="C126" s="75">
        <f>VLOOKUP($A126,'Data Vlaue (Cr)'!$C:$FB,8)</f>
        <v>872.85</v>
      </c>
      <c r="D126" s="75">
        <f>VLOOKUP($A126,'Data Vlaue (Cr)'!$C:$FB,4)</f>
        <v>876.6</v>
      </c>
      <c r="E126" s="75">
        <f>VLOOKUP($A126,'Data Vlaue (Cr)'!$C:$FB,5)</f>
        <v>879.35</v>
      </c>
      <c r="F126" s="75">
        <f t="shared" si="6"/>
        <v>3.75</v>
      </c>
      <c r="G126" s="75">
        <f t="shared" si="7"/>
        <v>-0.31371206935888657</v>
      </c>
      <c r="H126" s="75">
        <f>VLOOKUP($A126,'Data Vlaue (Cr)'!$C:$FB,99)</f>
        <v>4273</v>
      </c>
      <c r="I126" s="75">
        <f>VLOOKUP($A126,'Data Vlaue (Cr)'!$C:$FB,100)</f>
        <v>4153</v>
      </c>
      <c r="J126" s="75">
        <f t="shared" si="8"/>
        <v>120</v>
      </c>
      <c r="K126" s="75">
        <f t="shared" si="9"/>
        <v>2.808331383103206</v>
      </c>
      <c r="L126" s="75">
        <f>VLOOKUP($A126,'Data Vlaue (Cr)'!$C:$FB,67)</f>
        <v>1521</v>
      </c>
      <c r="M126" s="75">
        <f>VLOOKUP($A126,'Data Vlaue (Cr)'!$C:$FB,68)</f>
        <v>1151</v>
      </c>
      <c r="N126" s="75">
        <f t="shared" si="10"/>
        <v>370</v>
      </c>
      <c r="O126" s="75">
        <f t="shared" si="11"/>
        <v>24.326101249178173</v>
      </c>
      <c r="P126" s="75">
        <f>VLOOKUP($A126,'Data Vlaue (Cr)'!$C:$FB,119)</f>
        <v>0.54</v>
      </c>
      <c r="Q126" s="75">
        <f>VLOOKUP($A126,'Data Vlaue (Cr)'!$C:$FB,122)*100</f>
        <v>0</v>
      </c>
      <c r="R126" s="75">
        <f>VLOOKUP($A126,'Data Vlaue (Cr)'!$C:$FB,125)</f>
        <v>0.38</v>
      </c>
      <c r="S126" s="75">
        <f>VLOOKUP($A126,'Data Vlaue (Cr)'!$C:$FB,128)*100</f>
        <v>-15.559999999999999</v>
      </c>
    </row>
    <row r="127" spans="1:19" x14ac:dyDescent="0.25">
      <c r="A127" s="96" t="str">
        <f>'Data Vlaue (Cr)'!C118</f>
        <v>LICHSGFIN</v>
      </c>
      <c r="B127" s="75">
        <f>VLOOKUP($A127,'Data Vlaue (Cr)'!$C:$FB,2)</f>
        <v>1000</v>
      </c>
      <c r="C127" s="75">
        <f>VLOOKUP($A127,'Data Vlaue (Cr)'!$C:$FB,8)</f>
        <v>569.29999999999995</v>
      </c>
      <c r="D127" s="75">
        <f>VLOOKUP($A127,'Data Vlaue (Cr)'!$C:$FB,4)</f>
        <v>570.25</v>
      </c>
      <c r="E127" s="75">
        <f>VLOOKUP($A127,'Data Vlaue (Cr)'!$C:$FB,5)</f>
        <v>571.6</v>
      </c>
      <c r="F127" s="75">
        <f t="shared" si="6"/>
        <v>0.95000000000004547</v>
      </c>
      <c r="G127" s="75">
        <f t="shared" si="7"/>
        <v>-0.23673827268742179</v>
      </c>
      <c r="H127" s="75">
        <f>VLOOKUP($A127,'Data Vlaue (Cr)'!$C:$FB,99)</f>
        <v>2794</v>
      </c>
      <c r="I127" s="75">
        <f>VLOOKUP($A127,'Data Vlaue (Cr)'!$C:$FB,100)</f>
        <v>2750</v>
      </c>
      <c r="J127" s="75">
        <f t="shared" si="8"/>
        <v>44</v>
      </c>
      <c r="K127" s="75">
        <f t="shared" si="9"/>
        <v>1.5748031496062991</v>
      </c>
      <c r="L127" s="75">
        <f>VLOOKUP($A127,'Data Vlaue (Cr)'!$C:$FB,67)</f>
        <v>508</v>
      </c>
      <c r="M127" s="75">
        <f>VLOOKUP($A127,'Data Vlaue (Cr)'!$C:$FB,68)</f>
        <v>511</v>
      </c>
      <c r="N127" s="75">
        <f t="shared" si="10"/>
        <v>-3</v>
      </c>
      <c r="O127" s="75">
        <f t="shared" si="11"/>
        <v>-0.59055118110236215</v>
      </c>
      <c r="P127" s="75">
        <f>VLOOKUP($A127,'Data Vlaue (Cr)'!$C:$FB,119)</f>
        <v>0.71</v>
      </c>
      <c r="Q127" s="75">
        <f>VLOOKUP($A127,'Data Vlaue (Cr)'!$C:$FB,122)*100</f>
        <v>-4.05</v>
      </c>
      <c r="R127" s="75">
        <f>VLOOKUP($A127,'Data Vlaue (Cr)'!$C:$FB,125)</f>
        <v>0.36</v>
      </c>
      <c r="S127" s="75">
        <f>VLOOKUP($A127,'Data Vlaue (Cr)'!$C:$FB,128)*100</f>
        <v>-16.28</v>
      </c>
    </row>
    <row r="128" spans="1:19" x14ac:dyDescent="0.25">
      <c r="A128" s="96" t="str">
        <f>'Data Vlaue (Cr)'!C119</f>
        <v>LICI</v>
      </c>
      <c r="B128" s="75">
        <f>VLOOKUP($A128,'Data Vlaue (Cr)'!$C:$FB,2)</f>
        <v>700</v>
      </c>
      <c r="C128" s="75">
        <f>VLOOKUP($A128,'Data Vlaue (Cr)'!$C:$FB,8)</f>
        <v>894.15</v>
      </c>
      <c r="D128" s="75">
        <f>VLOOKUP($A128,'Data Vlaue (Cr)'!$C:$FB,4)</f>
        <v>894.85</v>
      </c>
      <c r="E128" s="75">
        <f>VLOOKUP($A128,'Data Vlaue (Cr)'!$C:$FB,5)</f>
        <v>902.7</v>
      </c>
      <c r="F128" s="75">
        <f t="shared" si="6"/>
        <v>0.70000000000004547</v>
      </c>
      <c r="G128" s="75">
        <f t="shared" si="7"/>
        <v>-0.87724199586523133</v>
      </c>
      <c r="H128" s="75">
        <f>VLOOKUP($A128,'Data Vlaue (Cr)'!$C:$FB,99)</f>
        <v>1420</v>
      </c>
      <c r="I128" s="75">
        <f>VLOOKUP($A128,'Data Vlaue (Cr)'!$C:$FB,100)</f>
        <v>1374</v>
      </c>
      <c r="J128" s="75">
        <f t="shared" si="8"/>
        <v>46</v>
      </c>
      <c r="K128" s="75">
        <f t="shared" si="9"/>
        <v>3.2394366197183095</v>
      </c>
      <c r="L128" s="75">
        <f>VLOOKUP($A128,'Data Vlaue (Cr)'!$C:$FB,67)</f>
        <v>774</v>
      </c>
      <c r="M128" s="75">
        <f>VLOOKUP($A128,'Data Vlaue (Cr)'!$C:$FB,68)</f>
        <v>467</v>
      </c>
      <c r="N128" s="75">
        <f t="shared" si="10"/>
        <v>307</v>
      </c>
      <c r="O128" s="75">
        <f t="shared" si="11"/>
        <v>39.664082687338507</v>
      </c>
      <c r="P128" s="75">
        <f>VLOOKUP($A128,'Data Vlaue (Cr)'!$C:$FB,119)</f>
        <v>0.44</v>
      </c>
      <c r="Q128" s="75">
        <f>VLOOKUP($A128,'Data Vlaue (Cr)'!$C:$FB,122)*100</f>
        <v>2.33</v>
      </c>
      <c r="R128" s="75">
        <f>VLOOKUP($A128,'Data Vlaue (Cr)'!$C:$FB,125)</f>
        <v>0.45</v>
      </c>
      <c r="S128" s="75">
        <f>VLOOKUP($A128,'Data Vlaue (Cr)'!$C:$FB,128)*100</f>
        <v>40.630000000000003</v>
      </c>
    </row>
    <row r="129" spans="1:19" x14ac:dyDescent="0.25">
      <c r="A129" s="96" t="str">
        <f>'Data Vlaue (Cr)'!C120</f>
        <v>LODHA</v>
      </c>
      <c r="B129" s="75">
        <f>VLOOKUP($A129,'Data Vlaue (Cr)'!$C:$FB,2)</f>
        <v>450</v>
      </c>
      <c r="C129" s="75">
        <f>VLOOKUP($A129,'Data Vlaue (Cr)'!$C:$FB,8)</f>
        <v>1194.8</v>
      </c>
      <c r="D129" s="75">
        <f>VLOOKUP($A129,'Data Vlaue (Cr)'!$C:$FB,4)</f>
        <v>1196</v>
      </c>
      <c r="E129" s="75">
        <f>VLOOKUP($A129,'Data Vlaue (Cr)'!$C:$FB,5)</f>
        <v>1174.5</v>
      </c>
      <c r="F129" s="75">
        <f t="shared" si="6"/>
        <v>1.2000000000000455</v>
      </c>
      <c r="G129" s="75">
        <f t="shared" si="7"/>
        <v>1.797658862876254</v>
      </c>
      <c r="H129" s="75">
        <f>VLOOKUP($A129,'Data Vlaue (Cr)'!$C:$FB,99)</f>
        <v>2000</v>
      </c>
      <c r="I129" s="75">
        <f>VLOOKUP($A129,'Data Vlaue (Cr)'!$C:$FB,100)</f>
        <v>2175</v>
      </c>
      <c r="J129" s="75">
        <f t="shared" si="8"/>
        <v>-175</v>
      </c>
      <c r="K129" s="75">
        <f t="shared" si="9"/>
        <v>-8.75</v>
      </c>
      <c r="L129" s="75">
        <f>VLOOKUP($A129,'Data Vlaue (Cr)'!$C:$FB,67)</f>
        <v>1784</v>
      </c>
      <c r="M129" s="75">
        <f>VLOOKUP($A129,'Data Vlaue (Cr)'!$C:$FB,68)</f>
        <v>2270</v>
      </c>
      <c r="N129" s="75">
        <f t="shared" si="10"/>
        <v>-486</v>
      </c>
      <c r="O129" s="75">
        <f t="shared" si="11"/>
        <v>-27.242152466367713</v>
      </c>
      <c r="P129" s="75">
        <f>VLOOKUP($A129,'Data Vlaue (Cr)'!$C:$FB,119)</f>
        <v>0.67</v>
      </c>
      <c r="Q129" s="75">
        <f>VLOOKUP($A129,'Data Vlaue (Cr)'!$C:$FB,122)*100</f>
        <v>13.56</v>
      </c>
      <c r="R129" s="75">
        <f>VLOOKUP($A129,'Data Vlaue (Cr)'!$C:$FB,125)</f>
        <v>0.24</v>
      </c>
      <c r="S129" s="75">
        <f>VLOOKUP($A129,'Data Vlaue (Cr)'!$C:$FB,128)*100</f>
        <v>-11.110000000000001</v>
      </c>
    </row>
    <row r="130" spans="1:19" x14ac:dyDescent="0.25">
      <c r="A130" s="96" t="str">
        <f>'Data Vlaue (Cr)'!C121</f>
        <v>LT</v>
      </c>
      <c r="B130" s="75">
        <f>VLOOKUP($A130,'Data Vlaue (Cr)'!$C:$FB,2)</f>
        <v>175</v>
      </c>
      <c r="C130" s="75">
        <f>VLOOKUP($A130,'Data Vlaue (Cr)'!$C:$FB,8)</f>
        <v>3861.8</v>
      </c>
      <c r="D130" s="75">
        <f>VLOOKUP($A130,'Data Vlaue (Cr)'!$C:$FB,4)</f>
        <v>3866.7</v>
      </c>
      <c r="E130" s="75">
        <f>VLOOKUP($A130,'Data Vlaue (Cr)'!$C:$FB,5)</f>
        <v>3836.6</v>
      </c>
      <c r="F130" s="75">
        <f t="shared" si="6"/>
        <v>4.8999999999996362</v>
      </c>
      <c r="G130" s="75">
        <f t="shared" si="7"/>
        <v>0.77844156515891871</v>
      </c>
      <c r="H130" s="75">
        <f>VLOOKUP($A130,'Data Vlaue (Cr)'!$C:$FB,99)</f>
        <v>11009</v>
      </c>
      <c r="I130" s="75">
        <f>VLOOKUP($A130,'Data Vlaue (Cr)'!$C:$FB,100)</f>
        <v>10787</v>
      </c>
      <c r="J130" s="75">
        <f t="shared" si="8"/>
        <v>222</v>
      </c>
      <c r="K130" s="75">
        <f t="shared" si="9"/>
        <v>2.0165319284222001</v>
      </c>
      <c r="L130" s="75">
        <f>VLOOKUP($A130,'Data Vlaue (Cr)'!$C:$FB,67)</f>
        <v>8627</v>
      </c>
      <c r="M130" s="75">
        <f>VLOOKUP($A130,'Data Vlaue (Cr)'!$C:$FB,68)</f>
        <v>11491</v>
      </c>
      <c r="N130" s="75">
        <f t="shared" si="10"/>
        <v>-2864</v>
      </c>
      <c r="O130" s="75">
        <f t="shared" si="11"/>
        <v>-33.198098991538195</v>
      </c>
      <c r="P130" s="75">
        <f>VLOOKUP($A130,'Data Vlaue (Cr)'!$C:$FB,119)</f>
        <v>0.62</v>
      </c>
      <c r="Q130" s="75">
        <f>VLOOKUP($A130,'Data Vlaue (Cr)'!$C:$FB,122)*100</f>
        <v>12.73</v>
      </c>
      <c r="R130" s="75">
        <f>VLOOKUP($A130,'Data Vlaue (Cr)'!$C:$FB,125)</f>
        <v>0.57999999999999996</v>
      </c>
      <c r="S130" s="75">
        <f>VLOOKUP($A130,'Data Vlaue (Cr)'!$C:$FB,128)*100</f>
        <v>13.73</v>
      </c>
    </row>
    <row r="131" spans="1:19" x14ac:dyDescent="0.25">
      <c r="A131" s="96" t="str">
        <f>'Data Vlaue (Cr)'!C122</f>
        <v>LTF</v>
      </c>
      <c r="B131" s="75">
        <f>VLOOKUP($A131,'Data Vlaue (Cr)'!$C:$FB,2)</f>
        <v>4462</v>
      </c>
      <c r="C131" s="75">
        <f>VLOOKUP($A131,'Data Vlaue (Cr)'!$C:$FB,8)</f>
        <v>269.19</v>
      </c>
      <c r="D131" s="75">
        <f>VLOOKUP($A131,'Data Vlaue (Cr)'!$C:$FB,4)</f>
        <v>269.57</v>
      </c>
      <c r="E131" s="75">
        <f>VLOOKUP($A131,'Data Vlaue (Cr)'!$C:$FB,5)</f>
        <v>272.06</v>
      </c>
      <c r="F131" s="75">
        <f t="shared" si="6"/>
        <v>0.37999999999999545</v>
      </c>
      <c r="G131" s="75">
        <f t="shared" si="7"/>
        <v>-0.9236932893126123</v>
      </c>
      <c r="H131" s="75">
        <f>VLOOKUP($A131,'Data Vlaue (Cr)'!$C:$FB,99)</f>
        <v>3269</v>
      </c>
      <c r="I131" s="75">
        <f>VLOOKUP($A131,'Data Vlaue (Cr)'!$C:$FB,100)</f>
        <v>3178</v>
      </c>
      <c r="J131" s="75">
        <f t="shared" si="8"/>
        <v>91</v>
      </c>
      <c r="K131" s="75">
        <f t="shared" si="9"/>
        <v>2.7837259100642395</v>
      </c>
      <c r="L131" s="75">
        <f>VLOOKUP($A131,'Data Vlaue (Cr)'!$C:$FB,67)</f>
        <v>7694</v>
      </c>
      <c r="M131" s="75">
        <f>VLOOKUP($A131,'Data Vlaue (Cr)'!$C:$FB,68)</f>
        <v>4088</v>
      </c>
      <c r="N131" s="75">
        <f t="shared" si="10"/>
        <v>3606</v>
      </c>
      <c r="O131" s="75">
        <f t="shared" si="11"/>
        <v>46.867689108396156</v>
      </c>
      <c r="P131" s="75">
        <f>VLOOKUP($A131,'Data Vlaue (Cr)'!$C:$FB,119)</f>
        <v>0.99</v>
      </c>
      <c r="Q131" s="75">
        <f>VLOOKUP($A131,'Data Vlaue (Cr)'!$C:$FB,122)*100</f>
        <v>0</v>
      </c>
      <c r="R131" s="75">
        <f>VLOOKUP($A131,'Data Vlaue (Cr)'!$C:$FB,125)</f>
        <v>0.65</v>
      </c>
      <c r="S131" s="75">
        <f>VLOOKUP($A131,'Data Vlaue (Cr)'!$C:$FB,128)*100</f>
        <v>14.04</v>
      </c>
    </row>
    <row r="132" spans="1:19" x14ac:dyDescent="0.25">
      <c r="A132" s="96" t="str">
        <f>'Data Vlaue (Cr)'!C123</f>
        <v>LTIM</v>
      </c>
      <c r="B132" s="75">
        <f>VLOOKUP($A132,'Data Vlaue (Cr)'!$C:$FB,2)</f>
        <v>150</v>
      </c>
      <c r="C132" s="75">
        <f>VLOOKUP($A132,'Data Vlaue (Cr)'!$C:$FB,8)</f>
        <v>5622.5</v>
      </c>
      <c r="D132" s="75">
        <f>VLOOKUP($A132,'Data Vlaue (Cr)'!$C:$FB,4)</f>
        <v>5619</v>
      </c>
      <c r="E132" s="75">
        <f>VLOOKUP($A132,'Data Vlaue (Cr)'!$C:$FB,5)</f>
        <v>5611</v>
      </c>
      <c r="F132" s="75">
        <f t="shared" si="6"/>
        <v>-3.5</v>
      </c>
      <c r="G132" s="75">
        <f t="shared" si="7"/>
        <v>0.14237408791599929</v>
      </c>
      <c r="H132" s="75">
        <f>VLOOKUP($A132,'Data Vlaue (Cr)'!$C:$FB,99)</f>
        <v>3046</v>
      </c>
      <c r="I132" s="75">
        <f>VLOOKUP($A132,'Data Vlaue (Cr)'!$C:$FB,100)</f>
        <v>2758</v>
      </c>
      <c r="J132" s="75">
        <f t="shared" si="8"/>
        <v>288</v>
      </c>
      <c r="K132" s="75">
        <f t="shared" si="9"/>
        <v>9.4550229809586348</v>
      </c>
      <c r="L132" s="75">
        <f>VLOOKUP($A132,'Data Vlaue (Cr)'!$C:$FB,67)</f>
        <v>3115</v>
      </c>
      <c r="M132" s="75">
        <f>VLOOKUP($A132,'Data Vlaue (Cr)'!$C:$FB,68)</f>
        <v>3742</v>
      </c>
      <c r="N132" s="75">
        <f t="shared" si="10"/>
        <v>-627</v>
      </c>
      <c r="O132" s="75">
        <f t="shared" si="11"/>
        <v>-20.12841091492777</v>
      </c>
      <c r="P132" s="75">
        <f>VLOOKUP($A132,'Data Vlaue (Cr)'!$C:$FB,119)</f>
        <v>0.66</v>
      </c>
      <c r="Q132" s="75">
        <f>VLOOKUP($A132,'Data Vlaue (Cr)'!$C:$FB,122)*100</f>
        <v>-9.59</v>
      </c>
      <c r="R132" s="75">
        <f>VLOOKUP($A132,'Data Vlaue (Cr)'!$C:$FB,125)</f>
        <v>0.47</v>
      </c>
      <c r="S132" s="75">
        <f>VLOOKUP($A132,'Data Vlaue (Cr)'!$C:$FB,128)*100</f>
        <v>46.87</v>
      </c>
    </row>
    <row r="133" spans="1:19" x14ac:dyDescent="0.25">
      <c r="A133" s="96" t="str">
        <f>'Data Vlaue (Cr)'!C124</f>
        <v>LUPIN</v>
      </c>
      <c r="B133" s="75">
        <f>VLOOKUP($A133,'Data Vlaue (Cr)'!$C:$FB,2)</f>
        <v>425</v>
      </c>
      <c r="C133" s="75">
        <f>VLOOKUP($A133,'Data Vlaue (Cr)'!$C:$FB,8)</f>
        <v>1951.2</v>
      </c>
      <c r="D133" s="75">
        <f>VLOOKUP($A133,'Data Vlaue (Cr)'!$C:$FB,4)</f>
        <v>1958.9</v>
      </c>
      <c r="E133" s="75">
        <f>VLOOKUP($A133,'Data Vlaue (Cr)'!$C:$FB,5)</f>
        <v>1947.4</v>
      </c>
      <c r="F133" s="75">
        <f t="shared" si="6"/>
        <v>7.7000000000000455</v>
      </c>
      <c r="G133" s="75">
        <f t="shared" si="7"/>
        <v>0.58706416866608813</v>
      </c>
      <c r="H133" s="75">
        <f>VLOOKUP($A133,'Data Vlaue (Cr)'!$C:$FB,99)</f>
        <v>3423</v>
      </c>
      <c r="I133" s="75">
        <f>VLOOKUP($A133,'Data Vlaue (Cr)'!$C:$FB,100)</f>
        <v>3418</v>
      </c>
      <c r="J133" s="75">
        <f t="shared" si="8"/>
        <v>5</v>
      </c>
      <c r="K133" s="75">
        <f t="shared" si="9"/>
        <v>0.1460706982179375</v>
      </c>
      <c r="L133" s="75">
        <f>VLOOKUP($A133,'Data Vlaue (Cr)'!$C:$FB,67)</f>
        <v>718</v>
      </c>
      <c r="M133" s="75">
        <f>VLOOKUP($A133,'Data Vlaue (Cr)'!$C:$FB,68)</f>
        <v>882</v>
      </c>
      <c r="N133" s="75">
        <f t="shared" si="10"/>
        <v>-164</v>
      </c>
      <c r="O133" s="75">
        <f t="shared" si="11"/>
        <v>-22.841225626740947</v>
      </c>
      <c r="P133" s="75">
        <f>VLOOKUP($A133,'Data Vlaue (Cr)'!$C:$FB,119)</f>
        <v>0.62</v>
      </c>
      <c r="Q133" s="75">
        <f>VLOOKUP($A133,'Data Vlaue (Cr)'!$C:$FB,122)*100</f>
        <v>-1.59</v>
      </c>
      <c r="R133" s="75">
        <f>VLOOKUP($A133,'Data Vlaue (Cr)'!$C:$FB,125)</f>
        <v>0.25</v>
      </c>
      <c r="S133" s="75">
        <f>VLOOKUP($A133,'Data Vlaue (Cr)'!$C:$FB,128)*100</f>
        <v>-26.47</v>
      </c>
    </row>
    <row r="134" spans="1:19" x14ac:dyDescent="0.25">
      <c r="A134" s="96" t="str">
        <f>'Data Vlaue (Cr)'!C125</f>
        <v>M&amp;M</v>
      </c>
      <c r="B134" s="75">
        <f>VLOOKUP($A134,'Data Vlaue (Cr)'!$C:$FB,2)</f>
        <v>200</v>
      </c>
      <c r="C134" s="75">
        <f>VLOOKUP($A134,'Data Vlaue (Cr)'!$C:$FB,8)</f>
        <v>3560.8</v>
      </c>
      <c r="D134" s="75">
        <f>VLOOKUP($A134,'Data Vlaue (Cr)'!$C:$FB,4)</f>
        <v>3567.2</v>
      </c>
      <c r="E134" s="75">
        <f>VLOOKUP($A134,'Data Vlaue (Cr)'!$C:$FB,5)</f>
        <v>3501.8</v>
      </c>
      <c r="F134" s="75">
        <f t="shared" si="6"/>
        <v>6.3999999999996362</v>
      </c>
      <c r="G134" s="75">
        <f t="shared" si="7"/>
        <v>1.8333707109217212</v>
      </c>
      <c r="H134" s="75">
        <f>VLOOKUP($A134,'Data Vlaue (Cr)'!$C:$FB,99)</f>
        <v>10228</v>
      </c>
      <c r="I134" s="75">
        <f>VLOOKUP($A134,'Data Vlaue (Cr)'!$C:$FB,100)</f>
        <v>10351</v>
      </c>
      <c r="J134" s="75">
        <f t="shared" si="8"/>
        <v>-123</v>
      </c>
      <c r="K134" s="75">
        <f t="shared" si="9"/>
        <v>-1.2025811497849042</v>
      </c>
      <c r="L134" s="75">
        <f>VLOOKUP($A134,'Data Vlaue (Cr)'!$C:$FB,67)</f>
        <v>8308</v>
      </c>
      <c r="M134" s="75">
        <f>VLOOKUP($A134,'Data Vlaue (Cr)'!$C:$FB,68)</f>
        <v>3828</v>
      </c>
      <c r="N134" s="75">
        <f t="shared" si="10"/>
        <v>4480</v>
      </c>
      <c r="O134" s="75">
        <f t="shared" si="11"/>
        <v>53.923928743379875</v>
      </c>
      <c r="P134" s="75">
        <f>VLOOKUP($A134,'Data Vlaue (Cr)'!$C:$FB,119)</f>
        <v>0.52</v>
      </c>
      <c r="Q134" s="75">
        <f>VLOOKUP($A134,'Data Vlaue (Cr)'!$C:$FB,122)*100</f>
        <v>13.04</v>
      </c>
      <c r="R134" s="75">
        <f>VLOOKUP($A134,'Data Vlaue (Cr)'!$C:$FB,125)</f>
        <v>0.4</v>
      </c>
      <c r="S134" s="75">
        <f>VLOOKUP($A134,'Data Vlaue (Cr)'!$C:$FB,128)*100</f>
        <v>-11.110000000000001</v>
      </c>
    </row>
    <row r="135" spans="1:19" x14ac:dyDescent="0.25">
      <c r="A135" s="96" t="str">
        <f>'Data Vlaue (Cr)'!C126</f>
        <v>MANAPPURAM</v>
      </c>
      <c r="B135" s="75">
        <f>VLOOKUP($A135,'Data Vlaue (Cr)'!$C:$FB,2)</f>
        <v>3000</v>
      </c>
      <c r="C135" s="75">
        <f>VLOOKUP($A135,'Data Vlaue (Cr)'!$C:$FB,8)</f>
        <v>286.8</v>
      </c>
      <c r="D135" s="75">
        <f>VLOOKUP($A135,'Data Vlaue (Cr)'!$C:$FB,4)</f>
        <v>287.3</v>
      </c>
      <c r="E135" s="75">
        <f>VLOOKUP($A135,'Data Vlaue (Cr)'!$C:$FB,5)</f>
        <v>289.89999999999998</v>
      </c>
      <c r="F135" s="75">
        <f t="shared" si="6"/>
        <v>0.5</v>
      </c>
      <c r="G135" s="75">
        <f t="shared" si="7"/>
        <v>-0.90497737556559898</v>
      </c>
      <c r="H135" s="75">
        <f>VLOOKUP($A135,'Data Vlaue (Cr)'!$C:$FB,99)</f>
        <v>1579</v>
      </c>
      <c r="I135" s="75">
        <f>VLOOKUP($A135,'Data Vlaue (Cr)'!$C:$FB,100)</f>
        <v>1530</v>
      </c>
      <c r="J135" s="75">
        <f t="shared" si="8"/>
        <v>49</v>
      </c>
      <c r="K135" s="75">
        <f t="shared" si="9"/>
        <v>3.1032298923369219</v>
      </c>
      <c r="L135" s="75">
        <f>VLOOKUP($A135,'Data Vlaue (Cr)'!$C:$FB,67)</f>
        <v>618</v>
      </c>
      <c r="M135" s="75">
        <f>VLOOKUP($A135,'Data Vlaue (Cr)'!$C:$FB,68)</f>
        <v>582</v>
      </c>
      <c r="N135" s="75">
        <f t="shared" si="10"/>
        <v>36</v>
      </c>
      <c r="O135" s="75">
        <f t="shared" si="11"/>
        <v>5.825242718446602</v>
      </c>
      <c r="P135" s="75">
        <f>VLOOKUP($A135,'Data Vlaue (Cr)'!$C:$FB,119)</f>
        <v>0.49</v>
      </c>
      <c r="Q135" s="75">
        <f>VLOOKUP($A135,'Data Vlaue (Cr)'!$C:$FB,122)*100</f>
        <v>-12.5</v>
      </c>
      <c r="R135" s="75">
        <f>VLOOKUP($A135,'Data Vlaue (Cr)'!$C:$FB,125)</f>
        <v>0.3</v>
      </c>
      <c r="S135" s="75">
        <f>VLOOKUP($A135,'Data Vlaue (Cr)'!$C:$FB,128)*100</f>
        <v>-16.669999999999998</v>
      </c>
    </row>
    <row r="136" spans="1:19" x14ac:dyDescent="0.25">
      <c r="A136" s="96" t="str">
        <f>'Data Vlaue (Cr)'!C127</f>
        <v>MANKIND</v>
      </c>
      <c r="B136" s="75">
        <f>VLOOKUP($A136,'Data Vlaue (Cr)'!$C:$FB,2)</f>
        <v>225</v>
      </c>
      <c r="C136" s="75">
        <f>VLOOKUP($A136,'Data Vlaue (Cr)'!$C:$FB,8)</f>
        <v>2455.3000000000002</v>
      </c>
      <c r="D136" s="75">
        <f>VLOOKUP($A136,'Data Vlaue (Cr)'!$C:$FB,4)</f>
        <v>2462</v>
      </c>
      <c r="E136" s="75">
        <f>VLOOKUP($A136,'Data Vlaue (Cr)'!$C:$FB,5)</f>
        <v>2443.1</v>
      </c>
      <c r="F136" s="75">
        <f t="shared" si="6"/>
        <v>6.6999999999998181</v>
      </c>
      <c r="G136" s="75">
        <f t="shared" si="7"/>
        <v>0.76766856214460166</v>
      </c>
      <c r="H136" s="75">
        <f>VLOOKUP($A136,'Data Vlaue (Cr)'!$C:$FB,99)</f>
        <v>766</v>
      </c>
      <c r="I136" s="75">
        <f>VLOOKUP($A136,'Data Vlaue (Cr)'!$C:$FB,100)</f>
        <v>772</v>
      </c>
      <c r="J136" s="75">
        <f t="shared" si="8"/>
        <v>-6</v>
      </c>
      <c r="K136" s="75">
        <f t="shared" si="9"/>
        <v>-0.7832898172323759</v>
      </c>
      <c r="L136" s="75">
        <f>VLOOKUP($A136,'Data Vlaue (Cr)'!$C:$FB,67)</f>
        <v>267</v>
      </c>
      <c r="M136" s="75">
        <f>VLOOKUP($A136,'Data Vlaue (Cr)'!$C:$FB,68)</f>
        <v>334</v>
      </c>
      <c r="N136" s="75">
        <f t="shared" si="10"/>
        <v>-67</v>
      </c>
      <c r="O136" s="75">
        <f t="shared" si="11"/>
        <v>-25.0936329588015</v>
      </c>
      <c r="P136" s="75">
        <f>VLOOKUP($A136,'Data Vlaue (Cr)'!$C:$FB,119)</f>
        <v>0.43</v>
      </c>
      <c r="Q136" s="75">
        <f>VLOOKUP($A136,'Data Vlaue (Cr)'!$C:$FB,122)*100</f>
        <v>2.3800000000000003</v>
      </c>
      <c r="R136" s="75">
        <f>VLOOKUP($A136,'Data Vlaue (Cr)'!$C:$FB,125)</f>
        <v>0.26</v>
      </c>
      <c r="S136" s="75">
        <f>VLOOKUP($A136,'Data Vlaue (Cr)'!$C:$FB,128)*100</f>
        <v>-18.75</v>
      </c>
    </row>
    <row r="137" spans="1:19" x14ac:dyDescent="0.25">
      <c r="A137" s="96" t="str">
        <f>'Data Vlaue (Cr)'!C128</f>
        <v>MARICO</v>
      </c>
      <c r="B137" s="75">
        <f>VLOOKUP($A137,'Data Vlaue (Cr)'!$C:$FB,2)</f>
        <v>1200</v>
      </c>
      <c r="C137" s="75">
        <f>VLOOKUP($A137,'Data Vlaue (Cr)'!$C:$FB,8)</f>
        <v>725.7</v>
      </c>
      <c r="D137" s="75">
        <f>VLOOKUP($A137,'Data Vlaue (Cr)'!$C:$FB,4)</f>
        <v>726.7</v>
      </c>
      <c r="E137" s="75">
        <f>VLOOKUP($A137,'Data Vlaue (Cr)'!$C:$FB,5)</f>
        <v>710.45</v>
      </c>
      <c r="F137" s="75">
        <f t="shared" si="6"/>
        <v>1</v>
      </c>
      <c r="G137" s="75">
        <f t="shared" si="7"/>
        <v>2.2361359570661894</v>
      </c>
      <c r="H137" s="75">
        <f>VLOOKUP($A137,'Data Vlaue (Cr)'!$C:$FB,99)</f>
        <v>2447</v>
      </c>
      <c r="I137" s="75">
        <f>VLOOKUP($A137,'Data Vlaue (Cr)'!$C:$FB,100)</f>
        <v>2463</v>
      </c>
      <c r="J137" s="75">
        <f t="shared" si="8"/>
        <v>-16</v>
      </c>
      <c r="K137" s="75">
        <f t="shared" si="9"/>
        <v>-0.65386187167960763</v>
      </c>
      <c r="L137" s="75">
        <f>VLOOKUP($A137,'Data Vlaue (Cr)'!$C:$FB,67)</f>
        <v>988</v>
      </c>
      <c r="M137" s="75">
        <f>VLOOKUP($A137,'Data Vlaue (Cr)'!$C:$FB,68)</f>
        <v>467</v>
      </c>
      <c r="N137" s="75">
        <f t="shared" si="10"/>
        <v>521</v>
      </c>
      <c r="O137" s="75">
        <f t="shared" si="11"/>
        <v>52.732793522267208</v>
      </c>
      <c r="P137" s="75">
        <f>VLOOKUP($A137,'Data Vlaue (Cr)'!$C:$FB,119)</f>
        <v>0.64</v>
      </c>
      <c r="Q137" s="75">
        <f>VLOOKUP($A137,'Data Vlaue (Cr)'!$C:$FB,122)*100</f>
        <v>8.4699999999999989</v>
      </c>
      <c r="R137" s="75">
        <f>VLOOKUP($A137,'Data Vlaue (Cr)'!$C:$FB,125)</f>
        <v>0.28999999999999998</v>
      </c>
      <c r="S137" s="75">
        <f>VLOOKUP($A137,'Data Vlaue (Cr)'!$C:$FB,128)*100</f>
        <v>-32.56</v>
      </c>
    </row>
    <row r="138" spans="1:19" x14ac:dyDescent="0.25">
      <c r="A138" s="96" t="str">
        <f>'Data Vlaue (Cr)'!C129</f>
        <v>MARUTI</v>
      </c>
      <c r="B138" s="75">
        <f>VLOOKUP($A138,'Data Vlaue (Cr)'!$C:$FB,2)</f>
        <v>50</v>
      </c>
      <c r="C138" s="75">
        <f>VLOOKUP($A138,'Data Vlaue (Cr)'!$C:$FB,8)</f>
        <v>16298</v>
      </c>
      <c r="D138" s="75">
        <f>VLOOKUP($A138,'Data Vlaue (Cr)'!$C:$FB,4)</f>
        <v>16354</v>
      </c>
      <c r="E138" s="75">
        <f>VLOOKUP($A138,'Data Vlaue (Cr)'!$C:$FB,5)</f>
        <v>16273</v>
      </c>
      <c r="F138" s="75">
        <f t="shared" si="6"/>
        <v>56</v>
      </c>
      <c r="G138" s="75">
        <f t="shared" si="7"/>
        <v>0.49529167176226002</v>
      </c>
      <c r="H138" s="75">
        <f>VLOOKUP($A138,'Data Vlaue (Cr)'!$C:$FB,99)</f>
        <v>12527</v>
      </c>
      <c r="I138" s="75">
        <f>VLOOKUP($A138,'Data Vlaue (Cr)'!$C:$FB,100)</f>
        <v>12673</v>
      </c>
      <c r="J138" s="75">
        <f t="shared" si="8"/>
        <v>-146</v>
      </c>
      <c r="K138" s="75">
        <f t="shared" si="9"/>
        <v>-1.1654825576754211</v>
      </c>
      <c r="L138" s="75">
        <f>VLOOKUP($A138,'Data Vlaue (Cr)'!$C:$FB,67)</f>
        <v>7178</v>
      </c>
      <c r="M138" s="75">
        <f>VLOOKUP($A138,'Data Vlaue (Cr)'!$C:$FB,68)</f>
        <v>9039</v>
      </c>
      <c r="N138" s="75">
        <f t="shared" si="10"/>
        <v>-1861</v>
      </c>
      <c r="O138" s="75">
        <f t="shared" si="11"/>
        <v>-25.926441905823349</v>
      </c>
      <c r="P138" s="75">
        <f>VLOOKUP($A138,'Data Vlaue (Cr)'!$C:$FB,119)</f>
        <v>0.57999999999999996</v>
      </c>
      <c r="Q138" s="75">
        <f>VLOOKUP($A138,'Data Vlaue (Cr)'!$C:$FB,122)*100</f>
        <v>5.45</v>
      </c>
      <c r="R138" s="75">
        <f>VLOOKUP($A138,'Data Vlaue (Cr)'!$C:$FB,125)</f>
        <v>0.54</v>
      </c>
      <c r="S138" s="75">
        <f>VLOOKUP($A138,'Data Vlaue (Cr)'!$C:$FB,128)*100</f>
        <v>-21.740000000000002</v>
      </c>
    </row>
    <row r="139" spans="1:19" x14ac:dyDescent="0.25">
      <c r="A139" s="96" t="str">
        <f>'Data Vlaue (Cr)'!C130</f>
        <v>MAXHEALTH</v>
      </c>
      <c r="B139" s="75">
        <f>VLOOKUP($A139,'Data Vlaue (Cr)'!$C:$FB,2)</f>
        <v>525</v>
      </c>
      <c r="C139" s="75">
        <f>VLOOKUP($A139,'Data Vlaue (Cr)'!$C:$FB,8)</f>
        <v>1175.3</v>
      </c>
      <c r="D139" s="75">
        <f>VLOOKUP($A139,'Data Vlaue (Cr)'!$C:$FB,4)</f>
        <v>1178.7</v>
      </c>
      <c r="E139" s="75">
        <f>VLOOKUP($A139,'Data Vlaue (Cr)'!$C:$FB,5)</f>
        <v>1159.3</v>
      </c>
      <c r="F139" s="75">
        <f t="shared" si="6"/>
        <v>3.4000000000000909</v>
      </c>
      <c r="G139" s="75">
        <f t="shared" si="7"/>
        <v>1.6458810554000245</v>
      </c>
      <c r="H139" s="75">
        <f>VLOOKUP($A139,'Data Vlaue (Cr)'!$C:$FB,99)</f>
        <v>2771</v>
      </c>
      <c r="I139" s="75">
        <f>VLOOKUP($A139,'Data Vlaue (Cr)'!$C:$FB,100)</f>
        <v>2740</v>
      </c>
      <c r="J139" s="75">
        <f t="shared" si="8"/>
        <v>31</v>
      </c>
      <c r="K139" s="75">
        <f t="shared" si="9"/>
        <v>1.1187297004691448</v>
      </c>
      <c r="L139" s="75">
        <f>VLOOKUP($A139,'Data Vlaue (Cr)'!$C:$FB,67)</f>
        <v>1183</v>
      </c>
      <c r="M139" s="75">
        <f>VLOOKUP($A139,'Data Vlaue (Cr)'!$C:$FB,68)</f>
        <v>993</v>
      </c>
      <c r="N139" s="75">
        <f t="shared" si="10"/>
        <v>190</v>
      </c>
      <c r="O139" s="75">
        <f t="shared" si="11"/>
        <v>16.060862214708369</v>
      </c>
      <c r="P139" s="75">
        <f>VLOOKUP($A139,'Data Vlaue (Cr)'!$C:$FB,119)</f>
        <v>0.68</v>
      </c>
      <c r="Q139" s="75">
        <f>VLOOKUP($A139,'Data Vlaue (Cr)'!$C:$FB,122)*100</f>
        <v>-2.86</v>
      </c>
      <c r="R139" s="75">
        <f>VLOOKUP($A139,'Data Vlaue (Cr)'!$C:$FB,125)</f>
        <v>0.35</v>
      </c>
      <c r="S139" s="75">
        <f>VLOOKUP($A139,'Data Vlaue (Cr)'!$C:$FB,128)*100</f>
        <v>-33.96</v>
      </c>
    </row>
    <row r="140" spans="1:19" x14ac:dyDescent="0.25">
      <c r="A140" s="96" t="str">
        <f>'Data Vlaue (Cr)'!C131</f>
        <v>MAZDOCK</v>
      </c>
      <c r="B140" s="75">
        <f>VLOOKUP($A140,'Data Vlaue (Cr)'!$C:$FB,2)</f>
        <v>175</v>
      </c>
      <c r="C140" s="75">
        <f>VLOOKUP($A140,'Data Vlaue (Cr)'!$C:$FB,8)</f>
        <v>2831.9</v>
      </c>
      <c r="D140" s="75">
        <f>VLOOKUP($A140,'Data Vlaue (Cr)'!$C:$FB,4)</f>
        <v>2844</v>
      </c>
      <c r="E140" s="75">
        <f>VLOOKUP($A140,'Data Vlaue (Cr)'!$C:$FB,5)</f>
        <v>2864.5</v>
      </c>
      <c r="F140" s="75">
        <f t="shared" ref="F140:F176" si="12">D140-C140</f>
        <v>12.099999999999909</v>
      </c>
      <c r="G140" s="75">
        <f t="shared" ref="G140:G176" si="13">(D140-E140)/D140*100</f>
        <v>-0.72081575246132212</v>
      </c>
      <c r="H140" s="75">
        <f>VLOOKUP($A140,'Data Vlaue (Cr)'!$C:$FB,99)</f>
        <v>2302</v>
      </c>
      <c r="I140" s="75">
        <f>VLOOKUP($A140,'Data Vlaue (Cr)'!$C:$FB,100)</f>
        <v>2285</v>
      </c>
      <c r="J140" s="75">
        <f t="shared" ref="J140:J176" si="14">H140-I140</f>
        <v>17</v>
      </c>
      <c r="K140" s="75">
        <f t="shared" ref="K140:K176" si="15">J140/H140*100</f>
        <v>0.7384882710686359</v>
      </c>
      <c r="L140" s="75">
        <f>VLOOKUP($A140,'Data Vlaue (Cr)'!$C:$FB,67)</f>
        <v>1038</v>
      </c>
      <c r="M140" s="75">
        <f>VLOOKUP($A140,'Data Vlaue (Cr)'!$C:$FB,68)</f>
        <v>1794</v>
      </c>
      <c r="N140" s="75">
        <f t="shared" ref="N140:N176" si="16">L140-M140</f>
        <v>-756</v>
      </c>
      <c r="O140" s="75">
        <f t="shared" ref="O140:O176" si="17">N140/L140*100</f>
        <v>-72.832369942196522</v>
      </c>
      <c r="P140" s="75">
        <f>VLOOKUP($A140,'Data Vlaue (Cr)'!$C:$FB,119)</f>
        <v>0.48</v>
      </c>
      <c r="Q140" s="75">
        <f>VLOOKUP($A140,'Data Vlaue (Cr)'!$C:$FB,122)*100</f>
        <v>0</v>
      </c>
      <c r="R140" s="75">
        <f>VLOOKUP($A140,'Data Vlaue (Cr)'!$C:$FB,125)</f>
        <v>0.34</v>
      </c>
      <c r="S140" s="75">
        <f>VLOOKUP($A140,'Data Vlaue (Cr)'!$C:$FB,128)*100</f>
        <v>21.43</v>
      </c>
    </row>
    <row r="141" spans="1:19" x14ac:dyDescent="0.25">
      <c r="A141" s="96" t="str">
        <f>'Data Vlaue (Cr)'!C132</f>
        <v>MCX</v>
      </c>
      <c r="B141" s="75">
        <f>VLOOKUP($A141,'Data Vlaue (Cr)'!$C:$FB,2)</f>
        <v>125</v>
      </c>
      <c r="C141" s="75">
        <f>VLOOKUP($A141,'Data Vlaue (Cr)'!$C:$FB,8)</f>
        <v>9330.5</v>
      </c>
      <c r="D141" s="75">
        <f>VLOOKUP($A141,'Data Vlaue (Cr)'!$C:$FB,4)</f>
        <v>9360.5</v>
      </c>
      <c r="E141" s="75">
        <f>VLOOKUP($A141,'Data Vlaue (Cr)'!$C:$FB,5)</f>
        <v>9579.5</v>
      </c>
      <c r="F141" s="75">
        <f t="shared" si="12"/>
        <v>30</v>
      </c>
      <c r="G141" s="75">
        <f t="shared" si="13"/>
        <v>-2.3396186101169807</v>
      </c>
      <c r="H141" s="75">
        <f>VLOOKUP($A141,'Data Vlaue (Cr)'!$C:$FB,99)</f>
        <v>8315</v>
      </c>
      <c r="I141" s="75">
        <f>VLOOKUP($A141,'Data Vlaue (Cr)'!$C:$FB,100)</f>
        <v>8241</v>
      </c>
      <c r="J141" s="75">
        <f t="shared" si="14"/>
        <v>74</v>
      </c>
      <c r="K141" s="75">
        <f t="shared" si="15"/>
        <v>0.88995790739627179</v>
      </c>
      <c r="L141" s="75">
        <f>VLOOKUP($A141,'Data Vlaue (Cr)'!$C:$FB,67)</f>
        <v>14409</v>
      </c>
      <c r="M141" s="75">
        <f>VLOOKUP($A141,'Data Vlaue (Cr)'!$C:$FB,68)</f>
        <v>16034</v>
      </c>
      <c r="N141" s="75">
        <f t="shared" si="16"/>
        <v>-1625</v>
      </c>
      <c r="O141" s="75">
        <f t="shared" si="17"/>
        <v>-11.277673676174613</v>
      </c>
      <c r="P141" s="75">
        <f>VLOOKUP($A141,'Data Vlaue (Cr)'!$C:$FB,119)</f>
        <v>0.87</v>
      </c>
      <c r="Q141" s="75">
        <f>VLOOKUP($A141,'Data Vlaue (Cr)'!$C:$FB,122)*100</f>
        <v>-14.71</v>
      </c>
      <c r="R141" s="75">
        <f>VLOOKUP($A141,'Data Vlaue (Cr)'!$C:$FB,125)</f>
        <v>0.88</v>
      </c>
      <c r="S141" s="75">
        <f>VLOOKUP($A141,'Data Vlaue (Cr)'!$C:$FB,128)*100</f>
        <v>49.15</v>
      </c>
    </row>
    <row r="142" spans="1:19" x14ac:dyDescent="0.25">
      <c r="A142" s="96" t="str">
        <f>'Data Vlaue (Cr)'!C133</f>
        <v>MFSL</v>
      </c>
      <c r="B142" s="75">
        <f>VLOOKUP($A142,'Data Vlaue (Cr)'!$C:$FB,2)</f>
        <v>800</v>
      </c>
      <c r="C142" s="75">
        <f>VLOOKUP($A142,'Data Vlaue (Cr)'!$C:$FB,8)</f>
        <v>1552.4</v>
      </c>
      <c r="D142" s="75">
        <f>VLOOKUP($A142,'Data Vlaue (Cr)'!$C:$FB,4)</f>
        <v>1556.3</v>
      </c>
      <c r="E142" s="75">
        <f>VLOOKUP($A142,'Data Vlaue (Cr)'!$C:$FB,5)</f>
        <v>1616.3</v>
      </c>
      <c r="F142" s="75">
        <f t="shared" si="12"/>
        <v>3.8999999999998636</v>
      </c>
      <c r="G142" s="75">
        <f t="shared" si="13"/>
        <v>-3.8552978217567304</v>
      </c>
      <c r="H142" s="75">
        <f>VLOOKUP($A142,'Data Vlaue (Cr)'!$C:$FB,99)</f>
        <v>1427</v>
      </c>
      <c r="I142" s="75">
        <f>VLOOKUP($A142,'Data Vlaue (Cr)'!$C:$FB,100)</f>
        <v>1266</v>
      </c>
      <c r="J142" s="75">
        <f t="shared" si="14"/>
        <v>161</v>
      </c>
      <c r="K142" s="75">
        <f t="shared" si="15"/>
        <v>11.282410651716889</v>
      </c>
      <c r="L142" s="75">
        <f>VLOOKUP($A142,'Data Vlaue (Cr)'!$C:$FB,67)</f>
        <v>1529</v>
      </c>
      <c r="M142" s="75">
        <f>VLOOKUP($A142,'Data Vlaue (Cr)'!$C:$FB,68)</f>
        <v>499</v>
      </c>
      <c r="N142" s="75">
        <f t="shared" si="16"/>
        <v>1030</v>
      </c>
      <c r="O142" s="75">
        <f t="shared" si="17"/>
        <v>67.364290385873119</v>
      </c>
      <c r="P142" s="75">
        <f>VLOOKUP($A142,'Data Vlaue (Cr)'!$C:$FB,119)</f>
        <v>0.53</v>
      </c>
      <c r="Q142" s="75">
        <f>VLOOKUP($A142,'Data Vlaue (Cr)'!$C:$FB,122)*100</f>
        <v>-14.52</v>
      </c>
      <c r="R142" s="75">
        <f>VLOOKUP($A142,'Data Vlaue (Cr)'!$C:$FB,125)</f>
        <v>0.47</v>
      </c>
      <c r="S142" s="75">
        <f>VLOOKUP($A142,'Data Vlaue (Cr)'!$C:$FB,128)*100</f>
        <v>56.67</v>
      </c>
    </row>
    <row r="143" spans="1:19" x14ac:dyDescent="0.25">
      <c r="A143" s="96" t="str">
        <f>'Data Vlaue (Cr)'!C134</f>
        <v>MIDCPNIFTY</v>
      </c>
      <c r="B143" s="75">
        <f>VLOOKUP($A143,'Data Vlaue (Cr)'!$C:$FB,2)</f>
        <v>140</v>
      </c>
      <c r="C143" s="75">
        <f>VLOOKUP($A143,'Data Vlaue (Cr)'!$C:$FB,8)</f>
        <v>13260.85</v>
      </c>
      <c r="D143" s="75">
        <f>VLOOKUP($A143,'Data Vlaue (Cr)'!$C:$FB,4)</f>
        <v>13321.8</v>
      </c>
      <c r="E143" s="75">
        <f>VLOOKUP($A143,'Data Vlaue (Cr)'!$C:$FB,5)</f>
        <v>13217.3</v>
      </c>
      <c r="F143" s="75">
        <f t="shared" si="12"/>
        <v>60.949999999998909</v>
      </c>
      <c r="G143" s="75">
        <f t="shared" si="13"/>
        <v>0.78442853067903739</v>
      </c>
      <c r="H143" s="75">
        <f>VLOOKUP($A143,'Data Vlaue (Cr)'!$C:$FB,99)</f>
        <v>25842</v>
      </c>
      <c r="I143" s="75">
        <f>VLOOKUP($A143,'Data Vlaue (Cr)'!$C:$FB,100)</f>
        <v>24113</v>
      </c>
      <c r="J143" s="75">
        <f t="shared" si="14"/>
        <v>1729</v>
      </c>
      <c r="K143" s="75"/>
      <c r="L143" s="75">
        <f>VLOOKUP($A143,'Data Vlaue (Cr)'!$C:$FB,67)</f>
        <v>54945</v>
      </c>
      <c r="M143" s="75">
        <f>VLOOKUP($A143,'Data Vlaue (Cr)'!$C:$FB,68)</f>
        <v>48537</v>
      </c>
      <c r="N143" s="75">
        <f t="shared" si="16"/>
        <v>6408</v>
      </c>
      <c r="O143" s="75">
        <f t="shared" si="17"/>
        <v>11.662571662571661</v>
      </c>
      <c r="P143" s="75">
        <f>VLOOKUP($A143,'Data Vlaue (Cr)'!$C:$FB,119)</f>
        <v>1.35</v>
      </c>
      <c r="Q143" s="75">
        <f>VLOOKUP($A143,'Data Vlaue (Cr)'!$C:$FB,122)*100</f>
        <v>14.41</v>
      </c>
      <c r="R143" s="75">
        <f>VLOOKUP($A143,'Data Vlaue (Cr)'!$C:$FB,125)</f>
        <v>0.98</v>
      </c>
      <c r="S143" s="75">
        <f>VLOOKUP($A143,'Data Vlaue (Cr)'!$C:$FB,128)*100</f>
        <v>0</v>
      </c>
    </row>
    <row r="144" spans="1:19" x14ac:dyDescent="0.25">
      <c r="A144" s="96" t="str">
        <f>'Data Vlaue (Cr)'!C135</f>
        <v>MOTHERSON</v>
      </c>
      <c r="B144" s="75">
        <f>VLOOKUP($A144,'Data Vlaue (Cr)'!$C:$FB,2)</f>
        <v>6150</v>
      </c>
      <c r="C144" s="75">
        <f>VLOOKUP($A144,'Data Vlaue (Cr)'!$C:$FB,8)</f>
        <v>107.27</v>
      </c>
      <c r="D144" s="75">
        <f>VLOOKUP($A144,'Data Vlaue (Cr)'!$C:$FB,4)</f>
        <v>107.65</v>
      </c>
      <c r="E144" s="75">
        <f>VLOOKUP($A144,'Data Vlaue (Cr)'!$C:$FB,5)</f>
        <v>105.22</v>
      </c>
      <c r="F144" s="75">
        <f t="shared" si="12"/>
        <v>0.38000000000000966</v>
      </c>
      <c r="G144" s="75">
        <f t="shared" si="13"/>
        <v>2.2573153738968945</v>
      </c>
      <c r="H144" s="75">
        <f>VLOOKUP($A144,'Data Vlaue (Cr)'!$C:$FB,99)</f>
        <v>2911</v>
      </c>
      <c r="I144" s="75">
        <f>VLOOKUP($A144,'Data Vlaue (Cr)'!$C:$FB,100)</f>
        <v>2879</v>
      </c>
      <c r="J144" s="75">
        <f t="shared" si="14"/>
        <v>32</v>
      </c>
      <c r="K144" s="75">
        <f t="shared" si="15"/>
        <v>1.099278598419787</v>
      </c>
      <c r="L144" s="75">
        <f>VLOOKUP($A144,'Data Vlaue (Cr)'!$C:$FB,67)</f>
        <v>2574</v>
      </c>
      <c r="M144" s="75">
        <f>VLOOKUP($A144,'Data Vlaue (Cr)'!$C:$FB,68)</f>
        <v>1078</v>
      </c>
      <c r="N144" s="75">
        <f t="shared" si="16"/>
        <v>1496</v>
      </c>
      <c r="O144" s="75">
        <f t="shared" si="17"/>
        <v>58.119658119658126</v>
      </c>
      <c r="P144" s="75">
        <f>VLOOKUP($A144,'Data Vlaue (Cr)'!$C:$FB,119)</f>
        <v>0.56999999999999995</v>
      </c>
      <c r="Q144" s="75">
        <f>VLOOKUP($A144,'Data Vlaue (Cr)'!$C:$FB,122)*100</f>
        <v>16.329999999999998</v>
      </c>
      <c r="R144" s="75">
        <f>VLOOKUP($A144,'Data Vlaue (Cr)'!$C:$FB,125)</f>
        <v>0.43</v>
      </c>
      <c r="S144" s="75">
        <f>VLOOKUP($A144,'Data Vlaue (Cr)'!$C:$FB,128)*100</f>
        <v>22.86</v>
      </c>
    </row>
    <row r="145" spans="1:19" x14ac:dyDescent="0.25">
      <c r="A145" s="96" t="str">
        <f>'Data Vlaue (Cr)'!C136</f>
        <v>MPHASIS</v>
      </c>
      <c r="B145" s="75">
        <f>VLOOKUP($A145,'Data Vlaue (Cr)'!$C:$FB,2)</f>
        <v>275</v>
      </c>
      <c r="C145" s="75">
        <f>VLOOKUP($A145,'Data Vlaue (Cr)'!$C:$FB,8)</f>
        <v>2783.6</v>
      </c>
      <c r="D145" s="75">
        <f>VLOOKUP($A145,'Data Vlaue (Cr)'!$C:$FB,4)</f>
        <v>2792.7</v>
      </c>
      <c r="E145" s="75">
        <f>VLOOKUP($A145,'Data Vlaue (Cr)'!$C:$FB,5)</f>
        <v>2793.9</v>
      </c>
      <c r="F145" s="75">
        <f t="shared" si="12"/>
        <v>9.0999999999999091</v>
      </c>
      <c r="G145" s="75">
        <f t="shared" si="13"/>
        <v>-4.2969169620806852E-2</v>
      </c>
      <c r="H145" s="75">
        <f>VLOOKUP($A145,'Data Vlaue (Cr)'!$C:$FB,99)</f>
        <v>1661</v>
      </c>
      <c r="I145" s="75">
        <f>VLOOKUP($A145,'Data Vlaue (Cr)'!$C:$FB,100)</f>
        <v>1677</v>
      </c>
      <c r="J145" s="75">
        <f t="shared" si="14"/>
        <v>-16</v>
      </c>
      <c r="K145" s="75">
        <f t="shared" si="15"/>
        <v>-0.96327513546056598</v>
      </c>
      <c r="L145" s="75">
        <f>VLOOKUP($A145,'Data Vlaue (Cr)'!$C:$FB,67)</f>
        <v>482</v>
      </c>
      <c r="M145" s="75">
        <f>VLOOKUP($A145,'Data Vlaue (Cr)'!$C:$FB,68)</f>
        <v>885</v>
      </c>
      <c r="N145" s="75">
        <f t="shared" si="16"/>
        <v>-403</v>
      </c>
      <c r="O145" s="75">
        <f t="shared" si="17"/>
        <v>-83.609958506224075</v>
      </c>
      <c r="P145" s="75">
        <f>VLOOKUP($A145,'Data Vlaue (Cr)'!$C:$FB,119)</f>
        <v>0.54</v>
      </c>
      <c r="Q145" s="75">
        <f>VLOOKUP($A145,'Data Vlaue (Cr)'!$C:$FB,122)*100</f>
        <v>5.88</v>
      </c>
      <c r="R145" s="75">
        <f>VLOOKUP($A145,'Data Vlaue (Cr)'!$C:$FB,125)</f>
        <v>0.44</v>
      </c>
      <c r="S145" s="75">
        <f>VLOOKUP($A145,'Data Vlaue (Cr)'!$C:$FB,128)*100</f>
        <v>22.220000000000002</v>
      </c>
    </row>
    <row r="146" spans="1:19" x14ac:dyDescent="0.25">
      <c r="A146" s="96" t="str">
        <f>'Data Vlaue (Cr)'!C137</f>
        <v>MUTHOOTFIN</v>
      </c>
      <c r="B146" s="75">
        <f>VLOOKUP($A146,'Data Vlaue (Cr)'!$C:$FB,2)</f>
        <v>275</v>
      </c>
      <c r="C146" s="75">
        <f>VLOOKUP($A146,'Data Vlaue (Cr)'!$C:$FB,8)</f>
        <v>3268.5</v>
      </c>
      <c r="D146" s="75">
        <f>VLOOKUP($A146,'Data Vlaue (Cr)'!$C:$FB,4)</f>
        <v>3275.2</v>
      </c>
      <c r="E146" s="75">
        <f>VLOOKUP($A146,'Data Vlaue (Cr)'!$C:$FB,5)</f>
        <v>3272.2</v>
      </c>
      <c r="F146" s="75">
        <f t="shared" si="12"/>
        <v>6.6999999999998181</v>
      </c>
      <c r="G146" s="75">
        <f t="shared" si="13"/>
        <v>9.1597459697117745E-2</v>
      </c>
      <c r="H146" s="75">
        <f>VLOOKUP($A146,'Data Vlaue (Cr)'!$C:$FB,99)</f>
        <v>2295</v>
      </c>
      <c r="I146" s="75">
        <f>VLOOKUP($A146,'Data Vlaue (Cr)'!$C:$FB,100)</f>
        <v>2192</v>
      </c>
      <c r="J146" s="75">
        <f t="shared" si="14"/>
        <v>103</v>
      </c>
      <c r="K146" s="75">
        <f t="shared" si="15"/>
        <v>4.4880174291938992</v>
      </c>
      <c r="L146" s="75">
        <f>VLOOKUP($A146,'Data Vlaue (Cr)'!$C:$FB,67)</f>
        <v>1742</v>
      </c>
      <c r="M146" s="75">
        <f>VLOOKUP($A146,'Data Vlaue (Cr)'!$C:$FB,68)</f>
        <v>2438</v>
      </c>
      <c r="N146" s="75">
        <f t="shared" si="16"/>
        <v>-696</v>
      </c>
      <c r="O146" s="75">
        <f t="shared" si="17"/>
        <v>-39.954075774971301</v>
      </c>
      <c r="P146" s="75">
        <f>VLOOKUP($A146,'Data Vlaue (Cr)'!$C:$FB,119)</f>
        <v>0.7</v>
      </c>
      <c r="Q146" s="75">
        <f>VLOOKUP($A146,'Data Vlaue (Cr)'!$C:$FB,122)*100</f>
        <v>0</v>
      </c>
      <c r="R146" s="75">
        <f>VLOOKUP($A146,'Data Vlaue (Cr)'!$C:$FB,125)</f>
        <v>0.56999999999999995</v>
      </c>
      <c r="S146" s="75">
        <f>VLOOKUP($A146,'Data Vlaue (Cr)'!$C:$FB,128)*100</f>
        <v>-10.94</v>
      </c>
    </row>
    <row r="147" spans="1:19" x14ac:dyDescent="0.25">
      <c r="A147" s="96" t="str">
        <f>'Data Vlaue (Cr)'!C138</f>
        <v>NATIONALUM</v>
      </c>
      <c r="B147" s="75">
        <f>VLOOKUP($A147,'Data Vlaue (Cr)'!$C:$FB,2)</f>
        <v>3750</v>
      </c>
      <c r="C147" s="75">
        <f>VLOOKUP($A147,'Data Vlaue (Cr)'!$C:$FB,8)</f>
        <v>226.84</v>
      </c>
      <c r="D147" s="75">
        <f>VLOOKUP($A147,'Data Vlaue (Cr)'!$C:$FB,4)</f>
        <v>227.14</v>
      </c>
      <c r="E147" s="75">
        <f>VLOOKUP($A147,'Data Vlaue (Cr)'!$C:$FB,5)</f>
        <v>226.61</v>
      </c>
      <c r="F147" s="75">
        <f t="shared" si="12"/>
        <v>0.29999999999998295</v>
      </c>
      <c r="G147" s="75">
        <f t="shared" si="13"/>
        <v>0.23333626838072233</v>
      </c>
      <c r="H147" s="75">
        <f>VLOOKUP($A147,'Data Vlaue (Cr)'!$C:$FB,99)</f>
        <v>3243</v>
      </c>
      <c r="I147" s="75">
        <f>VLOOKUP($A147,'Data Vlaue (Cr)'!$C:$FB,100)</f>
        <v>3237</v>
      </c>
      <c r="J147" s="75">
        <f t="shared" si="14"/>
        <v>6</v>
      </c>
      <c r="K147" s="75">
        <f t="shared" si="15"/>
        <v>0.18501387604070307</v>
      </c>
      <c r="L147" s="75">
        <f>VLOOKUP($A147,'Data Vlaue (Cr)'!$C:$FB,67)</f>
        <v>1381</v>
      </c>
      <c r="M147" s="75">
        <f>VLOOKUP($A147,'Data Vlaue (Cr)'!$C:$FB,68)</f>
        <v>1318</v>
      </c>
      <c r="N147" s="75">
        <f t="shared" si="16"/>
        <v>63</v>
      </c>
      <c r="O147" s="75">
        <f t="shared" si="17"/>
        <v>4.5619116582186825</v>
      </c>
      <c r="P147" s="75">
        <f>VLOOKUP($A147,'Data Vlaue (Cr)'!$C:$FB,119)</f>
        <v>0.72</v>
      </c>
      <c r="Q147" s="75">
        <f>VLOOKUP($A147,'Data Vlaue (Cr)'!$C:$FB,122)*100</f>
        <v>2.86</v>
      </c>
      <c r="R147" s="75">
        <f>VLOOKUP($A147,'Data Vlaue (Cr)'!$C:$FB,125)</f>
        <v>0.5</v>
      </c>
      <c r="S147" s="75">
        <f>VLOOKUP($A147,'Data Vlaue (Cr)'!$C:$FB,128)*100</f>
        <v>-10.71</v>
      </c>
    </row>
    <row r="148" spans="1:19" x14ac:dyDescent="0.25">
      <c r="A148" s="96" t="str">
        <f>'Data Vlaue (Cr)'!C139</f>
        <v>NAUKRI</v>
      </c>
      <c r="B148" s="75">
        <f>VLOOKUP($A148,'Data Vlaue (Cr)'!$C:$FB,2)</f>
        <v>375</v>
      </c>
      <c r="C148" s="75">
        <f>VLOOKUP($A148,'Data Vlaue (Cr)'!$C:$FB,8)</f>
        <v>1348.5</v>
      </c>
      <c r="D148" s="75">
        <f>VLOOKUP($A148,'Data Vlaue (Cr)'!$C:$FB,4)</f>
        <v>1349.4</v>
      </c>
      <c r="E148" s="75">
        <f>VLOOKUP($A148,'Data Vlaue (Cr)'!$C:$FB,5)</f>
        <v>1337.6</v>
      </c>
      <c r="F148" s="75">
        <f t="shared" si="12"/>
        <v>0.90000000000009095</v>
      </c>
      <c r="G148" s="75">
        <f t="shared" si="13"/>
        <v>0.87446272417372028</v>
      </c>
      <c r="H148" s="75">
        <f>VLOOKUP($A148,'Data Vlaue (Cr)'!$C:$FB,99)</f>
        <v>1775</v>
      </c>
      <c r="I148" s="75">
        <f>VLOOKUP($A148,'Data Vlaue (Cr)'!$C:$FB,100)</f>
        <v>1840</v>
      </c>
      <c r="J148" s="75">
        <f t="shared" si="14"/>
        <v>-65</v>
      </c>
      <c r="K148" s="75">
        <f t="shared" si="15"/>
        <v>-3.6619718309859155</v>
      </c>
      <c r="L148" s="75">
        <f>VLOOKUP($A148,'Data Vlaue (Cr)'!$C:$FB,67)</f>
        <v>517</v>
      </c>
      <c r="M148" s="75">
        <f>VLOOKUP($A148,'Data Vlaue (Cr)'!$C:$FB,68)</f>
        <v>353</v>
      </c>
      <c r="N148" s="75">
        <f t="shared" si="16"/>
        <v>164</v>
      </c>
      <c r="O148" s="75">
        <f t="shared" si="17"/>
        <v>31.721470019342355</v>
      </c>
      <c r="P148" s="75">
        <f>VLOOKUP($A148,'Data Vlaue (Cr)'!$C:$FB,119)</f>
        <v>0.6</v>
      </c>
      <c r="Q148" s="75">
        <f>VLOOKUP($A148,'Data Vlaue (Cr)'!$C:$FB,122)*100</f>
        <v>13.209999999999999</v>
      </c>
      <c r="R148" s="75">
        <f>VLOOKUP($A148,'Data Vlaue (Cr)'!$C:$FB,125)</f>
        <v>0.35</v>
      </c>
      <c r="S148" s="75">
        <f>VLOOKUP($A148,'Data Vlaue (Cr)'!$C:$FB,128)*100</f>
        <v>-2.78</v>
      </c>
    </row>
    <row r="149" spans="1:19" x14ac:dyDescent="0.25">
      <c r="A149" s="96" t="str">
        <f>'Data Vlaue (Cr)'!C140</f>
        <v>NBCC</v>
      </c>
      <c r="B149" s="75">
        <f>VLOOKUP($A149,'Data Vlaue (Cr)'!$C:$FB,2)</f>
        <v>6500</v>
      </c>
      <c r="C149" s="75">
        <f>VLOOKUP($A149,'Data Vlaue (Cr)'!$C:$FB,8)</f>
        <v>112.36</v>
      </c>
      <c r="D149" s="75">
        <f>VLOOKUP($A149,'Data Vlaue (Cr)'!$C:$FB,4)</f>
        <v>112.76</v>
      </c>
      <c r="E149" s="75">
        <f>VLOOKUP($A149,'Data Vlaue (Cr)'!$C:$FB,5)</f>
        <v>112.31</v>
      </c>
      <c r="F149" s="75">
        <f t="shared" si="12"/>
        <v>0.40000000000000568</v>
      </c>
      <c r="G149" s="75">
        <f t="shared" si="13"/>
        <v>0.39907768712309577</v>
      </c>
      <c r="H149" s="75">
        <f>VLOOKUP($A149,'Data Vlaue (Cr)'!$C:$FB,99)</f>
        <v>1268</v>
      </c>
      <c r="I149" s="75">
        <f>VLOOKUP($A149,'Data Vlaue (Cr)'!$C:$FB,100)</f>
        <v>1288</v>
      </c>
      <c r="J149" s="75">
        <f t="shared" si="14"/>
        <v>-20</v>
      </c>
      <c r="K149" s="75">
        <f t="shared" si="15"/>
        <v>-1.5772870662460567</v>
      </c>
      <c r="L149" s="75">
        <f>VLOOKUP($A149,'Data Vlaue (Cr)'!$C:$FB,67)</f>
        <v>671</v>
      </c>
      <c r="M149" s="75">
        <f>VLOOKUP($A149,'Data Vlaue (Cr)'!$C:$FB,68)</f>
        <v>588</v>
      </c>
      <c r="N149" s="75">
        <f t="shared" si="16"/>
        <v>83</v>
      </c>
      <c r="O149" s="75">
        <f t="shared" si="17"/>
        <v>12.369597615499254</v>
      </c>
      <c r="P149" s="75">
        <f>VLOOKUP($A149,'Data Vlaue (Cr)'!$C:$FB,119)</f>
        <v>0.52</v>
      </c>
      <c r="Q149" s="75">
        <f>VLOOKUP($A149,'Data Vlaue (Cr)'!$C:$FB,122)*100</f>
        <v>4</v>
      </c>
      <c r="R149" s="75">
        <f>VLOOKUP($A149,'Data Vlaue (Cr)'!$C:$FB,125)</f>
        <v>0.39</v>
      </c>
      <c r="S149" s="75">
        <f>VLOOKUP($A149,'Data Vlaue (Cr)'!$C:$FB,128)*100</f>
        <v>14.71</v>
      </c>
    </row>
    <row r="150" spans="1:19" x14ac:dyDescent="0.25">
      <c r="A150" s="96" t="str">
        <f>'Data Vlaue (Cr)'!C141</f>
        <v>NCC</v>
      </c>
      <c r="B150" s="75">
        <f>VLOOKUP($A150,'Data Vlaue (Cr)'!$C:$FB,2)</f>
        <v>2700</v>
      </c>
      <c r="C150" s="75">
        <f>VLOOKUP($A150,'Data Vlaue (Cr)'!$C:$FB,8)</f>
        <v>209.78</v>
      </c>
      <c r="D150" s="75">
        <f>VLOOKUP($A150,'Data Vlaue (Cr)'!$C:$FB,4)</f>
        <v>210.62</v>
      </c>
      <c r="E150" s="75">
        <f>VLOOKUP($A150,'Data Vlaue (Cr)'!$C:$FB,5)</f>
        <v>212.66</v>
      </c>
      <c r="F150" s="75">
        <f t="shared" si="12"/>
        <v>0.84000000000000341</v>
      </c>
      <c r="G150" s="75">
        <f t="shared" si="13"/>
        <v>-0.96856898680086989</v>
      </c>
      <c r="H150" s="75">
        <f>VLOOKUP($A150,'Data Vlaue (Cr)'!$C:$FB,99)</f>
        <v>666</v>
      </c>
      <c r="I150" s="75">
        <f>VLOOKUP($A150,'Data Vlaue (Cr)'!$C:$FB,100)</f>
        <v>666</v>
      </c>
      <c r="J150" s="75">
        <f t="shared" si="14"/>
        <v>0</v>
      </c>
      <c r="K150" s="75">
        <f t="shared" si="15"/>
        <v>0</v>
      </c>
      <c r="L150" s="75">
        <f>VLOOKUP($A150,'Data Vlaue (Cr)'!$C:$FB,67)</f>
        <v>154</v>
      </c>
      <c r="M150" s="75">
        <f>VLOOKUP($A150,'Data Vlaue (Cr)'!$C:$FB,68)</f>
        <v>946</v>
      </c>
      <c r="N150" s="75">
        <f t="shared" si="16"/>
        <v>-792</v>
      </c>
      <c r="O150" s="75">
        <f t="shared" si="17"/>
        <v>-514.28571428571433</v>
      </c>
      <c r="P150" s="75">
        <f>VLOOKUP($A150,'Data Vlaue (Cr)'!$C:$FB,119)</f>
        <v>0.49</v>
      </c>
      <c r="Q150" s="75">
        <f>VLOOKUP($A150,'Data Vlaue (Cr)'!$C:$FB,122)*100</f>
        <v>-3.92</v>
      </c>
      <c r="R150" s="75">
        <f>VLOOKUP($A150,'Data Vlaue (Cr)'!$C:$FB,125)</f>
        <v>0.44</v>
      </c>
      <c r="S150" s="75">
        <f>VLOOKUP($A150,'Data Vlaue (Cr)'!$C:$FB,128)*100</f>
        <v>10</v>
      </c>
    </row>
    <row r="151" spans="1:19" x14ac:dyDescent="0.25">
      <c r="A151" s="96" t="str">
        <f>'Data Vlaue (Cr)'!C142</f>
        <v>NESTLEIND</v>
      </c>
      <c r="B151" s="75">
        <f>VLOOKUP($A151,'Data Vlaue (Cr)'!$C:$FB,2)</f>
        <v>500</v>
      </c>
      <c r="C151" s="75">
        <f>VLOOKUP($A151,'Data Vlaue (Cr)'!$C:$FB,8)</f>
        <v>1276.5999999999999</v>
      </c>
      <c r="D151" s="75">
        <f>VLOOKUP($A151,'Data Vlaue (Cr)'!$C:$FB,4)</f>
        <v>1282</v>
      </c>
      <c r="E151" s="75">
        <f>VLOOKUP($A151,'Data Vlaue (Cr)'!$C:$FB,5)</f>
        <v>1226.5999999999999</v>
      </c>
      <c r="F151" s="75">
        <f t="shared" si="12"/>
        <v>5.4000000000000909</v>
      </c>
      <c r="G151" s="75">
        <f t="shared" si="13"/>
        <v>4.3213728549142036</v>
      </c>
      <c r="H151" s="75">
        <f>VLOOKUP($A151,'Data Vlaue (Cr)'!$C:$FB,99)</f>
        <v>4928</v>
      </c>
      <c r="I151" s="75">
        <f>VLOOKUP($A151,'Data Vlaue (Cr)'!$C:$FB,100)</f>
        <v>3714</v>
      </c>
      <c r="J151" s="75">
        <f t="shared" si="14"/>
        <v>1214</v>
      </c>
      <c r="K151" s="75">
        <f t="shared" si="15"/>
        <v>24.634740259740258</v>
      </c>
      <c r="L151" s="75">
        <f>VLOOKUP($A151,'Data Vlaue (Cr)'!$C:$FB,67)</f>
        <v>17514</v>
      </c>
      <c r="M151" s="75">
        <f>VLOOKUP($A151,'Data Vlaue (Cr)'!$C:$FB,68)</f>
        <v>4396</v>
      </c>
      <c r="N151" s="75">
        <f t="shared" si="16"/>
        <v>13118</v>
      </c>
      <c r="O151" s="75">
        <f t="shared" si="17"/>
        <v>74.900079936051156</v>
      </c>
      <c r="P151" s="75">
        <f>VLOOKUP($A151,'Data Vlaue (Cr)'!$C:$FB,119)</f>
        <v>1.02</v>
      </c>
      <c r="Q151" s="75">
        <f>VLOOKUP($A151,'Data Vlaue (Cr)'!$C:$FB,122)*100</f>
        <v>34.21</v>
      </c>
      <c r="R151" s="75">
        <f>VLOOKUP($A151,'Data Vlaue (Cr)'!$C:$FB,125)</f>
        <v>0.69</v>
      </c>
      <c r="S151" s="75">
        <f>VLOOKUP($A151,'Data Vlaue (Cr)'!$C:$FB,128)*100</f>
        <v>43.75</v>
      </c>
    </row>
    <row r="152" spans="1:19" x14ac:dyDescent="0.25">
      <c r="A152" s="96" t="str">
        <f>'Data Vlaue (Cr)'!C143</f>
        <v>NHPC</v>
      </c>
      <c r="B152" s="75">
        <f>VLOOKUP($A152,'Data Vlaue (Cr)'!$C:$FB,2)</f>
        <v>6400</v>
      </c>
      <c r="C152" s="75">
        <f>VLOOKUP($A152,'Data Vlaue (Cr)'!$C:$FB,8)</f>
        <v>86.95</v>
      </c>
      <c r="D152" s="75">
        <f>VLOOKUP($A152,'Data Vlaue (Cr)'!$C:$FB,4)</f>
        <v>87.19</v>
      </c>
      <c r="E152" s="75">
        <f>VLOOKUP($A152,'Data Vlaue (Cr)'!$C:$FB,5)</f>
        <v>87.35</v>
      </c>
      <c r="F152" s="75">
        <f t="shared" si="12"/>
        <v>0.23999999999999488</v>
      </c>
      <c r="G152" s="75">
        <f t="shared" si="13"/>
        <v>-0.18350728294528798</v>
      </c>
      <c r="H152" s="75">
        <f>VLOOKUP($A152,'Data Vlaue (Cr)'!$C:$FB,99)</f>
        <v>663</v>
      </c>
      <c r="I152" s="75">
        <f>VLOOKUP($A152,'Data Vlaue (Cr)'!$C:$FB,100)</f>
        <v>657</v>
      </c>
      <c r="J152" s="75">
        <f t="shared" si="14"/>
        <v>6</v>
      </c>
      <c r="K152" s="75">
        <f t="shared" si="15"/>
        <v>0.90497737556561098</v>
      </c>
      <c r="L152" s="75">
        <f>VLOOKUP($A152,'Data Vlaue (Cr)'!$C:$FB,67)</f>
        <v>470</v>
      </c>
      <c r="M152" s="75">
        <f>VLOOKUP($A152,'Data Vlaue (Cr)'!$C:$FB,68)</f>
        <v>332</v>
      </c>
      <c r="N152" s="75">
        <f t="shared" si="16"/>
        <v>138</v>
      </c>
      <c r="O152" s="75">
        <f t="shared" si="17"/>
        <v>29.361702127659573</v>
      </c>
      <c r="P152" s="75">
        <f>VLOOKUP($A152,'Data Vlaue (Cr)'!$C:$FB,119)</f>
        <v>0.48</v>
      </c>
      <c r="Q152" s="75">
        <f>VLOOKUP($A152,'Data Vlaue (Cr)'!$C:$FB,122)*100</f>
        <v>-2.04</v>
      </c>
      <c r="R152" s="75">
        <f>VLOOKUP($A152,'Data Vlaue (Cr)'!$C:$FB,125)</f>
        <v>0.49</v>
      </c>
      <c r="S152" s="75">
        <f>VLOOKUP($A152,'Data Vlaue (Cr)'!$C:$FB,128)*100</f>
        <v>4.26</v>
      </c>
    </row>
    <row r="153" spans="1:19" x14ac:dyDescent="0.25">
      <c r="A153" s="96" t="str">
        <f>'Data Vlaue (Cr)'!C144</f>
        <v>NIFTY</v>
      </c>
      <c r="B153" s="75">
        <f>VLOOKUP($A153,'Data Vlaue (Cr)'!$C:$FB,2)</f>
        <v>75</v>
      </c>
      <c r="C153" s="75">
        <f>VLOOKUP($A153,'Data Vlaue (Cr)'!$C:$FB,8)</f>
        <v>25585.3</v>
      </c>
      <c r="D153" s="75">
        <f>VLOOKUP($A153,'Data Vlaue (Cr)'!$C:$FB,4)</f>
        <v>25656.1</v>
      </c>
      <c r="E153" s="75">
        <f>VLOOKUP($A153,'Data Vlaue (Cr)'!$C:$FB,5)</f>
        <v>25424.799999999999</v>
      </c>
      <c r="F153" s="75">
        <f t="shared" si="12"/>
        <v>70.799999999999272</v>
      </c>
      <c r="G153" s="75">
        <f t="shared" si="13"/>
        <v>0.90153998464302565</v>
      </c>
      <c r="H153" s="75">
        <f>VLOOKUP($A153,'Data Vlaue (Cr)'!$C:$FB,99)</f>
        <v>1346105</v>
      </c>
      <c r="I153" s="75">
        <f>VLOOKUP($A153,'Data Vlaue (Cr)'!$C:$FB,100)</f>
        <v>1174095</v>
      </c>
      <c r="J153" s="75">
        <f t="shared" si="14"/>
        <v>172010</v>
      </c>
      <c r="K153" s="75">
        <f t="shared" si="15"/>
        <v>12.778349385820571</v>
      </c>
      <c r="L153" s="75">
        <f>VLOOKUP($A153,'Data Vlaue (Cr)'!$C:$FB,67)</f>
        <v>12816551</v>
      </c>
      <c r="M153" s="75">
        <f>VLOOKUP($A153,'Data Vlaue (Cr)'!$C:$FB,68)</f>
        <v>11787115</v>
      </c>
      <c r="N153" s="75">
        <f t="shared" si="16"/>
        <v>1029436</v>
      </c>
      <c r="O153" s="75">
        <f t="shared" si="17"/>
        <v>8.0320828903189323</v>
      </c>
      <c r="P153" s="75">
        <f>VLOOKUP($A153,'Data Vlaue (Cr)'!$C:$FB,119)</f>
        <v>1.38</v>
      </c>
      <c r="Q153" s="75">
        <f>VLOOKUP($A153,'Data Vlaue (Cr)'!$C:$FB,122)*100</f>
        <v>14.05</v>
      </c>
      <c r="R153" s="75">
        <f>VLOOKUP($A153,'Data Vlaue (Cr)'!$C:$FB,125)</f>
        <v>0.81</v>
      </c>
      <c r="S153" s="75">
        <f>VLOOKUP($A153,'Data Vlaue (Cr)'!$C:$FB,128)*100</f>
        <v>-6.9</v>
      </c>
    </row>
    <row r="154" spans="1:19" x14ac:dyDescent="0.25">
      <c r="A154" s="96" t="str">
        <f>'Data Vlaue (Cr)'!C145</f>
        <v>NIFTYNXT50</v>
      </c>
      <c r="B154" s="75">
        <f>VLOOKUP($A154,'Data Vlaue (Cr)'!$C:$FB,2)</f>
        <v>25</v>
      </c>
      <c r="C154" s="75">
        <f>VLOOKUP($A154,'Data Vlaue (Cr)'!$C:$FB,8)</f>
        <v>69453.2</v>
      </c>
      <c r="D154" s="75">
        <f>VLOOKUP($A154,'Data Vlaue (Cr)'!$C:$FB,4)</f>
        <v>69583.8</v>
      </c>
      <c r="E154" s="75">
        <f>VLOOKUP($A154,'Data Vlaue (Cr)'!$C:$FB,5)</f>
        <v>69281.399999999994</v>
      </c>
      <c r="F154" s="75">
        <f t="shared" si="12"/>
        <v>130.60000000000582</v>
      </c>
      <c r="G154" s="75">
        <f t="shared" si="13"/>
        <v>0.43458391177258027</v>
      </c>
      <c r="H154" s="75">
        <f>VLOOKUP($A154,'Data Vlaue (Cr)'!$C:$FB,99)</f>
        <v>267</v>
      </c>
      <c r="I154" s="75">
        <f>VLOOKUP($A154,'Data Vlaue (Cr)'!$C:$FB,100)</f>
        <v>255</v>
      </c>
      <c r="J154" s="75">
        <f t="shared" si="14"/>
        <v>12</v>
      </c>
      <c r="K154" s="75">
        <f t="shared" si="15"/>
        <v>4.4943820224719104</v>
      </c>
      <c r="L154" s="75">
        <f>VLOOKUP($A154,'Data Vlaue (Cr)'!$C:$FB,67)</f>
        <v>149</v>
      </c>
      <c r="M154" s="75">
        <f>VLOOKUP($A154,'Data Vlaue (Cr)'!$C:$FB,68)</f>
        <v>214</v>
      </c>
      <c r="N154" s="75">
        <f t="shared" si="16"/>
        <v>-65</v>
      </c>
      <c r="O154" s="75">
        <f t="shared" si="17"/>
        <v>-43.624161073825505</v>
      </c>
      <c r="P154" s="75">
        <f>VLOOKUP($A154,'Data Vlaue (Cr)'!$C:$FB,119)</f>
        <v>0.88</v>
      </c>
      <c r="Q154" s="75">
        <f>VLOOKUP($A154,'Data Vlaue (Cr)'!$C:$FB,122)*100</f>
        <v>-1.1199999999999999</v>
      </c>
      <c r="R154" s="75">
        <f>VLOOKUP($A154,'Data Vlaue (Cr)'!$C:$FB,125)</f>
        <v>0.28999999999999998</v>
      </c>
      <c r="S154" s="75">
        <f>VLOOKUP($A154,'Data Vlaue (Cr)'!$C:$FB,128)*100</f>
        <v>-56.06</v>
      </c>
    </row>
    <row r="155" spans="1:19" x14ac:dyDescent="0.25">
      <c r="A155" s="96" t="str">
        <f>'Data Vlaue (Cr)'!C146</f>
        <v>NMDC</v>
      </c>
      <c r="B155" s="75">
        <f>VLOOKUP($A155,'Data Vlaue (Cr)'!$C:$FB,2)</f>
        <v>13500</v>
      </c>
      <c r="C155" s="75">
        <f>VLOOKUP($A155,'Data Vlaue (Cr)'!$C:$FB,8)</f>
        <v>75.88</v>
      </c>
      <c r="D155" s="75">
        <f>VLOOKUP($A155,'Data Vlaue (Cr)'!$C:$FB,4)</f>
        <v>76.03</v>
      </c>
      <c r="E155" s="75">
        <f>VLOOKUP($A155,'Data Vlaue (Cr)'!$C:$FB,5)</f>
        <v>76.81</v>
      </c>
      <c r="F155" s="75">
        <f t="shared" si="12"/>
        <v>0.15000000000000568</v>
      </c>
      <c r="G155" s="75">
        <f t="shared" si="13"/>
        <v>-1.0259108246744721</v>
      </c>
      <c r="H155" s="75">
        <f>VLOOKUP($A155,'Data Vlaue (Cr)'!$C:$FB,99)</f>
        <v>4164</v>
      </c>
      <c r="I155" s="75">
        <f>VLOOKUP($A155,'Data Vlaue (Cr)'!$C:$FB,100)</f>
        <v>4046</v>
      </c>
      <c r="J155" s="75">
        <f t="shared" si="14"/>
        <v>118</v>
      </c>
      <c r="K155" s="75">
        <f t="shared" si="15"/>
        <v>2.8338136407300674</v>
      </c>
      <c r="L155" s="75">
        <f>VLOOKUP($A155,'Data Vlaue (Cr)'!$C:$FB,67)</f>
        <v>973</v>
      </c>
      <c r="M155" s="75">
        <f>VLOOKUP($A155,'Data Vlaue (Cr)'!$C:$FB,68)</f>
        <v>1529</v>
      </c>
      <c r="N155" s="75">
        <f t="shared" si="16"/>
        <v>-556</v>
      </c>
      <c r="O155" s="75">
        <f t="shared" si="17"/>
        <v>-57.142857142857139</v>
      </c>
      <c r="P155" s="75">
        <f>VLOOKUP($A155,'Data Vlaue (Cr)'!$C:$FB,119)</f>
        <v>0.54</v>
      </c>
      <c r="Q155" s="75">
        <f>VLOOKUP($A155,'Data Vlaue (Cr)'!$C:$FB,122)*100</f>
        <v>-3.5700000000000003</v>
      </c>
      <c r="R155" s="75">
        <f>VLOOKUP($A155,'Data Vlaue (Cr)'!$C:$FB,125)</f>
        <v>0.39</v>
      </c>
      <c r="S155" s="75">
        <f>VLOOKUP($A155,'Data Vlaue (Cr)'!$C:$FB,128)*100</f>
        <v>8.33</v>
      </c>
    </row>
    <row r="156" spans="1:19" x14ac:dyDescent="0.25">
      <c r="A156" s="96" t="str">
        <f>'Data Vlaue (Cr)'!C147</f>
        <v>NTPC</v>
      </c>
      <c r="B156" s="75">
        <f>VLOOKUP($A156,'Data Vlaue (Cr)'!$C:$FB,2)</f>
        <v>1500</v>
      </c>
      <c r="C156" s="75">
        <f>VLOOKUP($A156,'Data Vlaue (Cr)'!$C:$FB,8)</f>
        <v>341.5</v>
      </c>
      <c r="D156" s="75">
        <f>VLOOKUP($A156,'Data Vlaue (Cr)'!$C:$FB,4)</f>
        <v>342.5</v>
      </c>
      <c r="E156" s="75">
        <f>VLOOKUP($A156,'Data Vlaue (Cr)'!$C:$FB,5)</f>
        <v>340.6</v>
      </c>
      <c r="F156" s="75">
        <f t="shared" si="12"/>
        <v>1</v>
      </c>
      <c r="G156" s="75">
        <f t="shared" si="13"/>
        <v>0.55474452554743858</v>
      </c>
      <c r="H156" s="75">
        <f>VLOOKUP($A156,'Data Vlaue (Cr)'!$C:$FB,99)</f>
        <v>5522</v>
      </c>
      <c r="I156" s="75">
        <f>VLOOKUP($A156,'Data Vlaue (Cr)'!$C:$FB,100)</f>
        <v>5517</v>
      </c>
      <c r="J156" s="75">
        <f t="shared" si="14"/>
        <v>5</v>
      </c>
      <c r="K156" s="75">
        <f t="shared" si="15"/>
        <v>9.0546903295907269E-2</v>
      </c>
      <c r="L156" s="75">
        <f>VLOOKUP($A156,'Data Vlaue (Cr)'!$C:$FB,67)</f>
        <v>1968</v>
      </c>
      <c r="M156" s="75">
        <f>VLOOKUP($A156,'Data Vlaue (Cr)'!$C:$FB,68)</f>
        <v>2909</v>
      </c>
      <c r="N156" s="75">
        <f t="shared" si="16"/>
        <v>-941</v>
      </c>
      <c r="O156" s="75">
        <f t="shared" si="17"/>
        <v>-47.815040650406502</v>
      </c>
      <c r="P156" s="75">
        <f>VLOOKUP($A156,'Data Vlaue (Cr)'!$C:$FB,119)</f>
        <v>0.41</v>
      </c>
      <c r="Q156" s="75">
        <f>VLOOKUP($A156,'Data Vlaue (Cr)'!$C:$FB,122)*100</f>
        <v>7.89</v>
      </c>
      <c r="R156" s="75">
        <f>VLOOKUP($A156,'Data Vlaue (Cr)'!$C:$FB,125)</f>
        <v>0.48</v>
      </c>
      <c r="S156" s="75">
        <f>VLOOKUP($A156,'Data Vlaue (Cr)'!$C:$FB,128)*100</f>
        <v>-11.110000000000001</v>
      </c>
    </row>
    <row r="157" spans="1:19" x14ac:dyDescent="0.25">
      <c r="A157" s="96" t="str">
        <f>'Data Vlaue (Cr)'!C148</f>
        <v>NUVAMA</v>
      </c>
      <c r="B157" s="75">
        <f>VLOOKUP($A157,'Data Vlaue (Cr)'!$C:$FB,2)</f>
        <v>75</v>
      </c>
      <c r="C157" s="75">
        <f>VLOOKUP($A157,'Data Vlaue (Cr)'!$C:$FB,8)</f>
        <v>7225.5</v>
      </c>
      <c r="D157" s="75">
        <f>VLOOKUP($A157,'Data Vlaue (Cr)'!$C:$FB,4)</f>
        <v>7250.5</v>
      </c>
      <c r="E157" s="75">
        <f>VLOOKUP($A157,'Data Vlaue (Cr)'!$C:$FB,5)</f>
        <v>7252</v>
      </c>
      <c r="F157" s="75">
        <f t="shared" si="12"/>
        <v>25</v>
      </c>
      <c r="G157" s="75">
        <f t="shared" si="13"/>
        <v>-2.0688228398041512E-2</v>
      </c>
      <c r="H157" s="75">
        <f>VLOOKUP($A157,'Data Vlaue (Cr)'!$C:$FB,99)</f>
        <v>614</v>
      </c>
      <c r="I157" s="75">
        <f>VLOOKUP($A157,'Data Vlaue (Cr)'!$C:$FB,100)</f>
        <v>634</v>
      </c>
      <c r="J157" s="75">
        <f t="shared" si="14"/>
        <v>-20</v>
      </c>
      <c r="K157" s="75">
        <f t="shared" si="15"/>
        <v>-3.2573289902280131</v>
      </c>
      <c r="L157" s="75">
        <f>VLOOKUP($A157,'Data Vlaue (Cr)'!$C:$FB,67)</f>
        <v>188</v>
      </c>
      <c r="M157" s="75">
        <f>VLOOKUP($A157,'Data Vlaue (Cr)'!$C:$FB,68)</f>
        <v>290</v>
      </c>
      <c r="N157" s="75">
        <f t="shared" si="16"/>
        <v>-102</v>
      </c>
      <c r="O157" s="75">
        <f t="shared" si="17"/>
        <v>-54.255319148936167</v>
      </c>
      <c r="P157" s="75">
        <f>VLOOKUP($A157,'Data Vlaue (Cr)'!$C:$FB,119)</f>
        <v>0.84</v>
      </c>
      <c r="Q157" s="75">
        <f>VLOOKUP($A157,'Data Vlaue (Cr)'!$C:$FB,122)*100</f>
        <v>-5.62</v>
      </c>
      <c r="R157" s="75">
        <f>VLOOKUP($A157,'Data Vlaue (Cr)'!$C:$FB,125)</f>
        <v>0.83</v>
      </c>
      <c r="S157" s="75">
        <f>VLOOKUP($A157,'Data Vlaue (Cr)'!$C:$FB,128)*100</f>
        <v>2.4699999999999998</v>
      </c>
    </row>
    <row r="158" spans="1:19" x14ac:dyDescent="0.25">
      <c r="A158" s="96" t="str">
        <f>'Data Vlaue (Cr)'!C149</f>
        <v>NYKAA</v>
      </c>
      <c r="B158" s="75">
        <f>VLOOKUP($A158,'Data Vlaue (Cr)'!$C:$FB,2)</f>
        <v>3125</v>
      </c>
      <c r="C158" s="75">
        <f>VLOOKUP($A158,'Data Vlaue (Cr)'!$C:$FB,8)</f>
        <v>263.31</v>
      </c>
      <c r="D158" s="75">
        <f>VLOOKUP($A158,'Data Vlaue (Cr)'!$C:$FB,4)</f>
        <v>263.02</v>
      </c>
      <c r="E158" s="75">
        <f>VLOOKUP($A158,'Data Vlaue (Cr)'!$C:$FB,5)</f>
        <v>262.31</v>
      </c>
      <c r="F158" s="75">
        <f t="shared" si="12"/>
        <v>-0.29000000000002046</v>
      </c>
      <c r="G158" s="75">
        <f t="shared" si="13"/>
        <v>0.26994144931943564</v>
      </c>
      <c r="H158" s="75">
        <f>VLOOKUP($A158,'Data Vlaue (Cr)'!$C:$FB,99)</f>
        <v>2537</v>
      </c>
      <c r="I158" s="75">
        <f>VLOOKUP($A158,'Data Vlaue (Cr)'!$C:$FB,100)</f>
        <v>2431</v>
      </c>
      <c r="J158" s="75">
        <f t="shared" si="14"/>
        <v>106</v>
      </c>
      <c r="K158" s="75">
        <f t="shared" si="15"/>
        <v>4.1781631848640126</v>
      </c>
      <c r="L158" s="75">
        <f>VLOOKUP($A158,'Data Vlaue (Cr)'!$C:$FB,67)</f>
        <v>1286</v>
      </c>
      <c r="M158" s="75">
        <f>VLOOKUP($A158,'Data Vlaue (Cr)'!$C:$FB,68)</f>
        <v>1264</v>
      </c>
      <c r="N158" s="75">
        <f t="shared" si="16"/>
        <v>22</v>
      </c>
      <c r="O158" s="75">
        <f t="shared" si="17"/>
        <v>1.7107309486780715</v>
      </c>
      <c r="P158" s="75">
        <f>VLOOKUP($A158,'Data Vlaue (Cr)'!$C:$FB,119)</f>
        <v>0.72</v>
      </c>
      <c r="Q158" s="75">
        <f>VLOOKUP($A158,'Data Vlaue (Cr)'!$C:$FB,122)*100</f>
        <v>7.46</v>
      </c>
      <c r="R158" s="75">
        <f>VLOOKUP($A158,'Data Vlaue (Cr)'!$C:$FB,125)</f>
        <v>0.57999999999999996</v>
      </c>
      <c r="S158" s="75">
        <f>VLOOKUP($A158,'Data Vlaue (Cr)'!$C:$FB,128)*100</f>
        <v>20.830000000000002</v>
      </c>
    </row>
    <row r="159" spans="1:19" x14ac:dyDescent="0.25">
      <c r="A159" s="96" t="str">
        <f>'Data Vlaue (Cr)'!C150</f>
        <v>OBEROIRLTY</v>
      </c>
      <c r="B159" s="75">
        <f>VLOOKUP($A159,'Data Vlaue (Cr)'!$C:$FB,2)</f>
        <v>350</v>
      </c>
      <c r="C159" s="75">
        <f>VLOOKUP($A159,'Data Vlaue (Cr)'!$C:$FB,8)</f>
        <v>1687.1</v>
      </c>
      <c r="D159" s="75">
        <f>VLOOKUP($A159,'Data Vlaue (Cr)'!$C:$FB,4)</f>
        <v>1693.2</v>
      </c>
      <c r="E159" s="75">
        <f>VLOOKUP($A159,'Data Vlaue (Cr)'!$C:$FB,5)</f>
        <v>1608.4</v>
      </c>
      <c r="F159" s="75">
        <f t="shared" si="12"/>
        <v>6.1000000000001364</v>
      </c>
      <c r="G159" s="75">
        <f t="shared" si="13"/>
        <v>5.0082683675879958</v>
      </c>
      <c r="H159" s="75">
        <f>VLOOKUP($A159,'Data Vlaue (Cr)'!$C:$FB,99)</f>
        <v>1556</v>
      </c>
      <c r="I159" s="75">
        <f>VLOOKUP($A159,'Data Vlaue (Cr)'!$C:$FB,100)</f>
        <v>1380</v>
      </c>
      <c r="J159" s="75">
        <f t="shared" si="14"/>
        <v>176</v>
      </c>
      <c r="K159" s="75">
        <f t="shared" si="15"/>
        <v>11.311053984575835</v>
      </c>
      <c r="L159" s="75">
        <f>VLOOKUP($A159,'Data Vlaue (Cr)'!$C:$FB,67)</f>
        <v>7015</v>
      </c>
      <c r="M159" s="75">
        <f>VLOOKUP($A159,'Data Vlaue (Cr)'!$C:$FB,68)</f>
        <v>1282</v>
      </c>
      <c r="N159" s="75">
        <f t="shared" si="16"/>
        <v>5733</v>
      </c>
      <c r="O159" s="75">
        <f t="shared" si="17"/>
        <v>81.724875267284389</v>
      </c>
      <c r="P159" s="75">
        <f>VLOOKUP($A159,'Data Vlaue (Cr)'!$C:$FB,119)</f>
        <v>0.7</v>
      </c>
      <c r="Q159" s="75">
        <f>VLOOKUP($A159,'Data Vlaue (Cr)'!$C:$FB,122)*100</f>
        <v>20.69</v>
      </c>
      <c r="R159" s="75">
        <f>VLOOKUP($A159,'Data Vlaue (Cr)'!$C:$FB,125)</f>
        <v>0.38</v>
      </c>
      <c r="S159" s="75">
        <f>VLOOKUP($A159,'Data Vlaue (Cr)'!$C:$FB,128)*100</f>
        <v>46.150000000000006</v>
      </c>
    </row>
    <row r="160" spans="1:19" x14ac:dyDescent="0.25">
      <c r="A160" s="96" t="str">
        <f>'Data Vlaue (Cr)'!C151</f>
        <v>OFSS</v>
      </c>
      <c r="B160" s="75">
        <f>VLOOKUP($A160,'Data Vlaue (Cr)'!$C:$FB,2)</f>
        <v>75</v>
      </c>
      <c r="C160" s="75">
        <f>VLOOKUP($A160,'Data Vlaue (Cr)'!$C:$FB,8)</f>
        <v>8796.5</v>
      </c>
      <c r="D160" s="75">
        <f>VLOOKUP($A160,'Data Vlaue (Cr)'!$C:$FB,4)</f>
        <v>8797.5</v>
      </c>
      <c r="E160" s="75">
        <f>VLOOKUP($A160,'Data Vlaue (Cr)'!$C:$FB,5)</f>
        <v>8724.5</v>
      </c>
      <c r="F160" s="75">
        <f t="shared" si="12"/>
        <v>1</v>
      </c>
      <c r="G160" s="75">
        <f t="shared" si="13"/>
        <v>0.8297811878374538</v>
      </c>
      <c r="H160" s="75">
        <f>VLOOKUP($A160,'Data Vlaue (Cr)'!$C:$FB,99)</f>
        <v>2140</v>
      </c>
      <c r="I160" s="75">
        <f>VLOOKUP($A160,'Data Vlaue (Cr)'!$C:$FB,100)</f>
        <v>2051</v>
      </c>
      <c r="J160" s="75">
        <f t="shared" si="14"/>
        <v>89</v>
      </c>
      <c r="K160" s="75">
        <f t="shared" si="15"/>
        <v>4.1588785046728969</v>
      </c>
      <c r="L160" s="75">
        <f>VLOOKUP($A160,'Data Vlaue (Cr)'!$C:$FB,67)</f>
        <v>1440</v>
      </c>
      <c r="M160" s="75">
        <f>VLOOKUP($A160,'Data Vlaue (Cr)'!$C:$FB,68)</f>
        <v>2405</v>
      </c>
      <c r="N160" s="75">
        <f t="shared" si="16"/>
        <v>-965</v>
      </c>
      <c r="O160" s="75">
        <f t="shared" si="17"/>
        <v>-67.013888888888886</v>
      </c>
      <c r="P160" s="75">
        <f>VLOOKUP($A160,'Data Vlaue (Cr)'!$C:$FB,119)</f>
        <v>0.54</v>
      </c>
      <c r="Q160" s="75">
        <f>VLOOKUP($A160,'Data Vlaue (Cr)'!$C:$FB,122)*100</f>
        <v>0</v>
      </c>
      <c r="R160" s="75">
        <f>VLOOKUP($A160,'Data Vlaue (Cr)'!$C:$FB,125)</f>
        <v>0.44</v>
      </c>
      <c r="S160" s="75">
        <f>VLOOKUP($A160,'Data Vlaue (Cr)'!$C:$FB,128)*100</f>
        <v>-32.31</v>
      </c>
    </row>
    <row r="161" spans="1:19" x14ac:dyDescent="0.25">
      <c r="A161" s="96" t="str">
        <f>'Data Vlaue (Cr)'!C152</f>
        <v>OIL</v>
      </c>
      <c r="B161" s="75">
        <f>VLOOKUP($A161,'Data Vlaue (Cr)'!$C:$FB,2)</f>
        <v>1400</v>
      </c>
      <c r="C161" s="75">
        <f>VLOOKUP($A161,'Data Vlaue (Cr)'!$C:$FB,8)</f>
        <v>417.25</v>
      </c>
      <c r="D161" s="75">
        <f>VLOOKUP($A161,'Data Vlaue (Cr)'!$C:$FB,4)</f>
        <v>416.3</v>
      </c>
      <c r="E161" s="75">
        <f>VLOOKUP($A161,'Data Vlaue (Cr)'!$C:$FB,5)</f>
        <v>421.15</v>
      </c>
      <c r="F161" s="75">
        <f t="shared" si="12"/>
        <v>-0.94999999999998863</v>
      </c>
      <c r="G161" s="75">
        <f t="shared" si="13"/>
        <v>-1.165025222195524</v>
      </c>
      <c r="H161" s="75">
        <f>VLOOKUP($A161,'Data Vlaue (Cr)'!$C:$FB,99)</f>
        <v>854</v>
      </c>
      <c r="I161" s="75">
        <f>VLOOKUP($A161,'Data Vlaue (Cr)'!$C:$FB,100)</f>
        <v>838</v>
      </c>
      <c r="J161" s="75">
        <f t="shared" si="14"/>
        <v>16</v>
      </c>
      <c r="K161" s="75">
        <f t="shared" si="15"/>
        <v>1.873536299765808</v>
      </c>
      <c r="L161" s="75">
        <f>VLOOKUP($A161,'Data Vlaue (Cr)'!$C:$FB,67)</f>
        <v>265</v>
      </c>
      <c r="M161" s="75">
        <f>VLOOKUP($A161,'Data Vlaue (Cr)'!$C:$FB,68)</f>
        <v>346</v>
      </c>
      <c r="N161" s="75">
        <f t="shared" si="16"/>
        <v>-81</v>
      </c>
      <c r="O161" s="75">
        <f t="shared" si="17"/>
        <v>-30.566037735849054</v>
      </c>
      <c r="P161" s="75">
        <f>VLOOKUP($A161,'Data Vlaue (Cr)'!$C:$FB,119)</f>
        <v>0.54</v>
      </c>
      <c r="Q161" s="75">
        <f>VLOOKUP($A161,'Data Vlaue (Cr)'!$C:$FB,122)*100</f>
        <v>0</v>
      </c>
      <c r="R161" s="75">
        <f>VLOOKUP($A161,'Data Vlaue (Cr)'!$C:$FB,125)</f>
        <v>0.52</v>
      </c>
      <c r="S161" s="75">
        <f>VLOOKUP($A161,'Data Vlaue (Cr)'!$C:$FB,128)*100</f>
        <v>10.639999999999999</v>
      </c>
    </row>
    <row r="162" spans="1:19" x14ac:dyDescent="0.25">
      <c r="A162" s="96" t="str">
        <f>'Data Vlaue (Cr)'!C153</f>
        <v>ONGC</v>
      </c>
      <c r="B162" s="75">
        <f>VLOOKUP($A162,'Data Vlaue (Cr)'!$C:$FB,2)</f>
        <v>2250</v>
      </c>
      <c r="C162" s="75">
        <f>VLOOKUP($A162,'Data Vlaue (Cr)'!$C:$FB,8)</f>
        <v>248.35</v>
      </c>
      <c r="D162" s="75">
        <f>VLOOKUP($A162,'Data Vlaue (Cr)'!$C:$FB,4)</f>
        <v>248.59</v>
      </c>
      <c r="E162" s="75">
        <f>VLOOKUP($A162,'Data Vlaue (Cr)'!$C:$FB,5)</f>
        <v>248.07</v>
      </c>
      <c r="F162" s="75">
        <f t="shared" si="12"/>
        <v>0.24000000000000909</v>
      </c>
      <c r="G162" s="75">
        <f t="shared" si="13"/>
        <v>0.20917977392494075</v>
      </c>
      <c r="H162" s="75">
        <f>VLOOKUP($A162,'Data Vlaue (Cr)'!$C:$FB,99)</f>
        <v>4379</v>
      </c>
      <c r="I162" s="75">
        <f>VLOOKUP($A162,'Data Vlaue (Cr)'!$C:$FB,100)</f>
        <v>4344</v>
      </c>
      <c r="J162" s="75">
        <f t="shared" si="14"/>
        <v>35</v>
      </c>
      <c r="K162" s="75">
        <f t="shared" si="15"/>
        <v>0.79926923955240914</v>
      </c>
      <c r="L162" s="75">
        <f>VLOOKUP($A162,'Data Vlaue (Cr)'!$C:$FB,67)</f>
        <v>1365</v>
      </c>
      <c r="M162" s="75">
        <f>VLOOKUP($A162,'Data Vlaue (Cr)'!$C:$FB,68)</f>
        <v>1620</v>
      </c>
      <c r="N162" s="75">
        <f t="shared" si="16"/>
        <v>-255</v>
      </c>
      <c r="O162" s="75">
        <f t="shared" si="17"/>
        <v>-18.681318681318682</v>
      </c>
      <c r="P162" s="75">
        <f>VLOOKUP($A162,'Data Vlaue (Cr)'!$C:$FB,119)</f>
        <v>0.41</v>
      </c>
      <c r="Q162" s="75">
        <f>VLOOKUP($A162,'Data Vlaue (Cr)'!$C:$FB,122)*100</f>
        <v>2.5</v>
      </c>
      <c r="R162" s="75">
        <f>VLOOKUP($A162,'Data Vlaue (Cr)'!$C:$FB,125)</f>
        <v>0.61</v>
      </c>
      <c r="S162" s="75">
        <f>VLOOKUP($A162,'Data Vlaue (Cr)'!$C:$FB,128)*100</f>
        <v>-11.59</v>
      </c>
    </row>
    <row r="163" spans="1:19" x14ac:dyDescent="0.25">
      <c r="A163" s="96" t="str">
        <f>'Data Vlaue (Cr)'!C154</f>
        <v>PAGEIND</v>
      </c>
      <c r="B163" s="75">
        <f>VLOOKUP($A163,'Data Vlaue (Cr)'!$C:$FB,2)</f>
        <v>15</v>
      </c>
      <c r="C163" s="75">
        <f>VLOOKUP($A163,'Data Vlaue (Cr)'!$C:$FB,8)</f>
        <v>41020</v>
      </c>
      <c r="D163" s="75">
        <f>VLOOKUP($A163,'Data Vlaue (Cr)'!$C:$FB,4)</f>
        <v>41180</v>
      </c>
      <c r="E163" s="75">
        <f>VLOOKUP($A163,'Data Vlaue (Cr)'!$C:$FB,5)</f>
        <v>40630</v>
      </c>
      <c r="F163" s="75">
        <f t="shared" si="12"/>
        <v>160</v>
      </c>
      <c r="G163" s="75">
        <f t="shared" si="13"/>
        <v>1.3355998057309373</v>
      </c>
      <c r="H163" s="75">
        <f>VLOOKUP($A163,'Data Vlaue (Cr)'!$C:$FB,99)</f>
        <v>1698</v>
      </c>
      <c r="I163" s="75">
        <f>VLOOKUP($A163,'Data Vlaue (Cr)'!$C:$FB,100)</f>
        <v>1639</v>
      </c>
      <c r="J163" s="75">
        <f t="shared" si="14"/>
        <v>59</v>
      </c>
      <c r="K163" s="75">
        <f t="shared" si="15"/>
        <v>3.4746760895170787</v>
      </c>
      <c r="L163" s="75">
        <f>VLOOKUP($A163,'Data Vlaue (Cr)'!$C:$FB,67)</f>
        <v>1082</v>
      </c>
      <c r="M163" s="75">
        <f>VLOOKUP($A163,'Data Vlaue (Cr)'!$C:$FB,68)</f>
        <v>850</v>
      </c>
      <c r="N163" s="75">
        <f t="shared" si="16"/>
        <v>232</v>
      </c>
      <c r="O163" s="75">
        <f t="shared" si="17"/>
        <v>21.441774491682068</v>
      </c>
      <c r="P163" s="75">
        <f>VLOOKUP($A163,'Data Vlaue (Cr)'!$C:$FB,119)</f>
        <v>0.42</v>
      </c>
      <c r="Q163" s="75">
        <f>VLOOKUP($A163,'Data Vlaue (Cr)'!$C:$FB,122)*100</f>
        <v>27.27</v>
      </c>
      <c r="R163" s="75">
        <f>VLOOKUP($A163,'Data Vlaue (Cr)'!$C:$FB,125)</f>
        <v>0.25</v>
      </c>
      <c r="S163" s="75">
        <f>VLOOKUP($A163,'Data Vlaue (Cr)'!$C:$FB,128)*100</f>
        <v>177.78</v>
      </c>
    </row>
    <row r="164" spans="1:19" x14ac:dyDescent="0.25">
      <c r="A164" s="96" t="str">
        <f>'Data Vlaue (Cr)'!C155</f>
        <v>PATANJALI</v>
      </c>
      <c r="B164" s="75">
        <f>VLOOKUP($A164,'Data Vlaue (Cr)'!$C:$FB,2)</f>
        <v>900</v>
      </c>
      <c r="C164" s="75">
        <f>VLOOKUP($A164,'Data Vlaue (Cr)'!$C:$FB,8)</f>
        <v>589.85</v>
      </c>
      <c r="D164" s="75">
        <f>VLOOKUP($A164,'Data Vlaue (Cr)'!$C:$FB,4)</f>
        <v>591.85</v>
      </c>
      <c r="E164" s="75">
        <f>VLOOKUP($A164,'Data Vlaue (Cr)'!$C:$FB,5)</f>
        <v>586.85</v>
      </c>
      <c r="F164" s="75">
        <f t="shared" si="12"/>
        <v>2</v>
      </c>
      <c r="G164" s="75">
        <f t="shared" si="13"/>
        <v>0.84480865084058454</v>
      </c>
      <c r="H164" s="75">
        <f>VLOOKUP($A164,'Data Vlaue (Cr)'!$C:$FB,99)</f>
        <v>2508</v>
      </c>
      <c r="I164" s="75">
        <f>VLOOKUP($A164,'Data Vlaue (Cr)'!$C:$FB,100)</f>
        <v>2513</v>
      </c>
      <c r="J164" s="75">
        <f t="shared" si="14"/>
        <v>-5</v>
      </c>
      <c r="K164" s="75">
        <f t="shared" si="15"/>
        <v>-0.1993620414673046</v>
      </c>
      <c r="L164" s="75">
        <f>VLOOKUP($A164,'Data Vlaue (Cr)'!$C:$FB,67)</f>
        <v>525</v>
      </c>
      <c r="M164" s="75">
        <f>VLOOKUP($A164,'Data Vlaue (Cr)'!$C:$FB,68)</f>
        <v>325</v>
      </c>
      <c r="N164" s="75">
        <f t="shared" si="16"/>
        <v>200</v>
      </c>
      <c r="O164" s="75">
        <f t="shared" si="17"/>
        <v>38.095238095238095</v>
      </c>
      <c r="P164" s="75">
        <f>VLOOKUP($A164,'Data Vlaue (Cr)'!$C:$FB,119)</f>
        <v>0.42</v>
      </c>
      <c r="Q164" s="75">
        <f>VLOOKUP($A164,'Data Vlaue (Cr)'!$C:$FB,122)*100</f>
        <v>0</v>
      </c>
      <c r="R164" s="75">
        <f>VLOOKUP($A164,'Data Vlaue (Cr)'!$C:$FB,125)</f>
        <v>0.47</v>
      </c>
      <c r="S164" s="75">
        <f>VLOOKUP($A164,'Data Vlaue (Cr)'!$C:$FB,128)*100</f>
        <v>46.87</v>
      </c>
    </row>
    <row r="165" spans="1:19" x14ac:dyDescent="0.25">
      <c r="A165" s="96" t="str">
        <f>'Data Vlaue (Cr)'!C156</f>
        <v>PAYTM</v>
      </c>
      <c r="B165" s="75">
        <f>VLOOKUP($A165,'Data Vlaue (Cr)'!$C:$FB,2)</f>
        <v>725</v>
      </c>
      <c r="C165" s="75">
        <f>VLOOKUP($A165,'Data Vlaue (Cr)'!$C:$FB,8)</f>
        <v>1274</v>
      </c>
      <c r="D165" s="75">
        <f>VLOOKUP($A165,'Data Vlaue (Cr)'!$C:$FB,4)</f>
        <v>1274.9000000000001</v>
      </c>
      <c r="E165" s="75">
        <f>VLOOKUP($A165,'Data Vlaue (Cr)'!$C:$FB,5)</f>
        <v>1279.2</v>
      </c>
      <c r="F165" s="75">
        <f t="shared" si="12"/>
        <v>0.90000000000009095</v>
      </c>
      <c r="G165" s="75">
        <f t="shared" si="13"/>
        <v>-0.33728135540041998</v>
      </c>
      <c r="H165" s="75">
        <f>VLOOKUP($A165,'Data Vlaue (Cr)'!$C:$FB,99)</f>
        <v>4764</v>
      </c>
      <c r="I165" s="75">
        <f>VLOOKUP($A165,'Data Vlaue (Cr)'!$C:$FB,100)</f>
        <v>4821</v>
      </c>
      <c r="J165" s="75">
        <f t="shared" si="14"/>
        <v>-57</v>
      </c>
      <c r="K165" s="75">
        <f t="shared" si="15"/>
        <v>-1.1964735516372795</v>
      </c>
      <c r="L165" s="75">
        <f>VLOOKUP($A165,'Data Vlaue (Cr)'!$C:$FB,67)</f>
        <v>5800</v>
      </c>
      <c r="M165" s="75">
        <f>VLOOKUP($A165,'Data Vlaue (Cr)'!$C:$FB,68)</f>
        <v>7144</v>
      </c>
      <c r="N165" s="75">
        <f t="shared" si="16"/>
        <v>-1344</v>
      </c>
      <c r="O165" s="75">
        <f t="shared" si="17"/>
        <v>-23.172413793103448</v>
      </c>
      <c r="P165" s="75">
        <f>VLOOKUP($A165,'Data Vlaue (Cr)'!$C:$FB,119)</f>
        <v>0.79</v>
      </c>
      <c r="Q165" s="75">
        <f>VLOOKUP($A165,'Data Vlaue (Cr)'!$C:$FB,122)*100</f>
        <v>6.76</v>
      </c>
      <c r="R165" s="75">
        <f>VLOOKUP($A165,'Data Vlaue (Cr)'!$C:$FB,125)</f>
        <v>0.52</v>
      </c>
      <c r="S165" s="75">
        <f>VLOOKUP($A165,'Data Vlaue (Cr)'!$C:$FB,128)*100</f>
        <v>8.33</v>
      </c>
    </row>
    <row r="166" spans="1:19" x14ac:dyDescent="0.25">
      <c r="A166" s="96" t="str">
        <f>'Data Vlaue (Cr)'!C157</f>
        <v>PERSISTENT</v>
      </c>
      <c r="B166" s="75">
        <f>VLOOKUP($A166,'Data Vlaue (Cr)'!$C:$FB,2)</f>
        <v>100</v>
      </c>
      <c r="C166" s="75">
        <f>VLOOKUP($A166,'Data Vlaue (Cr)'!$C:$FB,8)</f>
        <v>5841.5</v>
      </c>
      <c r="D166" s="75">
        <f>VLOOKUP($A166,'Data Vlaue (Cr)'!$C:$FB,4)</f>
        <v>5845.2</v>
      </c>
      <c r="E166" s="75">
        <f>VLOOKUP($A166,'Data Vlaue (Cr)'!$C:$FB,5)</f>
        <v>5740.8</v>
      </c>
      <c r="F166" s="75">
        <f t="shared" si="12"/>
        <v>3.6999999999998181</v>
      </c>
      <c r="G166" s="75">
        <f t="shared" si="13"/>
        <v>1.7860808868815377</v>
      </c>
      <c r="H166" s="75">
        <f>VLOOKUP($A166,'Data Vlaue (Cr)'!$C:$FB,99)</f>
        <v>3842</v>
      </c>
      <c r="I166" s="75">
        <f>VLOOKUP($A166,'Data Vlaue (Cr)'!$C:$FB,100)</f>
        <v>4011</v>
      </c>
      <c r="J166" s="75">
        <f t="shared" si="14"/>
        <v>-169</v>
      </c>
      <c r="K166" s="75">
        <f t="shared" si="15"/>
        <v>-4.3987506507027589</v>
      </c>
      <c r="L166" s="75">
        <f>VLOOKUP($A166,'Data Vlaue (Cr)'!$C:$FB,67)</f>
        <v>6622</v>
      </c>
      <c r="M166" s="75">
        <f>VLOOKUP($A166,'Data Vlaue (Cr)'!$C:$FB,68)</f>
        <v>22671</v>
      </c>
      <c r="N166" s="75">
        <f t="shared" si="16"/>
        <v>-16049</v>
      </c>
      <c r="O166" s="75">
        <f t="shared" si="17"/>
        <v>-242.35880398671097</v>
      </c>
      <c r="P166" s="75">
        <f>VLOOKUP($A166,'Data Vlaue (Cr)'!$C:$FB,119)</f>
        <v>1.3</v>
      </c>
      <c r="Q166" s="75">
        <f>VLOOKUP($A166,'Data Vlaue (Cr)'!$C:$FB,122)*100</f>
        <v>16.07</v>
      </c>
      <c r="R166" s="75">
        <f>VLOOKUP($A166,'Data Vlaue (Cr)'!$C:$FB,125)</f>
        <v>0.66</v>
      </c>
      <c r="S166" s="75">
        <f>VLOOKUP($A166,'Data Vlaue (Cr)'!$C:$FB,128)*100</f>
        <v>32</v>
      </c>
    </row>
    <row r="167" spans="1:19" x14ac:dyDescent="0.25">
      <c r="A167" s="96" t="str">
        <f>'Data Vlaue (Cr)'!C158</f>
        <v>PETRONET</v>
      </c>
      <c r="B167" s="75">
        <f>VLOOKUP($A167,'Data Vlaue (Cr)'!$C:$FB,2)</f>
        <v>1800</v>
      </c>
      <c r="C167" s="75">
        <f>VLOOKUP($A167,'Data Vlaue (Cr)'!$C:$FB,8)</f>
        <v>278.75</v>
      </c>
      <c r="D167" s="75">
        <f>VLOOKUP($A167,'Data Vlaue (Cr)'!$C:$FB,4)</f>
        <v>279.45</v>
      </c>
      <c r="E167" s="75">
        <f>VLOOKUP($A167,'Data Vlaue (Cr)'!$C:$FB,5)</f>
        <v>280.64999999999998</v>
      </c>
      <c r="F167" s="75">
        <f t="shared" si="12"/>
        <v>0.69999999999998863</v>
      </c>
      <c r="G167" s="75">
        <f t="shared" si="13"/>
        <v>-0.42941492216854127</v>
      </c>
      <c r="H167" s="75">
        <f>VLOOKUP($A167,'Data Vlaue (Cr)'!$C:$FB,99)</f>
        <v>2172</v>
      </c>
      <c r="I167" s="75">
        <f>VLOOKUP($A167,'Data Vlaue (Cr)'!$C:$FB,100)</f>
        <v>2131</v>
      </c>
      <c r="J167" s="75">
        <f t="shared" si="14"/>
        <v>41</v>
      </c>
      <c r="K167" s="75">
        <f t="shared" si="15"/>
        <v>1.8876611418047882</v>
      </c>
      <c r="L167" s="75">
        <f>VLOOKUP($A167,'Data Vlaue (Cr)'!$C:$FB,67)</f>
        <v>463</v>
      </c>
      <c r="M167" s="75">
        <f>VLOOKUP($A167,'Data Vlaue (Cr)'!$C:$FB,68)</f>
        <v>475</v>
      </c>
      <c r="N167" s="75">
        <f t="shared" si="16"/>
        <v>-12</v>
      </c>
      <c r="O167" s="75">
        <f t="shared" si="17"/>
        <v>-2.5917926565874732</v>
      </c>
      <c r="P167" s="75">
        <f>VLOOKUP($A167,'Data Vlaue (Cr)'!$C:$FB,119)</f>
        <v>0.98</v>
      </c>
      <c r="Q167" s="75">
        <f>VLOOKUP($A167,'Data Vlaue (Cr)'!$C:$FB,122)*100</f>
        <v>2.08</v>
      </c>
      <c r="R167" s="75">
        <f>VLOOKUP($A167,'Data Vlaue (Cr)'!$C:$FB,125)</f>
        <v>0.56000000000000005</v>
      </c>
      <c r="S167" s="75">
        <f>VLOOKUP($A167,'Data Vlaue (Cr)'!$C:$FB,128)*100</f>
        <v>-16.420000000000002</v>
      </c>
    </row>
    <row r="168" spans="1:19" x14ac:dyDescent="0.25">
      <c r="A168" s="96" t="str">
        <f>'Data Vlaue (Cr)'!C159</f>
        <v>PFC</v>
      </c>
      <c r="B168" s="75">
        <f>VLOOKUP($A168,'Data Vlaue (Cr)'!$C:$FB,2)</f>
        <v>1300</v>
      </c>
      <c r="C168" s="75">
        <f>VLOOKUP($A168,'Data Vlaue (Cr)'!$C:$FB,8)</f>
        <v>401.55</v>
      </c>
      <c r="D168" s="75">
        <f>VLOOKUP($A168,'Data Vlaue (Cr)'!$C:$FB,4)</f>
        <v>402.3</v>
      </c>
      <c r="E168" s="75">
        <f>VLOOKUP($A168,'Data Vlaue (Cr)'!$C:$FB,5)</f>
        <v>406.9</v>
      </c>
      <c r="F168" s="75">
        <f t="shared" si="12"/>
        <v>0.75</v>
      </c>
      <c r="G168" s="75">
        <f t="shared" si="13"/>
        <v>-1.1434253044991216</v>
      </c>
      <c r="H168" s="75">
        <f>VLOOKUP($A168,'Data Vlaue (Cr)'!$C:$FB,99)</f>
        <v>4195</v>
      </c>
      <c r="I168" s="75">
        <f>VLOOKUP($A168,'Data Vlaue (Cr)'!$C:$FB,100)</f>
        <v>4019</v>
      </c>
      <c r="J168" s="75">
        <f t="shared" si="14"/>
        <v>176</v>
      </c>
      <c r="K168" s="75">
        <f t="shared" si="15"/>
        <v>4.1954707985697262</v>
      </c>
      <c r="L168" s="75">
        <f>VLOOKUP($A168,'Data Vlaue (Cr)'!$C:$FB,67)</f>
        <v>1698</v>
      </c>
      <c r="M168" s="75">
        <f>VLOOKUP($A168,'Data Vlaue (Cr)'!$C:$FB,68)</f>
        <v>2023</v>
      </c>
      <c r="N168" s="75">
        <f t="shared" si="16"/>
        <v>-325</v>
      </c>
      <c r="O168" s="75">
        <f t="shared" si="17"/>
        <v>-19.140164899882215</v>
      </c>
      <c r="P168" s="75">
        <f>VLOOKUP($A168,'Data Vlaue (Cr)'!$C:$FB,119)</f>
        <v>0.75</v>
      </c>
      <c r="Q168" s="75">
        <f>VLOOKUP($A168,'Data Vlaue (Cr)'!$C:$FB,122)*100</f>
        <v>-5.0599999999999996</v>
      </c>
      <c r="R168" s="75">
        <f>VLOOKUP($A168,'Data Vlaue (Cr)'!$C:$FB,125)</f>
        <v>0.6</v>
      </c>
      <c r="S168" s="75">
        <f>VLOOKUP($A168,'Data Vlaue (Cr)'!$C:$FB,128)*100</f>
        <v>5.26</v>
      </c>
    </row>
    <row r="169" spans="1:19" x14ac:dyDescent="0.25">
      <c r="A169" s="96" t="str">
        <f>'Data Vlaue (Cr)'!C160</f>
        <v>PGEL</v>
      </c>
      <c r="B169" s="75">
        <f>VLOOKUP($A169,'Data Vlaue (Cr)'!$C:$FB,2)</f>
        <v>700</v>
      </c>
      <c r="C169" s="75">
        <f>VLOOKUP($A169,'Data Vlaue (Cr)'!$C:$FB,8)</f>
        <v>568.85</v>
      </c>
      <c r="D169" s="75">
        <f>VLOOKUP($A169,'Data Vlaue (Cr)'!$C:$FB,4)</f>
        <v>569.70000000000005</v>
      </c>
      <c r="E169" s="75">
        <f>VLOOKUP($A169,'Data Vlaue (Cr)'!$C:$FB,5)</f>
        <v>572.1</v>
      </c>
      <c r="F169" s="75">
        <f t="shared" si="12"/>
        <v>0.85000000000002274</v>
      </c>
      <c r="G169" s="75">
        <f t="shared" si="13"/>
        <v>-0.42127435492364002</v>
      </c>
      <c r="H169" s="75">
        <f>VLOOKUP($A169,'Data Vlaue (Cr)'!$C:$FB,99)</f>
        <v>1216</v>
      </c>
      <c r="I169" s="75">
        <f>VLOOKUP($A169,'Data Vlaue (Cr)'!$C:$FB,100)</f>
        <v>1228</v>
      </c>
      <c r="J169" s="75">
        <f t="shared" si="14"/>
        <v>-12</v>
      </c>
      <c r="K169" s="75">
        <f t="shared" si="15"/>
        <v>-0.98684210526315785</v>
      </c>
      <c r="L169" s="75">
        <f>VLOOKUP($A169,'Data Vlaue (Cr)'!$C:$FB,67)</f>
        <v>532</v>
      </c>
      <c r="M169" s="75">
        <f>VLOOKUP($A169,'Data Vlaue (Cr)'!$C:$FB,68)</f>
        <v>1121</v>
      </c>
      <c r="N169" s="75">
        <f t="shared" si="16"/>
        <v>-589</v>
      </c>
      <c r="O169" s="75">
        <f t="shared" si="17"/>
        <v>-110.71428571428572</v>
      </c>
      <c r="P169" s="75">
        <f>VLOOKUP($A169,'Data Vlaue (Cr)'!$C:$FB,119)</f>
        <v>0.72</v>
      </c>
      <c r="Q169" s="75">
        <f>VLOOKUP($A169,'Data Vlaue (Cr)'!$C:$FB,122)*100</f>
        <v>1.41</v>
      </c>
      <c r="R169" s="75">
        <f>VLOOKUP($A169,'Data Vlaue (Cr)'!$C:$FB,125)</f>
        <v>0.43</v>
      </c>
      <c r="S169" s="75">
        <f>VLOOKUP($A169,'Data Vlaue (Cr)'!$C:$FB,128)*100</f>
        <v>-8.51</v>
      </c>
    </row>
    <row r="170" spans="1:19" x14ac:dyDescent="0.25">
      <c r="A170" s="96" t="str">
        <f>'Data Vlaue (Cr)'!C161</f>
        <v>PHOENIXLTD</v>
      </c>
      <c r="B170" s="75">
        <f>VLOOKUP($A170,'Data Vlaue (Cr)'!$C:$FB,2)</f>
        <v>350</v>
      </c>
      <c r="C170" s="75">
        <f>VLOOKUP($A170,'Data Vlaue (Cr)'!$C:$FB,8)</f>
        <v>1694.9</v>
      </c>
      <c r="D170" s="75">
        <f>VLOOKUP($A170,'Data Vlaue (Cr)'!$C:$FB,4)</f>
        <v>1701.4</v>
      </c>
      <c r="E170" s="75">
        <f>VLOOKUP($A170,'Data Vlaue (Cr)'!$C:$FB,5)</f>
        <v>1678.6</v>
      </c>
      <c r="F170" s="75">
        <f t="shared" si="12"/>
        <v>6.5</v>
      </c>
      <c r="G170" s="75">
        <f t="shared" si="13"/>
        <v>1.3400728811567051</v>
      </c>
      <c r="H170" s="75">
        <f>VLOOKUP($A170,'Data Vlaue (Cr)'!$C:$FB,99)</f>
        <v>1183</v>
      </c>
      <c r="I170" s="75">
        <f>VLOOKUP($A170,'Data Vlaue (Cr)'!$C:$FB,100)</f>
        <v>1010</v>
      </c>
      <c r="J170" s="75">
        <f t="shared" si="14"/>
        <v>173</v>
      </c>
      <c r="K170" s="75">
        <f t="shared" si="15"/>
        <v>14.623837700760777</v>
      </c>
      <c r="L170" s="75">
        <f>VLOOKUP($A170,'Data Vlaue (Cr)'!$C:$FB,67)</f>
        <v>1318</v>
      </c>
      <c r="M170" s="75">
        <f>VLOOKUP($A170,'Data Vlaue (Cr)'!$C:$FB,68)</f>
        <v>1007</v>
      </c>
      <c r="N170" s="75">
        <f t="shared" si="16"/>
        <v>311</v>
      </c>
      <c r="O170" s="75">
        <f t="shared" si="17"/>
        <v>23.596358118361152</v>
      </c>
      <c r="P170" s="75">
        <f>VLOOKUP($A170,'Data Vlaue (Cr)'!$C:$FB,119)</f>
        <v>0.74</v>
      </c>
      <c r="Q170" s="75">
        <f>VLOOKUP($A170,'Data Vlaue (Cr)'!$C:$FB,122)*100</f>
        <v>-3.9</v>
      </c>
      <c r="R170" s="75">
        <f>VLOOKUP($A170,'Data Vlaue (Cr)'!$C:$FB,125)</f>
        <v>0.32</v>
      </c>
      <c r="S170" s="75">
        <f>VLOOKUP($A170,'Data Vlaue (Cr)'!$C:$FB,128)*100</f>
        <v>10.34</v>
      </c>
    </row>
    <row r="171" spans="1:19" x14ac:dyDescent="0.25">
      <c r="A171" s="96" t="str">
        <f>'Data Vlaue (Cr)'!C162</f>
        <v>PIDILITIND</v>
      </c>
      <c r="B171" s="75">
        <f>VLOOKUP($A171,'Data Vlaue (Cr)'!$C:$FB,2)</f>
        <v>500</v>
      </c>
      <c r="C171" s="75">
        <f>VLOOKUP($A171,'Data Vlaue (Cr)'!$C:$FB,8)</f>
        <v>1523</v>
      </c>
      <c r="D171" s="75">
        <f>VLOOKUP($A171,'Data Vlaue (Cr)'!$C:$FB,4)</f>
        <v>1524.4</v>
      </c>
      <c r="E171" s="75">
        <f>VLOOKUP($A171,'Data Vlaue (Cr)'!$C:$FB,5)</f>
        <v>1507.8</v>
      </c>
      <c r="F171" s="75">
        <f t="shared" si="12"/>
        <v>1.4000000000000909</v>
      </c>
      <c r="G171" s="75">
        <f t="shared" si="13"/>
        <v>1.0889530307006123</v>
      </c>
      <c r="H171" s="75">
        <f>VLOOKUP($A171,'Data Vlaue (Cr)'!$C:$FB,99)</f>
        <v>1836</v>
      </c>
      <c r="I171" s="75">
        <f>VLOOKUP($A171,'Data Vlaue (Cr)'!$C:$FB,100)</f>
        <v>1824</v>
      </c>
      <c r="J171" s="75">
        <f t="shared" si="14"/>
        <v>12</v>
      </c>
      <c r="K171" s="75">
        <f t="shared" si="15"/>
        <v>0.65359477124183007</v>
      </c>
      <c r="L171" s="75">
        <f>VLOOKUP($A171,'Data Vlaue (Cr)'!$C:$FB,67)</f>
        <v>628</v>
      </c>
      <c r="M171" s="75">
        <f>VLOOKUP($A171,'Data Vlaue (Cr)'!$C:$FB,68)</f>
        <v>386</v>
      </c>
      <c r="N171" s="75">
        <f t="shared" si="16"/>
        <v>242</v>
      </c>
      <c r="O171" s="75">
        <f t="shared" si="17"/>
        <v>38.535031847133759</v>
      </c>
      <c r="P171" s="75">
        <f>VLOOKUP($A171,'Data Vlaue (Cr)'!$C:$FB,119)</f>
        <v>0.65</v>
      </c>
      <c r="Q171" s="75">
        <f>VLOOKUP($A171,'Data Vlaue (Cr)'!$C:$FB,122)*100</f>
        <v>4.84</v>
      </c>
      <c r="R171" s="75">
        <f>VLOOKUP($A171,'Data Vlaue (Cr)'!$C:$FB,125)</f>
        <v>0.28999999999999998</v>
      </c>
      <c r="S171" s="75">
        <f>VLOOKUP($A171,'Data Vlaue (Cr)'!$C:$FB,128)*100</f>
        <v>-44.230000000000004</v>
      </c>
    </row>
    <row r="172" spans="1:19" x14ac:dyDescent="0.25">
      <c r="A172" s="96" t="str">
        <f>'Data Vlaue (Cr)'!C163</f>
        <v>PIIND</v>
      </c>
      <c r="B172" s="75">
        <f>VLOOKUP($A172,'Data Vlaue (Cr)'!$C:$FB,2)</f>
        <v>175</v>
      </c>
      <c r="C172" s="75">
        <f>VLOOKUP($A172,'Data Vlaue (Cr)'!$C:$FB,8)</f>
        <v>3550.3</v>
      </c>
      <c r="D172" s="75">
        <f>VLOOKUP($A172,'Data Vlaue (Cr)'!$C:$FB,4)</f>
        <v>3564.2</v>
      </c>
      <c r="E172" s="75">
        <f>VLOOKUP($A172,'Data Vlaue (Cr)'!$C:$FB,5)</f>
        <v>3561.6</v>
      </c>
      <c r="F172" s="75">
        <f t="shared" si="12"/>
        <v>13.899999999999636</v>
      </c>
      <c r="G172" s="75">
        <f t="shared" si="13"/>
        <v>7.2947646035573466E-2</v>
      </c>
      <c r="H172" s="75">
        <f>VLOOKUP($A172,'Data Vlaue (Cr)'!$C:$FB,99)</f>
        <v>958</v>
      </c>
      <c r="I172" s="75">
        <f>VLOOKUP($A172,'Data Vlaue (Cr)'!$C:$FB,100)</f>
        <v>943</v>
      </c>
      <c r="J172" s="75">
        <f t="shared" si="14"/>
        <v>15</v>
      </c>
      <c r="K172" s="75">
        <f t="shared" si="15"/>
        <v>1.5657620041753653</v>
      </c>
      <c r="L172" s="75">
        <f>VLOOKUP($A172,'Data Vlaue (Cr)'!$C:$FB,67)</f>
        <v>259</v>
      </c>
      <c r="M172" s="75">
        <f>VLOOKUP($A172,'Data Vlaue (Cr)'!$C:$FB,68)</f>
        <v>164</v>
      </c>
      <c r="N172" s="75">
        <f t="shared" si="16"/>
        <v>95</v>
      </c>
      <c r="O172" s="75">
        <f t="shared" si="17"/>
        <v>36.679536679536682</v>
      </c>
      <c r="P172" s="75">
        <f>VLOOKUP($A172,'Data Vlaue (Cr)'!$C:$FB,119)</f>
        <v>0.56999999999999995</v>
      </c>
      <c r="Q172" s="75">
        <f>VLOOKUP($A172,'Data Vlaue (Cr)'!$C:$FB,122)*100</f>
        <v>-6.5600000000000005</v>
      </c>
      <c r="R172" s="75">
        <f>VLOOKUP($A172,'Data Vlaue (Cr)'!$C:$FB,125)</f>
        <v>0.28000000000000003</v>
      </c>
      <c r="S172" s="75">
        <f>VLOOKUP($A172,'Data Vlaue (Cr)'!$C:$FB,128)*100</f>
        <v>75</v>
      </c>
    </row>
    <row r="173" spans="1:19" x14ac:dyDescent="0.25">
      <c r="A173" s="96" t="str">
        <f>'Data Vlaue (Cr)'!C164</f>
        <v>PNB</v>
      </c>
      <c r="B173" s="75">
        <f>VLOOKUP($A173,'Data Vlaue (Cr)'!$C:$FB,2)</f>
        <v>8000</v>
      </c>
      <c r="C173" s="75">
        <f>VLOOKUP($A173,'Data Vlaue (Cr)'!$C:$FB,8)</f>
        <v>116.11</v>
      </c>
      <c r="D173" s="75">
        <f>VLOOKUP($A173,'Data Vlaue (Cr)'!$C:$FB,4)</f>
        <v>116.57</v>
      </c>
      <c r="E173" s="75">
        <f>VLOOKUP($A173,'Data Vlaue (Cr)'!$C:$FB,5)</f>
        <v>116.9</v>
      </c>
      <c r="F173" s="75">
        <f t="shared" si="12"/>
        <v>0.45999999999999375</v>
      </c>
      <c r="G173" s="75">
        <f t="shared" si="13"/>
        <v>-0.28309170455521365</v>
      </c>
      <c r="H173" s="75">
        <f>VLOOKUP($A173,'Data Vlaue (Cr)'!$C:$FB,99)</f>
        <v>5583</v>
      </c>
      <c r="I173" s="75">
        <f>VLOOKUP($A173,'Data Vlaue (Cr)'!$C:$FB,100)</f>
        <v>5576</v>
      </c>
      <c r="J173" s="75">
        <f t="shared" si="14"/>
        <v>7</v>
      </c>
      <c r="K173" s="75">
        <f t="shared" si="15"/>
        <v>0.12538061973849185</v>
      </c>
      <c r="L173" s="75">
        <f>VLOOKUP($A173,'Data Vlaue (Cr)'!$C:$FB,67)</f>
        <v>3911</v>
      </c>
      <c r="M173" s="75">
        <f>VLOOKUP($A173,'Data Vlaue (Cr)'!$C:$FB,68)</f>
        <v>3068</v>
      </c>
      <c r="N173" s="75">
        <f t="shared" si="16"/>
        <v>843</v>
      </c>
      <c r="O173" s="75">
        <f t="shared" si="17"/>
        <v>21.554589619023268</v>
      </c>
      <c r="P173" s="75">
        <f>VLOOKUP($A173,'Data Vlaue (Cr)'!$C:$FB,119)</f>
        <v>0.8</v>
      </c>
      <c r="Q173" s="75">
        <f>VLOOKUP($A173,'Data Vlaue (Cr)'!$C:$FB,122)*100</f>
        <v>-1.23</v>
      </c>
      <c r="R173" s="75">
        <f>VLOOKUP($A173,'Data Vlaue (Cr)'!$C:$FB,125)</f>
        <v>0.64</v>
      </c>
      <c r="S173" s="75">
        <f>VLOOKUP($A173,'Data Vlaue (Cr)'!$C:$FB,128)*100</f>
        <v>16.36</v>
      </c>
    </row>
    <row r="174" spans="1:19" x14ac:dyDescent="0.25">
      <c r="A174" s="96" t="str">
        <f>'Data Vlaue (Cr)'!C165</f>
        <v>PNBHOUSING</v>
      </c>
      <c r="B174" s="75">
        <f>VLOOKUP($A174,'Data Vlaue (Cr)'!$C:$FB,2)</f>
        <v>650</v>
      </c>
      <c r="C174" s="75">
        <f>VLOOKUP($A174,'Data Vlaue (Cr)'!$C:$FB,8)</f>
        <v>843.4</v>
      </c>
      <c r="D174" s="75">
        <f>VLOOKUP($A174,'Data Vlaue (Cr)'!$C:$FB,4)</f>
        <v>845.25</v>
      </c>
      <c r="E174" s="75">
        <f>VLOOKUP($A174,'Data Vlaue (Cr)'!$C:$FB,5)</f>
        <v>852.4</v>
      </c>
      <c r="F174" s="75">
        <f t="shared" si="12"/>
        <v>1.8500000000000227</v>
      </c>
      <c r="G174" s="75">
        <f t="shared" si="13"/>
        <v>-0.84590357882283074</v>
      </c>
      <c r="H174" s="75">
        <f>VLOOKUP($A174,'Data Vlaue (Cr)'!$C:$FB,99)</f>
        <v>1991</v>
      </c>
      <c r="I174" s="75">
        <f>VLOOKUP($A174,'Data Vlaue (Cr)'!$C:$FB,100)</f>
        <v>1978</v>
      </c>
      <c r="J174" s="75">
        <f t="shared" si="14"/>
        <v>13</v>
      </c>
      <c r="K174" s="75">
        <f t="shared" si="15"/>
        <v>0.65293822199899543</v>
      </c>
      <c r="L174" s="75">
        <f>VLOOKUP($A174,'Data Vlaue (Cr)'!$C:$FB,67)</f>
        <v>527</v>
      </c>
      <c r="M174" s="75">
        <f>VLOOKUP($A174,'Data Vlaue (Cr)'!$C:$FB,68)</f>
        <v>396</v>
      </c>
      <c r="N174" s="75">
        <f t="shared" si="16"/>
        <v>131</v>
      </c>
      <c r="O174" s="75">
        <f t="shared" si="17"/>
        <v>24.857685009487664</v>
      </c>
      <c r="P174" s="75">
        <f>VLOOKUP($A174,'Data Vlaue (Cr)'!$C:$FB,119)</f>
        <v>0.71</v>
      </c>
      <c r="Q174" s="75">
        <f>VLOOKUP($A174,'Data Vlaue (Cr)'!$C:$FB,122)*100</f>
        <v>0</v>
      </c>
      <c r="R174" s="75">
        <f>VLOOKUP($A174,'Data Vlaue (Cr)'!$C:$FB,125)</f>
        <v>0.54</v>
      </c>
      <c r="S174" s="75">
        <f>VLOOKUP($A174,'Data Vlaue (Cr)'!$C:$FB,128)*100</f>
        <v>17.39</v>
      </c>
    </row>
    <row r="175" spans="1:19" x14ac:dyDescent="0.25">
      <c r="A175" s="96" t="str">
        <f>'Data Vlaue (Cr)'!C166</f>
        <v>POLICYBZR</v>
      </c>
      <c r="B175" s="75">
        <f>VLOOKUP($A175,'Data Vlaue (Cr)'!$C:$FB,2)</f>
        <v>350</v>
      </c>
      <c r="C175" s="75">
        <f>VLOOKUP($A175,'Data Vlaue (Cr)'!$C:$FB,8)</f>
        <v>1691</v>
      </c>
      <c r="D175" s="75">
        <f>VLOOKUP($A175,'Data Vlaue (Cr)'!$C:$FB,4)</f>
        <v>1697.3</v>
      </c>
      <c r="E175" s="75">
        <f>VLOOKUP($A175,'Data Vlaue (Cr)'!$C:$FB,5)</f>
        <v>1681.2</v>
      </c>
      <c r="F175" s="75">
        <f t="shared" si="12"/>
        <v>6.2999999999999545</v>
      </c>
      <c r="G175" s="75">
        <f t="shared" si="13"/>
        <v>0.94856536852647788</v>
      </c>
      <c r="H175" s="75">
        <f>VLOOKUP($A175,'Data Vlaue (Cr)'!$C:$FB,99)</f>
        <v>1625</v>
      </c>
      <c r="I175" s="75">
        <f>VLOOKUP($A175,'Data Vlaue (Cr)'!$C:$FB,100)</f>
        <v>1604</v>
      </c>
      <c r="J175" s="75">
        <f t="shared" si="14"/>
        <v>21</v>
      </c>
      <c r="K175" s="75">
        <f t="shared" si="15"/>
        <v>1.2923076923076922</v>
      </c>
      <c r="L175" s="75">
        <f>VLOOKUP($A175,'Data Vlaue (Cr)'!$C:$FB,67)</f>
        <v>609</v>
      </c>
      <c r="M175" s="75">
        <f>VLOOKUP($A175,'Data Vlaue (Cr)'!$C:$FB,68)</f>
        <v>591</v>
      </c>
      <c r="N175" s="75">
        <f t="shared" si="16"/>
        <v>18</v>
      </c>
      <c r="O175" s="75">
        <f t="shared" si="17"/>
        <v>2.9556650246305418</v>
      </c>
      <c r="P175" s="75">
        <f>VLOOKUP($A175,'Data Vlaue (Cr)'!$C:$FB,119)</f>
        <v>0.69</v>
      </c>
      <c r="Q175" s="75">
        <f>VLOOKUP($A175,'Data Vlaue (Cr)'!$C:$FB,122)*100</f>
        <v>6.15</v>
      </c>
      <c r="R175" s="75">
        <f>VLOOKUP($A175,'Data Vlaue (Cr)'!$C:$FB,125)</f>
        <v>0.24</v>
      </c>
      <c r="S175" s="75">
        <f>VLOOKUP($A175,'Data Vlaue (Cr)'!$C:$FB,128)*100</f>
        <v>-53.849999999999994</v>
      </c>
    </row>
    <row r="176" spans="1:19" x14ac:dyDescent="0.25">
      <c r="A176" s="96" t="str">
        <f>'Data Vlaue (Cr)'!C167</f>
        <v>POLYCAB</v>
      </c>
      <c r="B176" s="75">
        <f>VLOOKUP($A176,'Data Vlaue (Cr)'!$C:$FB,2)</f>
        <v>125</v>
      </c>
      <c r="C176" s="75">
        <f>VLOOKUP($A176,'Data Vlaue (Cr)'!$C:$FB,8)</f>
        <v>7578</v>
      </c>
      <c r="D176" s="75">
        <f>VLOOKUP($A176,'Data Vlaue (Cr)'!$C:$FB,4)</f>
        <v>7600</v>
      </c>
      <c r="E176" s="75">
        <f>VLOOKUP($A176,'Data Vlaue (Cr)'!$C:$FB,5)</f>
        <v>7682</v>
      </c>
      <c r="F176" s="75">
        <f t="shared" si="12"/>
        <v>22</v>
      </c>
      <c r="G176" s="75">
        <f t="shared" si="13"/>
        <v>-1.0789473684210527</v>
      </c>
      <c r="H176" s="75">
        <f>VLOOKUP($A176,'Data Vlaue (Cr)'!$C:$FB,99)</f>
        <v>2649</v>
      </c>
      <c r="I176" s="75">
        <f>VLOOKUP($A176,'Data Vlaue (Cr)'!$C:$FB,100)</f>
        <v>2508</v>
      </c>
      <c r="J176" s="75">
        <f t="shared" si="14"/>
        <v>141</v>
      </c>
      <c r="K176" s="75">
        <f t="shared" si="15"/>
        <v>5.3227633069082669</v>
      </c>
      <c r="L176" s="75">
        <f>VLOOKUP($A176,'Data Vlaue (Cr)'!$C:$FB,67)</f>
        <v>2468</v>
      </c>
      <c r="M176" s="75">
        <f>VLOOKUP($A176,'Data Vlaue (Cr)'!$C:$FB,68)</f>
        <v>1785</v>
      </c>
      <c r="N176" s="75">
        <f t="shared" si="16"/>
        <v>683</v>
      </c>
      <c r="O176" s="75">
        <f t="shared" si="17"/>
        <v>27.674230145867103</v>
      </c>
      <c r="P176" s="75">
        <f>VLOOKUP($A176,'Data Vlaue (Cr)'!$C:$FB,119)</f>
        <v>0.5</v>
      </c>
      <c r="Q176" s="75">
        <f>VLOOKUP($A176,'Data Vlaue (Cr)'!$C:$FB,122)*100</f>
        <v>-5.66</v>
      </c>
      <c r="R176" s="75">
        <f>VLOOKUP($A176,'Data Vlaue (Cr)'!$C:$FB,125)</f>
        <v>0.44</v>
      </c>
      <c r="S176" s="75">
        <f>VLOOKUP($A176,'Data Vlaue (Cr)'!$C:$FB,128)*100</f>
        <v>-20</v>
      </c>
    </row>
    <row r="177" spans="1:19" x14ac:dyDescent="0.25">
      <c r="A177" s="96" t="str">
        <f>'Data Vlaue (Cr)'!C168</f>
        <v>POWERGRID</v>
      </c>
      <c r="B177" s="75">
        <f>VLOOKUP($A177,'Data Vlaue (Cr)'!$C:$FB,2)</f>
        <v>1900</v>
      </c>
      <c r="C177" s="75">
        <f>VLOOKUP($A177,'Data Vlaue (Cr)'!$C:$FB,8)</f>
        <v>291.85000000000002</v>
      </c>
      <c r="D177" s="75">
        <f>VLOOKUP($A177,'Data Vlaue (Cr)'!$C:$FB,4)</f>
        <v>292.55</v>
      </c>
      <c r="E177" s="75">
        <f>VLOOKUP($A177,'Data Vlaue (Cr)'!$C:$FB,5)</f>
        <v>292.2</v>
      </c>
      <c r="F177" s="75">
        <f t="shared" ref="F177:F185" si="18">D177-C177</f>
        <v>0.69999999999998863</v>
      </c>
      <c r="G177" s="75">
        <f t="shared" ref="G177:G185" si="19">(D177-E177)/D177*100</f>
        <v>0.11963766877457621</v>
      </c>
      <c r="H177" s="75">
        <f>VLOOKUP($A177,'Data Vlaue (Cr)'!$C:$FB,99)</f>
        <v>3444</v>
      </c>
      <c r="I177" s="75">
        <f>VLOOKUP($A177,'Data Vlaue (Cr)'!$C:$FB,100)</f>
        <v>3445</v>
      </c>
      <c r="J177" s="75">
        <f t="shared" ref="J177:J185" si="20">H177-I177</f>
        <v>-1</v>
      </c>
      <c r="K177" s="75">
        <f t="shared" ref="K177:K185" si="21">J177/H177*100</f>
        <v>-2.9036004645760744E-2</v>
      </c>
      <c r="L177" s="75">
        <f>VLOOKUP($A177,'Data Vlaue (Cr)'!$C:$FB,67)</f>
        <v>835</v>
      </c>
      <c r="M177" s="75">
        <f>VLOOKUP($A177,'Data Vlaue (Cr)'!$C:$FB,68)</f>
        <v>1551</v>
      </c>
      <c r="N177" s="75">
        <f t="shared" ref="N177:N185" si="22">L177-M177</f>
        <v>-716</v>
      </c>
      <c r="O177" s="75">
        <f t="shared" ref="O177:O185" si="23">N177/L177*100</f>
        <v>-85.748502994011972</v>
      </c>
      <c r="P177" s="75">
        <f>VLOOKUP($A177,'Data Vlaue (Cr)'!$C:$FB,119)</f>
        <v>0.51</v>
      </c>
      <c r="Q177" s="75">
        <f>VLOOKUP($A177,'Data Vlaue (Cr)'!$C:$FB,122)*100</f>
        <v>0</v>
      </c>
      <c r="R177" s="75">
        <f>VLOOKUP($A177,'Data Vlaue (Cr)'!$C:$FB,125)</f>
        <v>0.56999999999999995</v>
      </c>
      <c r="S177" s="75">
        <f>VLOOKUP($A177,'Data Vlaue (Cr)'!$C:$FB,128)*100</f>
        <v>3.64</v>
      </c>
    </row>
    <row r="178" spans="1:19" x14ac:dyDescent="0.25">
      <c r="A178" s="96" t="str">
        <f>'Data Vlaue (Cr)'!C169</f>
        <v>POWERINDIA</v>
      </c>
      <c r="B178" s="75">
        <f>VLOOKUP($A178,'Data Vlaue (Cr)'!$C:$FB,2)</f>
        <v>50</v>
      </c>
      <c r="C178" s="75">
        <f>VLOOKUP($A178,'Data Vlaue (Cr)'!$C:$FB,8)</f>
        <v>17700</v>
      </c>
      <c r="D178" s="75">
        <f>VLOOKUP($A178,'Data Vlaue (Cr)'!$C:$FB,4)</f>
        <v>17762</v>
      </c>
      <c r="E178" s="75">
        <f>VLOOKUP($A178,'Data Vlaue (Cr)'!$C:$FB,5)</f>
        <v>17536</v>
      </c>
      <c r="F178" s="75">
        <f t="shared" si="18"/>
        <v>62</v>
      </c>
      <c r="G178" s="75">
        <f t="shared" si="19"/>
        <v>1.272379236572458</v>
      </c>
      <c r="H178" s="75">
        <f>VLOOKUP($A178,'Data Vlaue (Cr)'!$C:$FB,99)</f>
        <v>310</v>
      </c>
      <c r="I178" s="75">
        <f>VLOOKUP($A178,'Data Vlaue (Cr)'!$C:$FB,100)</f>
        <v>285</v>
      </c>
      <c r="J178" s="75">
        <f t="shared" si="20"/>
        <v>25</v>
      </c>
      <c r="K178" s="75">
        <f t="shared" si="21"/>
        <v>8.064516129032258</v>
      </c>
      <c r="L178" s="75">
        <f>VLOOKUP($A178,'Data Vlaue (Cr)'!$C:$FB,67)</f>
        <v>332</v>
      </c>
      <c r="M178" s="75">
        <f>VLOOKUP($A178,'Data Vlaue (Cr)'!$C:$FB,68)</f>
        <v>180</v>
      </c>
      <c r="N178" s="75">
        <f t="shared" si="22"/>
        <v>152</v>
      </c>
      <c r="O178" s="75">
        <f t="shared" si="23"/>
        <v>45.783132530120483</v>
      </c>
      <c r="P178" s="75">
        <f>VLOOKUP($A178,'Data Vlaue (Cr)'!$C:$FB,119)</f>
        <v>0.24</v>
      </c>
      <c r="Q178" s="75">
        <f>VLOOKUP($A178,'Data Vlaue (Cr)'!$C:$FB,122)*100</f>
        <v>4.3499999999999996</v>
      </c>
      <c r="R178" s="75">
        <f>VLOOKUP($A178,'Data Vlaue (Cr)'!$C:$FB,125)</f>
        <v>0.11</v>
      </c>
      <c r="S178" s="75">
        <f>VLOOKUP($A178,'Data Vlaue (Cr)'!$C:$FB,128)*100</f>
        <v>-63.33</v>
      </c>
    </row>
    <row r="179" spans="1:19" x14ac:dyDescent="0.25">
      <c r="A179" s="96" t="str">
        <f>'Data Vlaue (Cr)'!C170</f>
        <v>PPLPHARMA</v>
      </c>
      <c r="B179" s="75">
        <f>VLOOKUP($A179,'Data Vlaue (Cr)'!$C:$FB,2)</f>
        <v>2500</v>
      </c>
      <c r="C179" s="75">
        <f>VLOOKUP($A179,'Data Vlaue (Cr)'!$C:$FB,8)</f>
        <v>194.16</v>
      </c>
      <c r="D179" s="75">
        <f>VLOOKUP($A179,'Data Vlaue (Cr)'!$C:$FB,4)</f>
        <v>194.15</v>
      </c>
      <c r="E179" s="75">
        <f>VLOOKUP($A179,'Data Vlaue (Cr)'!$C:$FB,5)</f>
        <v>193.67</v>
      </c>
      <c r="F179" s="75">
        <f t="shared" si="18"/>
        <v>-9.9999999999909051E-3</v>
      </c>
      <c r="G179" s="75">
        <f t="shared" si="19"/>
        <v>0.24723152201906679</v>
      </c>
      <c r="H179" s="75">
        <f>VLOOKUP($A179,'Data Vlaue (Cr)'!$C:$FB,99)</f>
        <v>887</v>
      </c>
      <c r="I179" s="75">
        <f>VLOOKUP($A179,'Data Vlaue (Cr)'!$C:$FB,100)</f>
        <v>892</v>
      </c>
      <c r="J179" s="75">
        <f t="shared" si="20"/>
        <v>-5</v>
      </c>
      <c r="K179" s="75">
        <f t="shared" si="21"/>
        <v>-0.56369785794813976</v>
      </c>
      <c r="L179" s="75">
        <f>VLOOKUP($A179,'Data Vlaue (Cr)'!$C:$FB,67)</f>
        <v>237</v>
      </c>
      <c r="M179" s="75">
        <f>VLOOKUP($A179,'Data Vlaue (Cr)'!$C:$FB,68)</f>
        <v>500</v>
      </c>
      <c r="N179" s="75">
        <f t="shared" si="22"/>
        <v>-263</v>
      </c>
      <c r="O179" s="75">
        <f t="shared" si="23"/>
        <v>-110.9704641350211</v>
      </c>
      <c r="P179" s="75">
        <f>VLOOKUP($A179,'Data Vlaue (Cr)'!$C:$FB,119)</f>
        <v>0.55000000000000004</v>
      </c>
      <c r="Q179" s="75">
        <f>VLOOKUP($A179,'Data Vlaue (Cr)'!$C:$FB,122)*100</f>
        <v>-1.79</v>
      </c>
      <c r="R179" s="75">
        <f>VLOOKUP($A179,'Data Vlaue (Cr)'!$C:$FB,125)</f>
        <v>0.22</v>
      </c>
      <c r="S179" s="75">
        <f>VLOOKUP($A179,'Data Vlaue (Cr)'!$C:$FB,128)*100</f>
        <v>-57.69</v>
      </c>
    </row>
    <row r="180" spans="1:19" x14ac:dyDescent="0.25">
      <c r="A180" s="96" t="str">
        <f>'Data Vlaue (Cr)'!C171</f>
        <v>PRESTIGE</v>
      </c>
      <c r="B180" s="75">
        <f>VLOOKUP($A180,'Data Vlaue (Cr)'!$C:$FB,2)</f>
        <v>450</v>
      </c>
      <c r="C180" s="75">
        <f>VLOOKUP($A180,'Data Vlaue (Cr)'!$C:$FB,8)</f>
        <v>1696.9</v>
      </c>
      <c r="D180" s="75">
        <f>VLOOKUP($A180,'Data Vlaue (Cr)'!$C:$FB,4)</f>
        <v>1699.8</v>
      </c>
      <c r="E180" s="75">
        <f>VLOOKUP($A180,'Data Vlaue (Cr)'!$C:$FB,5)</f>
        <v>1684</v>
      </c>
      <c r="F180" s="75">
        <f t="shared" si="18"/>
        <v>2.8999999999998636</v>
      </c>
      <c r="G180" s="75">
        <f t="shared" si="19"/>
        <v>0.92952112013177757</v>
      </c>
      <c r="H180" s="75">
        <f>VLOOKUP($A180,'Data Vlaue (Cr)'!$C:$FB,99)</f>
        <v>1429</v>
      </c>
      <c r="I180" s="75">
        <f>VLOOKUP($A180,'Data Vlaue (Cr)'!$C:$FB,100)</f>
        <v>1422</v>
      </c>
      <c r="J180" s="75">
        <f t="shared" si="20"/>
        <v>7</v>
      </c>
      <c r="K180" s="75">
        <f t="shared" si="21"/>
        <v>0.48985304408677399</v>
      </c>
      <c r="L180" s="75">
        <f>VLOOKUP($A180,'Data Vlaue (Cr)'!$C:$FB,67)</f>
        <v>1276</v>
      </c>
      <c r="M180" s="75">
        <f>VLOOKUP($A180,'Data Vlaue (Cr)'!$C:$FB,68)</f>
        <v>3780</v>
      </c>
      <c r="N180" s="75">
        <f t="shared" si="22"/>
        <v>-2504</v>
      </c>
      <c r="O180" s="75">
        <f t="shared" si="23"/>
        <v>-196.23824451410658</v>
      </c>
      <c r="P180" s="75">
        <f>VLOOKUP($A180,'Data Vlaue (Cr)'!$C:$FB,119)</f>
        <v>0.76</v>
      </c>
      <c r="Q180" s="75">
        <f>VLOOKUP($A180,'Data Vlaue (Cr)'!$C:$FB,122)*100</f>
        <v>8.57</v>
      </c>
      <c r="R180" s="75">
        <f>VLOOKUP($A180,'Data Vlaue (Cr)'!$C:$FB,125)</f>
        <v>0.31</v>
      </c>
      <c r="S180" s="75">
        <f>VLOOKUP($A180,'Data Vlaue (Cr)'!$C:$FB,128)*100</f>
        <v>3.3300000000000005</v>
      </c>
    </row>
    <row r="181" spans="1:19" x14ac:dyDescent="0.25">
      <c r="A181" s="96" t="str">
        <f>'Data Vlaue (Cr)'!C172</f>
        <v>RBLBANK</v>
      </c>
      <c r="B181" s="75">
        <f>VLOOKUP($A181,'Data Vlaue (Cr)'!$C:$FB,2)</f>
        <v>3175</v>
      </c>
      <c r="C181" s="75">
        <f>VLOOKUP($A181,'Data Vlaue (Cr)'!$C:$FB,8)</f>
        <v>306.75</v>
      </c>
      <c r="D181" s="75">
        <f>VLOOKUP($A181,'Data Vlaue (Cr)'!$C:$FB,4)</f>
        <v>307.89999999999998</v>
      </c>
      <c r="E181" s="75">
        <f>VLOOKUP($A181,'Data Vlaue (Cr)'!$C:$FB,5)</f>
        <v>300.85000000000002</v>
      </c>
      <c r="F181" s="75">
        <f t="shared" si="18"/>
        <v>1.1499999999999773</v>
      </c>
      <c r="G181" s="75">
        <f t="shared" si="19"/>
        <v>2.289704449496575</v>
      </c>
      <c r="H181" s="75">
        <f>VLOOKUP($A181,'Data Vlaue (Cr)'!$C:$FB,99)</f>
        <v>3640</v>
      </c>
      <c r="I181" s="75">
        <f>VLOOKUP($A181,'Data Vlaue (Cr)'!$C:$FB,100)</f>
        <v>3052</v>
      </c>
      <c r="J181" s="75">
        <f t="shared" si="20"/>
        <v>588</v>
      </c>
      <c r="K181" s="75">
        <f t="shared" si="21"/>
        <v>16.153846153846153</v>
      </c>
      <c r="L181" s="75">
        <f>VLOOKUP($A181,'Data Vlaue (Cr)'!$C:$FB,67)</f>
        <v>4632</v>
      </c>
      <c r="M181" s="75">
        <f>VLOOKUP($A181,'Data Vlaue (Cr)'!$C:$FB,68)</f>
        <v>186</v>
      </c>
      <c r="N181" s="75">
        <f t="shared" si="22"/>
        <v>4446</v>
      </c>
      <c r="O181" s="75">
        <f t="shared" si="23"/>
        <v>95.984455958549219</v>
      </c>
      <c r="P181" s="75">
        <f>VLOOKUP($A181,'Data Vlaue (Cr)'!$C:$FB,119)</f>
        <v>0.53</v>
      </c>
      <c r="Q181" s="75">
        <f>VLOOKUP($A181,'Data Vlaue (Cr)'!$C:$FB,122)*100</f>
        <v>20.45</v>
      </c>
      <c r="R181" s="75">
        <f>VLOOKUP($A181,'Data Vlaue (Cr)'!$C:$FB,125)</f>
        <v>0.54</v>
      </c>
      <c r="S181" s="75">
        <f>VLOOKUP($A181,'Data Vlaue (Cr)'!$C:$FB,128)*100</f>
        <v>-31.65</v>
      </c>
    </row>
    <row r="182" spans="1:19" x14ac:dyDescent="0.25">
      <c r="A182" s="96" t="str">
        <f>'Data Vlaue (Cr)'!C173</f>
        <v>RECLTD</v>
      </c>
      <c r="B182" s="75">
        <f>VLOOKUP($A182,'Data Vlaue (Cr)'!$C:$FB,2)</f>
        <v>1275</v>
      </c>
      <c r="C182" s="75">
        <f>VLOOKUP($A182,'Data Vlaue (Cr)'!$C:$FB,8)</f>
        <v>377.5</v>
      </c>
      <c r="D182" s="75">
        <f>VLOOKUP($A182,'Data Vlaue (Cr)'!$C:$FB,4)</f>
        <v>375.45</v>
      </c>
      <c r="E182" s="75">
        <f>VLOOKUP($A182,'Data Vlaue (Cr)'!$C:$FB,5)</f>
        <v>374.8</v>
      </c>
      <c r="F182" s="75">
        <f t="shared" si="18"/>
        <v>-2.0500000000000114</v>
      </c>
      <c r="G182" s="75">
        <f t="shared" si="19"/>
        <v>0.17312558263416628</v>
      </c>
      <c r="H182" s="75">
        <f>VLOOKUP($A182,'Data Vlaue (Cr)'!$C:$FB,99)</f>
        <v>5471</v>
      </c>
      <c r="I182" s="75">
        <f>VLOOKUP($A182,'Data Vlaue (Cr)'!$C:$FB,100)</f>
        <v>5444</v>
      </c>
      <c r="J182" s="75">
        <f t="shared" si="20"/>
        <v>27</v>
      </c>
      <c r="K182" s="75">
        <f t="shared" si="21"/>
        <v>0.49351124108938038</v>
      </c>
      <c r="L182" s="75">
        <f>VLOOKUP($A182,'Data Vlaue (Cr)'!$C:$FB,67)</f>
        <v>1271</v>
      </c>
      <c r="M182" s="75">
        <f>VLOOKUP($A182,'Data Vlaue (Cr)'!$C:$FB,68)</f>
        <v>1945</v>
      </c>
      <c r="N182" s="75">
        <f t="shared" si="22"/>
        <v>-674</v>
      </c>
      <c r="O182" s="75">
        <f t="shared" si="23"/>
        <v>-53.029110936270655</v>
      </c>
      <c r="P182" s="75">
        <f>VLOOKUP($A182,'Data Vlaue (Cr)'!$C:$FB,119)</f>
        <v>0.89</v>
      </c>
      <c r="Q182" s="75">
        <f>VLOOKUP($A182,'Data Vlaue (Cr)'!$C:$FB,122)*100</f>
        <v>0</v>
      </c>
      <c r="R182" s="75">
        <f>VLOOKUP($A182,'Data Vlaue (Cr)'!$C:$FB,125)</f>
        <v>0.64</v>
      </c>
      <c r="S182" s="75">
        <f>VLOOKUP($A182,'Data Vlaue (Cr)'!$C:$FB,128)*100</f>
        <v>12.280000000000001</v>
      </c>
    </row>
    <row r="183" spans="1:19" x14ac:dyDescent="0.25">
      <c r="A183" s="96" t="str">
        <f>'Data Vlaue (Cr)'!C174</f>
        <v>RELIANCE</v>
      </c>
      <c r="B183" s="75">
        <f>VLOOKUP($A183,'Data Vlaue (Cr)'!$C:$FB,2)</f>
        <v>500</v>
      </c>
      <c r="C183" s="75">
        <f>VLOOKUP($A183,'Data Vlaue (Cr)'!$C:$FB,8)</f>
        <v>1398.3</v>
      </c>
      <c r="D183" s="75">
        <f>VLOOKUP($A183,'Data Vlaue (Cr)'!$C:$FB,4)</f>
        <v>1399.8</v>
      </c>
      <c r="E183" s="75">
        <f>VLOOKUP($A183,'Data Vlaue (Cr)'!$C:$FB,5)</f>
        <v>1379.5</v>
      </c>
      <c r="F183" s="75">
        <f t="shared" si="18"/>
        <v>1.5</v>
      </c>
      <c r="G183" s="75">
        <f t="shared" si="19"/>
        <v>1.4502071724532044</v>
      </c>
      <c r="H183" s="75">
        <f>VLOOKUP($A183,'Data Vlaue (Cr)'!$C:$FB,99)</f>
        <v>32471</v>
      </c>
      <c r="I183" s="75">
        <f>VLOOKUP($A183,'Data Vlaue (Cr)'!$C:$FB,100)</f>
        <v>32820</v>
      </c>
      <c r="J183" s="75">
        <f t="shared" si="20"/>
        <v>-349</v>
      </c>
      <c r="K183" s="75">
        <f t="shared" si="21"/>
        <v>-1.0748052108034862</v>
      </c>
      <c r="L183" s="75">
        <f>VLOOKUP($A183,'Data Vlaue (Cr)'!$C:$FB,67)</f>
        <v>16704</v>
      </c>
      <c r="M183" s="75">
        <f>VLOOKUP($A183,'Data Vlaue (Cr)'!$C:$FB,68)</f>
        <v>10778</v>
      </c>
      <c r="N183" s="75">
        <f t="shared" si="22"/>
        <v>5926</v>
      </c>
      <c r="O183" s="75">
        <f t="shared" si="23"/>
        <v>35.476532567049809</v>
      </c>
      <c r="P183" s="75">
        <f>VLOOKUP($A183,'Data Vlaue (Cr)'!$C:$FB,119)</f>
        <v>0.69</v>
      </c>
      <c r="Q183" s="75">
        <f>VLOOKUP($A183,'Data Vlaue (Cr)'!$C:$FB,122)*100</f>
        <v>4.55</v>
      </c>
      <c r="R183" s="75">
        <f>VLOOKUP($A183,'Data Vlaue (Cr)'!$C:$FB,125)</f>
        <v>0.43</v>
      </c>
      <c r="S183" s="75">
        <f>VLOOKUP($A183,'Data Vlaue (Cr)'!$C:$FB,128)*100</f>
        <v>-20.369999999999997</v>
      </c>
    </row>
    <row r="184" spans="1:19" x14ac:dyDescent="0.25">
      <c r="A184" s="96" t="str">
        <f>'Data Vlaue (Cr)'!C175</f>
        <v>RVNL</v>
      </c>
      <c r="B184" s="75">
        <f>VLOOKUP($A184,'Data Vlaue (Cr)'!$C:$FB,2)</f>
        <v>1375</v>
      </c>
      <c r="C184" s="75">
        <f>VLOOKUP($A184,'Data Vlaue (Cr)'!$C:$FB,8)</f>
        <v>336.05</v>
      </c>
      <c r="D184" s="75">
        <f>VLOOKUP($A184,'Data Vlaue (Cr)'!$C:$FB,4)</f>
        <v>337</v>
      </c>
      <c r="E184" s="75">
        <f>VLOOKUP($A184,'Data Vlaue (Cr)'!$C:$FB,5)</f>
        <v>339.2</v>
      </c>
      <c r="F184" s="75">
        <f t="shared" si="18"/>
        <v>0.94999999999998863</v>
      </c>
      <c r="G184" s="75">
        <f t="shared" si="19"/>
        <v>-0.65281899109791952</v>
      </c>
      <c r="H184" s="75">
        <f>VLOOKUP($A184,'Data Vlaue (Cr)'!$C:$FB,99)</f>
        <v>2357</v>
      </c>
      <c r="I184" s="75">
        <f>VLOOKUP($A184,'Data Vlaue (Cr)'!$C:$FB,100)</f>
        <v>2333</v>
      </c>
      <c r="J184" s="75">
        <f t="shared" si="20"/>
        <v>24</v>
      </c>
      <c r="K184" s="75">
        <f t="shared" si="21"/>
        <v>1.0182435299109036</v>
      </c>
      <c r="L184" s="75">
        <f>VLOOKUP($A184,'Data Vlaue (Cr)'!$C:$FB,67)</f>
        <v>617</v>
      </c>
      <c r="M184" s="75">
        <f>VLOOKUP($A184,'Data Vlaue (Cr)'!$C:$FB,68)</f>
        <v>803</v>
      </c>
      <c r="N184" s="75">
        <f t="shared" si="22"/>
        <v>-186</v>
      </c>
      <c r="O184" s="75">
        <f t="shared" si="23"/>
        <v>-30.14586709886548</v>
      </c>
      <c r="P184" s="75">
        <f>VLOOKUP($A184,'Data Vlaue (Cr)'!$C:$FB,119)</f>
        <v>0.37</v>
      </c>
      <c r="Q184" s="75">
        <f>VLOOKUP($A184,'Data Vlaue (Cr)'!$C:$FB,122)*100</f>
        <v>-2.63</v>
      </c>
      <c r="R184" s="75">
        <f>VLOOKUP($A184,'Data Vlaue (Cr)'!$C:$FB,125)</f>
        <v>0.28000000000000003</v>
      </c>
      <c r="S184" s="75">
        <f>VLOOKUP($A184,'Data Vlaue (Cr)'!$C:$FB,128)*100</f>
        <v>3.6999999999999997</v>
      </c>
    </row>
    <row r="185" spans="1:19" x14ac:dyDescent="0.25">
      <c r="A185" s="96" t="str">
        <f>'Data Vlaue (Cr)'!C176</f>
        <v>SAIL</v>
      </c>
      <c r="B185" s="75">
        <f>VLOOKUP($A185,'Data Vlaue (Cr)'!$C:$FB,2)</f>
        <v>4700</v>
      </c>
      <c r="C185" s="75">
        <f>VLOOKUP($A185,'Data Vlaue (Cr)'!$C:$FB,8)</f>
        <v>131.38</v>
      </c>
      <c r="D185" s="75">
        <f>VLOOKUP($A185,'Data Vlaue (Cr)'!$C:$FB,4)</f>
        <v>131.69</v>
      </c>
      <c r="E185" s="75">
        <f>VLOOKUP($A185,'Data Vlaue (Cr)'!$C:$FB,5)</f>
        <v>130.71</v>
      </c>
      <c r="F185" s="75">
        <f t="shared" si="18"/>
        <v>0.31000000000000227</v>
      </c>
      <c r="G185" s="75">
        <f t="shared" si="19"/>
        <v>0.74417191890044032</v>
      </c>
      <c r="H185" s="75">
        <f>VLOOKUP($A185,'Data Vlaue (Cr)'!$C:$FB,99)</f>
        <v>4023</v>
      </c>
      <c r="I185" s="75">
        <f>VLOOKUP($A185,'Data Vlaue (Cr)'!$C:$FB,100)</f>
        <v>4081</v>
      </c>
      <c r="J185" s="75">
        <f t="shared" si="20"/>
        <v>-58</v>
      </c>
      <c r="K185" s="75">
        <f t="shared" si="21"/>
        <v>-1.4417101665423813</v>
      </c>
      <c r="L185" s="75">
        <f>VLOOKUP($A185,'Data Vlaue (Cr)'!$C:$FB,67)</f>
        <v>1287</v>
      </c>
      <c r="M185" s="75">
        <f>VLOOKUP($A185,'Data Vlaue (Cr)'!$C:$FB,68)</f>
        <v>1115</v>
      </c>
      <c r="N185" s="75">
        <f t="shared" si="22"/>
        <v>172</v>
      </c>
      <c r="O185" s="75">
        <f t="shared" si="23"/>
        <v>13.364413364413362</v>
      </c>
      <c r="P185" s="75">
        <f>VLOOKUP($A185,'Data Vlaue (Cr)'!$C:$FB,119)</f>
        <v>0.52</v>
      </c>
      <c r="Q185" s="75">
        <f>VLOOKUP($A185,'Data Vlaue (Cr)'!$C:$FB,122)*100</f>
        <v>4</v>
      </c>
      <c r="R185" s="75">
        <f>VLOOKUP($A185,'Data Vlaue (Cr)'!$C:$FB,125)</f>
        <v>0.56000000000000005</v>
      </c>
      <c r="S185" s="75">
        <f>VLOOKUP($A185,'Data Vlaue (Cr)'!$C:$FB,128)*100</f>
        <v>19.149999999999999</v>
      </c>
    </row>
    <row r="186" spans="1:19" x14ac:dyDescent="0.25">
      <c r="A186" s="96" t="str">
        <f>'Data Vlaue (Cr)'!C177</f>
        <v>SAMMAANCAP</v>
      </c>
      <c r="B186" s="75">
        <f>VLOOKUP($A186,'Data Vlaue (Cr)'!$C:$FB,2)</f>
        <v>4300</v>
      </c>
      <c r="C186" s="75">
        <f>VLOOKUP($A186,'Data Vlaue (Cr)'!$C:$FB,8)</f>
        <v>166.89</v>
      </c>
      <c r="D186" s="75">
        <f>VLOOKUP($A186,'Data Vlaue (Cr)'!$C:$FB,4)</f>
        <v>166.97</v>
      </c>
      <c r="E186" s="75">
        <f>VLOOKUP($A186,'Data Vlaue (Cr)'!$C:$FB,5)</f>
        <v>165.14</v>
      </c>
      <c r="F186" s="75">
        <f t="shared" ref="F186:F193" si="24">D186-C186</f>
        <v>8.0000000000012506E-2</v>
      </c>
      <c r="G186" s="75">
        <f t="shared" ref="G186:G193" si="25">(D186-E186)/D186*100</f>
        <v>1.0960052704078653</v>
      </c>
      <c r="H186" s="75">
        <f>VLOOKUP($A186,'Data Vlaue (Cr)'!$C:$FB,99)</f>
        <v>2720</v>
      </c>
      <c r="I186" s="75">
        <f>VLOOKUP($A186,'Data Vlaue (Cr)'!$C:$FB,100)</f>
        <v>2760</v>
      </c>
      <c r="J186" s="75">
        <f t="shared" ref="J186:J193" si="26">H186-I186</f>
        <v>-40</v>
      </c>
      <c r="K186" s="75">
        <f t="shared" ref="K186:K193" si="27">J186/H186*100</f>
        <v>-1.4705882352941175</v>
      </c>
      <c r="L186" s="75">
        <f>VLOOKUP($A186,'Data Vlaue (Cr)'!$C:$FB,67)</f>
        <v>48</v>
      </c>
      <c r="M186" s="75">
        <f>VLOOKUP($A186,'Data Vlaue (Cr)'!$C:$FB,68)</f>
        <v>75</v>
      </c>
      <c r="N186" s="75">
        <f t="shared" ref="N186:N193" si="28">L186-M186</f>
        <v>-27</v>
      </c>
      <c r="O186" s="75">
        <f t="shared" ref="O186:O193" si="29">N186/L186*100</f>
        <v>-56.25</v>
      </c>
      <c r="P186" s="75">
        <f>VLOOKUP($A186,'Data Vlaue (Cr)'!$C:$FB,119)</f>
        <v>1.04</v>
      </c>
      <c r="Q186" s="75">
        <f>VLOOKUP($A186,'Data Vlaue (Cr)'!$C:$FB,122)*100</f>
        <v>1.96</v>
      </c>
      <c r="R186" s="75">
        <f>VLOOKUP($A186,'Data Vlaue (Cr)'!$C:$FB,125)</f>
        <v>0.44</v>
      </c>
      <c r="S186" s="75">
        <f>VLOOKUP($A186,'Data Vlaue (Cr)'!$C:$FB,128)*100</f>
        <v>-40.54</v>
      </c>
    </row>
    <row r="187" spans="1:19" x14ac:dyDescent="0.25">
      <c r="A187" s="96" t="str">
        <f>'Data Vlaue (Cr)'!C178</f>
        <v>SBICARD</v>
      </c>
      <c r="B187" s="75">
        <f>VLOOKUP($A187,'Data Vlaue (Cr)'!$C:$FB,2)</f>
        <v>800</v>
      </c>
      <c r="C187" s="75">
        <f>VLOOKUP($A187,'Data Vlaue (Cr)'!$C:$FB,8)</f>
        <v>934.85</v>
      </c>
      <c r="D187" s="75">
        <f>VLOOKUP($A187,'Data Vlaue (Cr)'!$C:$FB,4)</f>
        <v>932.8</v>
      </c>
      <c r="E187" s="75">
        <f>VLOOKUP($A187,'Data Vlaue (Cr)'!$C:$FB,5)</f>
        <v>924.7</v>
      </c>
      <c r="F187" s="75">
        <f t="shared" si="24"/>
        <v>-2.0500000000000682</v>
      </c>
      <c r="G187" s="75">
        <f t="shared" si="25"/>
        <v>0.8683533447684294</v>
      </c>
      <c r="H187" s="75">
        <f>VLOOKUP($A187,'Data Vlaue (Cr)'!$C:$FB,99)</f>
        <v>2785</v>
      </c>
      <c r="I187" s="75">
        <f>VLOOKUP($A187,'Data Vlaue (Cr)'!$C:$FB,100)</f>
        <v>2764</v>
      </c>
      <c r="J187" s="75">
        <f t="shared" si="26"/>
        <v>21</v>
      </c>
      <c r="K187" s="75">
        <f t="shared" si="27"/>
        <v>0.7540394973070017</v>
      </c>
      <c r="L187" s="75">
        <f>VLOOKUP($A187,'Data Vlaue (Cr)'!$C:$FB,67)</f>
        <v>1909</v>
      </c>
      <c r="M187" s="75">
        <f>VLOOKUP($A187,'Data Vlaue (Cr)'!$C:$FB,68)</f>
        <v>1564</v>
      </c>
      <c r="N187" s="75">
        <f t="shared" si="28"/>
        <v>345</v>
      </c>
      <c r="O187" s="75">
        <f t="shared" si="29"/>
        <v>18.072289156626507</v>
      </c>
      <c r="P187" s="75">
        <f>VLOOKUP($A187,'Data Vlaue (Cr)'!$C:$FB,119)</f>
        <v>0.7</v>
      </c>
      <c r="Q187" s="75">
        <f>VLOOKUP($A187,'Data Vlaue (Cr)'!$C:$FB,122)*100</f>
        <v>14.75</v>
      </c>
      <c r="R187" s="75">
        <f>VLOOKUP($A187,'Data Vlaue (Cr)'!$C:$FB,125)</f>
        <v>0.42</v>
      </c>
      <c r="S187" s="75">
        <f>VLOOKUP($A187,'Data Vlaue (Cr)'!$C:$FB,128)*100</f>
        <v>-6.67</v>
      </c>
    </row>
    <row r="188" spans="1:19" x14ac:dyDescent="0.25">
      <c r="A188" s="96" t="str">
        <f>'Data Vlaue (Cr)'!C179</f>
        <v>SBILIFE</v>
      </c>
      <c r="B188" s="75">
        <f>VLOOKUP($A188,'Data Vlaue (Cr)'!$C:$FB,2)</f>
        <v>375</v>
      </c>
      <c r="C188" s="75">
        <f>VLOOKUP($A188,'Data Vlaue (Cr)'!$C:$FB,8)</f>
        <v>1835.7</v>
      </c>
      <c r="D188" s="75">
        <f>VLOOKUP($A188,'Data Vlaue (Cr)'!$C:$FB,4)</f>
        <v>1838.4</v>
      </c>
      <c r="E188" s="75">
        <f>VLOOKUP($A188,'Data Vlaue (Cr)'!$C:$FB,5)</f>
        <v>1847.2</v>
      </c>
      <c r="F188" s="75">
        <f t="shared" si="24"/>
        <v>2.7000000000000455</v>
      </c>
      <c r="G188" s="75">
        <f t="shared" si="25"/>
        <v>-0.4786771105308939</v>
      </c>
      <c r="H188" s="75">
        <f>VLOOKUP($A188,'Data Vlaue (Cr)'!$C:$FB,99)</f>
        <v>1968</v>
      </c>
      <c r="I188" s="75">
        <f>VLOOKUP($A188,'Data Vlaue (Cr)'!$C:$FB,100)</f>
        <v>1932</v>
      </c>
      <c r="J188" s="75">
        <f t="shared" si="26"/>
        <v>36</v>
      </c>
      <c r="K188" s="75">
        <f t="shared" si="27"/>
        <v>1.8292682926829267</v>
      </c>
      <c r="L188" s="75">
        <f>VLOOKUP($A188,'Data Vlaue (Cr)'!$C:$FB,67)</f>
        <v>1113</v>
      </c>
      <c r="M188" s="75">
        <f>VLOOKUP($A188,'Data Vlaue (Cr)'!$C:$FB,68)</f>
        <v>1420</v>
      </c>
      <c r="N188" s="75">
        <f t="shared" si="28"/>
        <v>-307</v>
      </c>
      <c r="O188" s="75">
        <f t="shared" si="29"/>
        <v>-27.583108715184185</v>
      </c>
      <c r="P188" s="75">
        <f>VLOOKUP($A188,'Data Vlaue (Cr)'!$C:$FB,119)</f>
        <v>0.54</v>
      </c>
      <c r="Q188" s="75">
        <f>VLOOKUP($A188,'Data Vlaue (Cr)'!$C:$FB,122)*100</f>
        <v>-1.82</v>
      </c>
      <c r="R188" s="75">
        <f>VLOOKUP($A188,'Data Vlaue (Cr)'!$C:$FB,125)</f>
        <v>0.5</v>
      </c>
      <c r="S188" s="75">
        <f>VLOOKUP($A188,'Data Vlaue (Cr)'!$C:$FB,128)*100</f>
        <v>47.06</v>
      </c>
    </row>
    <row r="189" spans="1:19" x14ac:dyDescent="0.25">
      <c r="A189" s="96" t="str">
        <f>'Data Vlaue (Cr)'!C180</f>
        <v>SBIN</v>
      </c>
      <c r="B189" s="75">
        <f>VLOOKUP($A189,'Data Vlaue (Cr)'!$C:$FB,2)</f>
        <v>750</v>
      </c>
      <c r="C189" s="75">
        <f>VLOOKUP($A189,'Data Vlaue (Cr)'!$C:$FB,8)</f>
        <v>886.95</v>
      </c>
      <c r="D189" s="75">
        <f>VLOOKUP($A189,'Data Vlaue (Cr)'!$C:$FB,4)</f>
        <v>888.3</v>
      </c>
      <c r="E189" s="75">
        <f>VLOOKUP($A189,'Data Vlaue (Cr)'!$C:$FB,5)</f>
        <v>887.4</v>
      </c>
      <c r="F189" s="75">
        <f t="shared" si="24"/>
        <v>1.3499999999999091</v>
      </c>
      <c r="G189" s="75">
        <f t="shared" si="25"/>
        <v>0.10131712259371578</v>
      </c>
      <c r="H189" s="75">
        <f>VLOOKUP($A189,'Data Vlaue (Cr)'!$C:$FB,99)</f>
        <v>15715</v>
      </c>
      <c r="I189" s="75">
        <f>VLOOKUP($A189,'Data Vlaue (Cr)'!$C:$FB,100)</f>
        <v>15551</v>
      </c>
      <c r="J189" s="75">
        <f t="shared" si="26"/>
        <v>164</v>
      </c>
      <c r="K189" s="75">
        <f t="shared" si="27"/>
        <v>1.0435889277760102</v>
      </c>
      <c r="L189" s="75">
        <f>VLOOKUP($A189,'Data Vlaue (Cr)'!$C:$FB,67)</f>
        <v>11325</v>
      </c>
      <c r="M189" s="75">
        <f>VLOOKUP($A189,'Data Vlaue (Cr)'!$C:$FB,68)</f>
        <v>10501</v>
      </c>
      <c r="N189" s="75">
        <f t="shared" si="28"/>
        <v>824</v>
      </c>
      <c r="O189" s="75">
        <f t="shared" si="29"/>
        <v>7.2759381898454754</v>
      </c>
      <c r="P189" s="75">
        <f>VLOOKUP($A189,'Data Vlaue (Cr)'!$C:$FB,119)</f>
        <v>0.66</v>
      </c>
      <c r="Q189" s="75">
        <f>VLOOKUP($A189,'Data Vlaue (Cr)'!$C:$FB,122)*100</f>
        <v>6.45</v>
      </c>
      <c r="R189" s="75">
        <f>VLOOKUP($A189,'Data Vlaue (Cr)'!$C:$FB,125)</f>
        <v>0.65</v>
      </c>
      <c r="S189" s="75">
        <f>VLOOKUP($A189,'Data Vlaue (Cr)'!$C:$FB,128)*100</f>
        <v>3.17</v>
      </c>
    </row>
    <row r="190" spans="1:19" x14ac:dyDescent="0.25">
      <c r="A190" s="96" t="str">
        <f>'Data Vlaue (Cr)'!C181</f>
        <v>SHREECEM</v>
      </c>
      <c r="B190" s="75">
        <f>VLOOKUP($A190,'Data Vlaue (Cr)'!$C:$FB,2)</f>
        <v>25</v>
      </c>
      <c r="C190" s="75">
        <f>VLOOKUP($A190,'Data Vlaue (Cr)'!$C:$FB,8)</f>
        <v>30010</v>
      </c>
      <c r="D190" s="75">
        <f>VLOOKUP($A190,'Data Vlaue (Cr)'!$C:$FB,4)</f>
        <v>30120</v>
      </c>
      <c r="E190" s="75">
        <f>VLOOKUP($A190,'Data Vlaue (Cr)'!$C:$FB,5)</f>
        <v>30040</v>
      </c>
      <c r="F190" s="75">
        <f t="shared" si="24"/>
        <v>110</v>
      </c>
      <c r="G190" s="75">
        <f t="shared" si="25"/>
        <v>0.26560424966799467</v>
      </c>
      <c r="H190" s="75">
        <f>VLOOKUP($A190,'Data Vlaue (Cr)'!$C:$FB,99)</f>
        <v>836</v>
      </c>
      <c r="I190" s="75">
        <f>VLOOKUP($A190,'Data Vlaue (Cr)'!$C:$FB,100)</f>
        <v>831</v>
      </c>
      <c r="J190" s="75">
        <f t="shared" si="26"/>
        <v>5</v>
      </c>
      <c r="K190" s="75">
        <f t="shared" si="27"/>
        <v>0.59808612440191389</v>
      </c>
      <c r="L190" s="75">
        <f>VLOOKUP($A190,'Data Vlaue (Cr)'!$C:$FB,67)</f>
        <v>292</v>
      </c>
      <c r="M190" s="75">
        <f>VLOOKUP($A190,'Data Vlaue (Cr)'!$C:$FB,68)</f>
        <v>335</v>
      </c>
      <c r="N190" s="75">
        <f t="shared" si="28"/>
        <v>-43</v>
      </c>
      <c r="O190" s="75">
        <f t="shared" si="29"/>
        <v>-14.726027397260275</v>
      </c>
      <c r="P190" s="75">
        <f>VLOOKUP($A190,'Data Vlaue (Cr)'!$C:$FB,119)</f>
        <v>0.88</v>
      </c>
      <c r="Q190" s="75">
        <f>VLOOKUP($A190,'Data Vlaue (Cr)'!$C:$FB,122)*100</f>
        <v>20.549999999999997</v>
      </c>
      <c r="R190" s="75">
        <f>VLOOKUP($A190,'Data Vlaue (Cr)'!$C:$FB,125)</f>
        <v>1.33</v>
      </c>
      <c r="S190" s="75">
        <f>VLOOKUP($A190,'Data Vlaue (Cr)'!$C:$FB,128)*100</f>
        <v>638.89</v>
      </c>
    </row>
    <row r="191" spans="1:19" x14ac:dyDescent="0.25">
      <c r="A191" s="96" t="str">
        <f>'Data Vlaue (Cr)'!C182</f>
        <v>SHRIRAMFIN</v>
      </c>
      <c r="B191" s="75">
        <f>VLOOKUP($A191,'Data Vlaue (Cr)'!$C:$FB,2)</f>
        <v>825</v>
      </c>
      <c r="C191" s="75">
        <f>VLOOKUP($A191,'Data Vlaue (Cr)'!$C:$FB,8)</f>
        <v>672.5</v>
      </c>
      <c r="D191" s="75">
        <f>VLOOKUP($A191,'Data Vlaue (Cr)'!$C:$FB,4)</f>
        <v>673.45</v>
      </c>
      <c r="E191" s="75">
        <f>VLOOKUP($A191,'Data Vlaue (Cr)'!$C:$FB,5)</f>
        <v>679.65</v>
      </c>
      <c r="F191" s="75">
        <f t="shared" si="24"/>
        <v>0.95000000000004547</v>
      </c>
      <c r="G191" s="75">
        <f t="shared" si="25"/>
        <v>-0.92063256366470148</v>
      </c>
      <c r="H191" s="75">
        <f>VLOOKUP($A191,'Data Vlaue (Cr)'!$C:$FB,99)</f>
        <v>4419</v>
      </c>
      <c r="I191" s="75">
        <f>VLOOKUP($A191,'Data Vlaue (Cr)'!$C:$FB,100)</f>
        <v>4367</v>
      </c>
      <c r="J191" s="75">
        <f t="shared" si="26"/>
        <v>52</v>
      </c>
      <c r="K191" s="75">
        <f t="shared" si="27"/>
        <v>1.1767368182846798</v>
      </c>
      <c r="L191" s="75">
        <f>VLOOKUP($A191,'Data Vlaue (Cr)'!$C:$FB,67)</f>
        <v>2403</v>
      </c>
      <c r="M191" s="75">
        <f>VLOOKUP($A191,'Data Vlaue (Cr)'!$C:$FB,68)</f>
        <v>2743</v>
      </c>
      <c r="N191" s="75">
        <f t="shared" si="28"/>
        <v>-340</v>
      </c>
      <c r="O191" s="75">
        <f t="shared" si="29"/>
        <v>-14.148980441115272</v>
      </c>
      <c r="P191" s="75">
        <f>VLOOKUP($A191,'Data Vlaue (Cr)'!$C:$FB,119)</f>
        <v>0.76</v>
      </c>
      <c r="Q191" s="75">
        <f>VLOOKUP($A191,'Data Vlaue (Cr)'!$C:$FB,122)*100</f>
        <v>-7.32</v>
      </c>
      <c r="R191" s="75">
        <f>VLOOKUP($A191,'Data Vlaue (Cr)'!$C:$FB,125)</f>
        <v>0.45</v>
      </c>
      <c r="S191" s="75">
        <f>VLOOKUP($A191,'Data Vlaue (Cr)'!$C:$FB,128)*100</f>
        <v>-15.09</v>
      </c>
    </row>
    <row r="192" spans="1:19" x14ac:dyDescent="0.25">
      <c r="A192" s="96" t="str">
        <f>'Data Vlaue (Cr)'!C183</f>
        <v>SIEMENS</v>
      </c>
      <c r="B192" s="75">
        <f>VLOOKUP($A192,'Data Vlaue (Cr)'!$C:$FB,2)</f>
        <v>125</v>
      </c>
      <c r="C192" s="75">
        <f>VLOOKUP($A192,'Data Vlaue (Cr)'!$C:$FB,8)</f>
        <v>3119</v>
      </c>
      <c r="D192" s="75">
        <f>VLOOKUP($A192,'Data Vlaue (Cr)'!$C:$FB,4)</f>
        <v>3118.7</v>
      </c>
      <c r="E192" s="75">
        <f>VLOOKUP($A192,'Data Vlaue (Cr)'!$C:$FB,5)</f>
        <v>3124.6</v>
      </c>
      <c r="F192" s="75">
        <f t="shared" si="24"/>
        <v>-0.3000000000001819</v>
      </c>
      <c r="G192" s="75">
        <f t="shared" si="25"/>
        <v>-0.18918138968160103</v>
      </c>
      <c r="H192" s="75">
        <f>VLOOKUP($A192,'Data Vlaue (Cr)'!$C:$FB,99)</f>
        <v>1406</v>
      </c>
      <c r="I192" s="75">
        <f>VLOOKUP($A192,'Data Vlaue (Cr)'!$C:$FB,100)</f>
        <v>1347</v>
      </c>
      <c r="J192" s="75">
        <f t="shared" si="26"/>
        <v>59</v>
      </c>
      <c r="K192" s="75">
        <f t="shared" si="27"/>
        <v>4.1963015647226172</v>
      </c>
      <c r="L192" s="75">
        <f>VLOOKUP($A192,'Data Vlaue (Cr)'!$C:$FB,67)</f>
        <v>961</v>
      </c>
      <c r="M192" s="75">
        <f>VLOOKUP($A192,'Data Vlaue (Cr)'!$C:$FB,68)</f>
        <v>838</v>
      </c>
      <c r="N192" s="75">
        <f t="shared" si="28"/>
        <v>123</v>
      </c>
      <c r="O192" s="75">
        <f t="shared" si="29"/>
        <v>12.79916753381894</v>
      </c>
      <c r="P192" s="75">
        <f>VLOOKUP($A192,'Data Vlaue (Cr)'!$C:$FB,119)</f>
        <v>0.39</v>
      </c>
      <c r="Q192" s="75">
        <f>VLOOKUP($A192,'Data Vlaue (Cr)'!$C:$FB,122)*100</f>
        <v>-9.3000000000000007</v>
      </c>
      <c r="R192" s="75">
        <f>VLOOKUP($A192,'Data Vlaue (Cr)'!$C:$FB,125)</f>
        <v>0.45</v>
      </c>
      <c r="S192" s="75">
        <f>VLOOKUP($A192,'Data Vlaue (Cr)'!$C:$FB,128)*100</f>
        <v>45.16</v>
      </c>
    </row>
    <row r="193" spans="1:19" x14ac:dyDescent="0.25">
      <c r="A193" s="96" t="str">
        <f>'Data Vlaue (Cr)'!C216</f>
        <v>ZYDUSLIFE</v>
      </c>
      <c r="B193" s="75">
        <f>VLOOKUP($A193,'Data Vlaue (Cr)'!$C:$FB,2)</f>
        <v>900</v>
      </c>
      <c r="C193" s="75">
        <f>VLOOKUP($A193,'Data Vlaue (Cr)'!$C:$FB,8)</f>
        <v>984.6</v>
      </c>
      <c r="D193" s="75">
        <f>VLOOKUP($A193,'Data Vlaue (Cr)'!$C:$FB,4)</f>
        <v>985.75</v>
      </c>
      <c r="E193" s="75">
        <f>VLOOKUP($A193,'Data Vlaue (Cr)'!$C:$FB,5)</f>
        <v>980.2</v>
      </c>
      <c r="F193" s="75">
        <f t="shared" si="24"/>
        <v>1.1499999999999773</v>
      </c>
      <c r="G193" s="75">
        <f t="shared" si="25"/>
        <v>0.5630230788739492</v>
      </c>
      <c r="H193" s="75">
        <f>VLOOKUP($A193,'Data Vlaue (Cr)'!$C:$FB,99)</f>
        <v>1423</v>
      </c>
      <c r="I193" s="75">
        <f>VLOOKUP($A193,'Data Vlaue (Cr)'!$C:$FB,100)</f>
        <v>1462</v>
      </c>
      <c r="J193" s="75">
        <f t="shared" si="26"/>
        <v>-39</v>
      </c>
      <c r="K193" s="75">
        <f t="shared" si="27"/>
        <v>-2.7406886858749124</v>
      </c>
      <c r="L193" s="75">
        <f>VLOOKUP($A193,'Data Vlaue (Cr)'!$C:$FB,67)</f>
        <v>489</v>
      </c>
      <c r="M193" s="75">
        <f>VLOOKUP($A193,'Data Vlaue (Cr)'!$C:$FB,68)</f>
        <v>413</v>
      </c>
      <c r="N193" s="75">
        <f t="shared" si="28"/>
        <v>76</v>
      </c>
      <c r="O193" s="75">
        <f t="shared" si="29"/>
        <v>15.541922290388548</v>
      </c>
      <c r="P193" s="75">
        <f>VLOOKUP($A193,'Data Vlaue (Cr)'!$C:$FB,119)</f>
        <v>0.56000000000000005</v>
      </c>
      <c r="Q193" s="75">
        <f>VLOOKUP($A193,'Data Vlaue (Cr)'!$C:$FB,122)*100</f>
        <v>5.66</v>
      </c>
      <c r="R193" s="75">
        <f>VLOOKUP($A193,'Data Vlaue (Cr)'!$C:$FB,125)</f>
        <v>0.46</v>
      </c>
      <c r="S193" s="75">
        <f>VLOOKUP($A193,'Data Vlaue (Cr)'!$C:$FB,128)*100</f>
        <v>43.75</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36"/>
      <c r="B224" s="236"/>
      <c r="C224" s="236"/>
      <c r="D224" s="236"/>
      <c r="E224" s="236"/>
      <c r="F224" s="236"/>
      <c r="G224" s="15"/>
      <c r="H224" s="16"/>
      <c r="I224" s="236"/>
      <c r="J224" s="236"/>
      <c r="K224" s="236"/>
      <c r="L224" s="236"/>
      <c r="M224" s="236"/>
      <c r="N224" s="16"/>
      <c r="O224" s="16"/>
      <c r="P224" s="16"/>
      <c r="Q224" s="236"/>
      <c r="R224" s="236"/>
      <c r="S224" s="236"/>
    </row>
    <row r="225" spans="1:19" x14ac:dyDescent="0.25">
      <c r="A225" s="233" t="s">
        <v>391</v>
      </c>
      <c r="B225" s="234"/>
      <c r="C225" s="234"/>
      <c r="D225" s="234"/>
      <c r="E225" s="234"/>
      <c r="F225" s="235"/>
      <c r="G225" s="18"/>
      <c r="H225" s="18">
        <f>SUM(H11:H223)</f>
        <v>2367019</v>
      </c>
      <c r="I225" s="18">
        <f>SUM(I11:I223)</f>
        <v>2178785</v>
      </c>
      <c r="J225" s="18">
        <f>H225-I225</f>
        <v>188234</v>
      </c>
      <c r="K225" s="19">
        <f>J225/I225</f>
        <v>8.6394022356496861E-2</v>
      </c>
      <c r="L225" s="18">
        <f>SUM(L11:L223)</f>
        <v>14332295</v>
      </c>
      <c r="M225" s="18">
        <f>SUM(M11:M223)</f>
        <v>13005484</v>
      </c>
      <c r="N225" s="18">
        <f>L225-M225</f>
        <v>1326811</v>
      </c>
      <c r="O225" s="19">
        <f>N225/M225</f>
        <v>0.10201934814575143</v>
      </c>
      <c r="P225" s="233"/>
      <c r="Q225" s="234"/>
      <c r="R225" s="234"/>
      <c r="S225" s="235"/>
    </row>
    <row r="229" spans="1:19" x14ac:dyDescent="0.25">
      <c r="A229" s="239" t="s">
        <v>334</v>
      </c>
      <c r="B229" s="239"/>
      <c r="C229" s="23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11402</v>
      </c>
      <c r="C231" s="146">
        <f>VLOOKUP(B230,'OI(Value)'!A7:G209,7,0)</f>
        <v>1.84E-2</v>
      </c>
      <c r="D231" s="9">
        <f>VLOOKUP(D230,'OI(Value)'!A7:E209,5,0)</f>
        <v>52189</v>
      </c>
      <c r="E231" s="147">
        <f>VLOOKUP(D230,'OI(Value)'!A7:G209,7,0)</f>
        <v>6.6E-3</v>
      </c>
      <c r="F231" s="9">
        <f>G231-D231-B231</f>
        <v>439148</v>
      </c>
      <c r="G231" s="10">
        <f>'OI(Value)'!E210</f>
        <v>502739</v>
      </c>
      <c r="H231" s="147">
        <f>'OI(Value)'!D217</f>
        <v>2.0766242523456505E-3</v>
      </c>
    </row>
    <row r="232" spans="1:19" x14ac:dyDescent="0.25">
      <c r="A232" s="26" t="s">
        <v>389</v>
      </c>
      <c r="B232" s="9">
        <f>VLOOKUP(B230,'OI(Value)'!A7:H209,8,0)</f>
        <v>113553</v>
      </c>
      <c r="C232" s="146">
        <f>VLOOKUP(B230,'OI(Value)'!A7:J209,10,0)</f>
        <v>-1.55E-2</v>
      </c>
      <c r="D232" s="9">
        <f>VLOOKUP(D230,'OI(Value)'!A1:O210,8,0)</f>
        <v>543004</v>
      </c>
      <c r="E232" s="147">
        <f>VLOOKUP(D230,'OI(Value)'!A1:J209,10,0)</f>
        <v>7.0499999999999993E-2</v>
      </c>
      <c r="F232" s="9">
        <f>G232-D232-B232</f>
        <v>191723</v>
      </c>
      <c r="G232" s="9">
        <f>'OI(Value)'!H210</f>
        <v>848280</v>
      </c>
      <c r="H232" s="147">
        <f>'OI(Value)'!D218</f>
        <v>4.3873485169991039E-2</v>
      </c>
    </row>
    <row r="233" spans="1:19" x14ac:dyDescent="0.25">
      <c r="A233" s="26" t="s">
        <v>390</v>
      </c>
      <c r="B233" s="9">
        <f>VLOOKUP(B230,'OI(Value)'!A7:K209,11,0)</f>
        <v>134467</v>
      </c>
      <c r="C233" s="146">
        <f>VLOOKUP(B230,'OI(Value)'!A7:M209,13,0)</f>
        <v>6.0600000000000001E-2</v>
      </c>
      <c r="D233" s="9">
        <f>VLOOKUP(D230,'OI(Value)'!A2:O211,11,0)</f>
        <v>750912</v>
      </c>
      <c r="E233" s="147">
        <f>VLOOKUP(D230,'OI(Value)'!A7:M209,13,0)</f>
        <v>0.221</v>
      </c>
      <c r="F233" s="9">
        <f>G233-D233-B233</f>
        <v>130602</v>
      </c>
      <c r="G233" s="9">
        <f>'OI(Value)'!K210</f>
        <v>1015981</v>
      </c>
      <c r="H233" s="147">
        <f>'OI(Volume)'!D229</f>
        <v>5.7458384486922288E-2</v>
      </c>
    </row>
    <row r="234" spans="1:19" x14ac:dyDescent="0.25">
      <c r="A234" s="22" t="s">
        <v>391</v>
      </c>
      <c r="B234" s="62">
        <f>SUM(B231:B233)</f>
        <v>259422</v>
      </c>
      <c r="C234" s="148">
        <f>VLOOKUP(B230,'OI(Value)'!A7:D148,4,0)</f>
        <v>2.41E-2</v>
      </c>
      <c r="D234" s="62">
        <f>SUM(D231:D233)</f>
        <v>1346105</v>
      </c>
      <c r="E234" s="148">
        <f>VLOOKUP(D230,'OI(Value)'!A1:D210,4,0)</f>
        <v>0.14649999999999999</v>
      </c>
      <c r="F234" s="62">
        <f>SUM(F231:F233)</f>
        <v>761473</v>
      </c>
      <c r="G234" s="62">
        <f>SUM(G231:G233)</f>
        <v>2367000</v>
      </c>
      <c r="H234" s="151">
        <f>'OI(Value)'!D220</f>
        <v>7.9518377693282641E-2</v>
      </c>
    </row>
    <row r="238" spans="1:19" x14ac:dyDescent="0.25">
      <c r="A238" s="20" t="s">
        <v>392</v>
      </c>
      <c r="B238" s="11"/>
      <c r="C238" s="11"/>
      <c r="D238" s="11"/>
      <c r="E238" s="11"/>
      <c r="F238" s="11"/>
      <c r="G238" s="11"/>
      <c r="H238" s="12"/>
    </row>
    <row r="239" spans="1:19" x14ac:dyDescent="0.25">
      <c r="A239" s="27"/>
      <c r="B239" s="27"/>
      <c r="C239" s="240" t="s">
        <v>459</v>
      </c>
      <c r="D239" s="241"/>
      <c r="E239" s="242"/>
      <c r="F239" s="240" t="s">
        <v>460</v>
      </c>
      <c r="G239" s="241"/>
      <c r="H239" s="242"/>
    </row>
    <row r="240" spans="1:19" x14ac:dyDescent="0.25">
      <c r="A240" s="28"/>
      <c r="B240" s="27"/>
      <c r="C240" s="31">
        <f>D10</f>
        <v>45946</v>
      </c>
      <c r="D240" s="31" t="s">
        <v>397</v>
      </c>
      <c r="E240" s="32" t="s">
        <v>321</v>
      </c>
      <c r="F240" s="31">
        <f>C240</f>
        <v>45946</v>
      </c>
      <c r="G240" s="31" t="str">
        <f>D240</f>
        <v>Preious</v>
      </c>
      <c r="H240" s="32" t="s">
        <v>386</v>
      </c>
    </row>
    <row r="241" spans="1:8" x14ac:dyDescent="0.25">
      <c r="A241" s="29" t="s">
        <v>393</v>
      </c>
      <c r="B241" s="30"/>
      <c r="C241" s="13">
        <f>FII!N3</f>
        <v>5926</v>
      </c>
      <c r="D241" s="13">
        <f>FII!J3</f>
        <v>5323</v>
      </c>
      <c r="E241" s="14">
        <f>(C241-D241)/C241</f>
        <v>0.10175497806277421</v>
      </c>
      <c r="F241" s="13">
        <f>FII!M3</f>
        <v>29436</v>
      </c>
      <c r="G241" s="13">
        <f>FII!I3</f>
        <v>26676</v>
      </c>
      <c r="H241" s="14">
        <f>(F241-G241)/F241</f>
        <v>9.3762739502649822E-2</v>
      </c>
    </row>
    <row r="242" spans="1:8" x14ac:dyDescent="0.25">
      <c r="A242" s="237" t="s">
        <v>394</v>
      </c>
      <c r="B242" s="238"/>
      <c r="C242" s="13">
        <f>FII!N4</f>
        <v>55687</v>
      </c>
      <c r="D242" s="13">
        <f>FII!J4</f>
        <v>49941</v>
      </c>
      <c r="E242" s="14">
        <f>(C242-D242)/C242</f>
        <v>0.10318386697074722</v>
      </c>
      <c r="F242" s="13">
        <f>FII!M4</f>
        <v>277076</v>
      </c>
      <c r="G242" s="13">
        <f>FII!I4</f>
        <v>251214</v>
      </c>
      <c r="H242" s="14">
        <f>(F242-G242)/F242</f>
        <v>9.333901167910609E-2</v>
      </c>
    </row>
    <row r="243" spans="1:8" x14ac:dyDescent="0.25">
      <c r="A243" s="237" t="s">
        <v>395</v>
      </c>
      <c r="B243" s="238"/>
      <c r="C243" s="13">
        <f>FII!N15</f>
        <v>398608</v>
      </c>
      <c r="D243" s="13">
        <f>FII!J15</f>
        <v>395634</v>
      </c>
      <c r="E243" s="14">
        <f>(C243-D243)/C243</f>
        <v>7.460964155260306E-3</v>
      </c>
      <c r="F243" s="13">
        <f>FII!M15</f>
        <v>5620140</v>
      </c>
      <c r="G243" s="13">
        <f>FII!I15</f>
        <v>5610175</v>
      </c>
      <c r="H243" s="14">
        <f>(F243-G243)/F243</f>
        <v>1.7730875031582844E-3</v>
      </c>
    </row>
    <row r="244" spans="1:8" x14ac:dyDescent="0.25">
      <c r="A244" s="237" t="s">
        <v>396</v>
      </c>
      <c r="B244" s="238"/>
      <c r="C244" s="13">
        <f>FII!N16</f>
        <v>30857</v>
      </c>
      <c r="D244" s="13">
        <f>FII!J16</f>
        <v>29129</v>
      </c>
      <c r="E244" s="14">
        <f>(C244-D244)/C244</f>
        <v>5.600025926045954E-2</v>
      </c>
      <c r="F244" s="13">
        <f>FII!M16</f>
        <v>435701</v>
      </c>
      <c r="G244" s="13">
        <f>FII!I16</f>
        <v>413703</v>
      </c>
      <c r="H244" s="14">
        <f>(F244-G244)/F244</f>
        <v>5.0488752607866401E-2</v>
      </c>
    </row>
    <row r="245" spans="1:8" x14ac:dyDescent="0.25">
      <c r="A245" s="237" t="s">
        <v>391</v>
      </c>
      <c r="B245" s="238"/>
      <c r="C245" s="155">
        <f>SUM(C241:C244)</f>
        <v>491078</v>
      </c>
      <c r="D245" s="155">
        <f>SUM(D241:D244)</f>
        <v>480027</v>
      </c>
      <c r="E245" s="156">
        <f>(C245-D245)/C245</f>
        <v>2.2503553406994409E-2</v>
      </c>
      <c r="F245" s="157">
        <f>SUM(F241:F244)</f>
        <v>6362353</v>
      </c>
      <c r="G245" s="158">
        <f>SUM(G241:G244)</f>
        <v>6301768</v>
      </c>
      <c r="H245" s="156">
        <f>(F245-G245)/F245</f>
        <v>9.5224204001255509E-3</v>
      </c>
    </row>
  </sheetData>
  <mergeCells count="24">
    <mergeCell ref="A6:S6"/>
    <mergeCell ref="A7:S7"/>
    <mergeCell ref="A8:A9"/>
    <mergeCell ref="H8:K8"/>
    <mergeCell ref="L8:O8"/>
    <mergeCell ref="P8:S8"/>
    <mergeCell ref="D9:G9"/>
    <mergeCell ref="H9:K9"/>
    <mergeCell ref="C8:G8"/>
    <mergeCell ref="L9:O9"/>
    <mergeCell ref="P9:Q9"/>
    <mergeCell ref="R9:S9"/>
    <mergeCell ref="A244:B244"/>
    <mergeCell ref="A245:B245"/>
    <mergeCell ref="A229:C229"/>
    <mergeCell ref="C239:E239"/>
    <mergeCell ref="F239:H239"/>
    <mergeCell ref="A242:B242"/>
    <mergeCell ref="A243:B243"/>
    <mergeCell ref="P225:S225"/>
    <mergeCell ref="A225:F225"/>
    <mergeCell ref="Q224:S224"/>
    <mergeCell ref="I224:M224"/>
    <mergeCell ref="A224:F224"/>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45946</v>
      </c>
      <c r="C5" s="3">
        <f>B5</f>
        <v>45946</v>
      </c>
      <c r="D5" s="76" t="s">
        <v>367</v>
      </c>
      <c r="E5" s="76" t="s">
        <v>321</v>
      </c>
      <c r="F5" s="76" t="s">
        <v>368</v>
      </c>
      <c r="G5" s="76" t="s">
        <v>369</v>
      </c>
      <c r="H5" s="48"/>
    </row>
    <row r="6" spans="1:8" x14ac:dyDescent="0.25">
      <c r="A6" s="101" t="str">
        <f>'Data shares'!C2</f>
        <v>360ONE</v>
      </c>
      <c r="B6" s="144">
        <f>VLOOKUP($A6,'Data shares'!$C:$FA,7)</f>
        <v>1171.8</v>
      </c>
      <c r="C6" s="144">
        <f>VLOOKUP($A6,'Data shares'!$C:$FA,3)</f>
        <v>1171.5999999999999</v>
      </c>
      <c r="D6" s="144">
        <f>VLOOKUP($A6,'Data shares'!$C:$FA,23)</f>
        <v>-0.2</v>
      </c>
      <c r="E6" s="145">
        <f>VLOOKUP($A6,'Data shares'!$C:$FA,26)*100</f>
        <v>-0.02</v>
      </c>
      <c r="F6" s="144">
        <f>VLOOKUP($A6,'Data shares'!$C:$FA,24)</f>
        <v>2.1</v>
      </c>
      <c r="G6" s="144">
        <f>VLOOKUP($A6,'Data shares'!$C:$FA,25)</f>
        <v>-2.2999999999999998</v>
      </c>
    </row>
    <row r="7" spans="1:8" x14ac:dyDescent="0.25">
      <c r="A7" s="101" t="str">
        <f>'Data shares'!C3</f>
        <v>ABB</v>
      </c>
      <c r="B7" s="144">
        <f>VLOOKUP($A7,'Data shares'!$C:$FA,7)</f>
        <v>5212</v>
      </c>
      <c r="C7" s="144">
        <f>VLOOKUP($A7,'Data shares'!$C:$FA,3)</f>
        <v>5213.5</v>
      </c>
      <c r="D7" s="144">
        <f>VLOOKUP($A7,'Data shares'!$C:$FA,23)</f>
        <v>1.5</v>
      </c>
      <c r="E7" s="145">
        <f>VLOOKUP($A7,'Data shares'!$C:$FA,26)*100</f>
        <v>0.03</v>
      </c>
      <c r="F7" s="144">
        <f>VLOOKUP($A7,'Data shares'!$C:$FA,24)</f>
        <v>19</v>
      </c>
      <c r="G7" s="144">
        <f>VLOOKUP($A7,'Data shares'!$C:$FA,25)</f>
        <v>-17.5</v>
      </c>
    </row>
    <row r="8" spans="1:8" x14ac:dyDescent="0.25">
      <c r="A8" s="101" t="str">
        <f>'Data shares'!C4</f>
        <v>ABCAPITAL</v>
      </c>
      <c r="B8" s="144">
        <f>VLOOKUP($A8,'Data shares'!$C:$FA,7)</f>
        <v>300</v>
      </c>
      <c r="C8" s="144">
        <f>VLOOKUP($A8,'Data shares'!$C:$FA,3)</f>
        <v>301</v>
      </c>
      <c r="D8" s="144">
        <f>VLOOKUP($A8,'Data shares'!$C:$FA,23)</f>
        <v>1</v>
      </c>
      <c r="E8" s="145">
        <f>VLOOKUP($A8,'Data shares'!$C:$FA,26)*100</f>
        <v>0.33</v>
      </c>
      <c r="F8" s="144">
        <f>VLOOKUP($A8,'Data shares'!$C:$FA,24)</f>
        <v>1.25</v>
      </c>
      <c r="G8" s="144">
        <f>VLOOKUP($A8,'Data shares'!$C:$FA,25)</f>
        <v>-0.25</v>
      </c>
    </row>
    <row r="9" spans="1:8" x14ac:dyDescent="0.25">
      <c r="A9" s="101" t="str">
        <f>'Data shares'!C5</f>
        <v>ADANIENSOL</v>
      </c>
      <c r="B9" s="144">
        <f>VLOOKUP($A9,'Data shares'!$C:$FA,7)</f>
        <v>947.95</v>
      </c>
      <c r="C9" s="144">
        <f>VLOOKUP($A9,'Data shares'!$C:$FA,3)</f>
        <v>948.7</v>
      </c>
      <c r="D9" s="144">
        <f>VLOOKUP($A9,'Data shares'!$C:$FA,23)</f>
        <v>0.75</v>
      </c>
      <c r="E9" s="145">
        <f>VLOOKUP($A9,'Data shares'!$C:$FA,26)*100</f>
        <v>0.08</v>
      </c>
      <c r="F9" s="144">
        <f>VLOOKUP($A9,'Data shares'!$C:$FA,24)</f>
        <v>4.3499999999999996</v>
      </c>
      <c r="G9" s="144">
        <f>VLOOKUP($A9,'Data shares'!$C:$FA,25)</f>
        <v>-3.6</v>
      </c>
    </row>
    <row r="10" spans="1:8" x14ac:dyDescent="0.25">
      <c r="A10" s="101" t="str">
        <f>'Data shares'!C6</f>
        <v>ADANIENT</v>
      </c>
      <c r="B10" s="144">
        <f>VLOOKUP($A10,'Data shares'!$C:$FA,7)</f>
        <v>2557.6</v>
      </c>
      <c r="C10" s="144">
        <f>VLOOKUP($A10,'Data shares'!$C:$FA,3)</f>
        <v>2567.6999999999998</v>
      </c>
      <c r="D10" s="144">
        <f>VLOOKUP($A10,'Data shares'!$C:$FA,23)</f>
        <v>10.1</v>
      </c>
      <c r="E10" s="145">
        <f>VLOOKUP($A10,'Data shares'!$C:$FA,26)*100</f>
        <v>0.38999999999999996</v>
      </c>
      <c r="F10" s="144">
        <f>VLOOKUP($A10,'Data shares'!$C:$FA,24)</f>
        <v>11.8</v>
      </c>
      <c r="G10" s="144">
        <f>VLOOKUP($A10,'Data shares'!$C:$FA,25)</f>
        <v>-1.7</v>
      </c>
    </row>
    <row r="11" spans="1:8" x14ac:dyDescent="0.25">
      <c r="A11" s="101" t="str">
        <f>'Data shares'!C7</f>
        <v>ADANIGREEN</v>
      </c>
      <c r="B11" s="144">
        <f>VLOOKUP($A11,'Data shares'!$C:$FA,7)</f>
        <v>1060.3</v>
      </c>
      <c r="C11" s="144">
        <f>VLOOKUP($A11,'Data shares'!$C:$FA,3)</f>
        <v>1064.3</v>
      </c>
      <c r="D11" s="144">
        <f>VLOOKUP($A11,'Data shares'!$C:$FA,23)</f>
        <v>4</v>
      </c>
      <c r="E11" s="145">
        <f>VLOOKUP($A11,'Data shares'!$C:$FA,26)*100</f>
        <v>0.38</v>
      </c>
      <c r="F11" s="144">
        <f>VLOOKUP($A11,'Data shares'!$C:$FA,24)</f>
        <v>6.5</v>
      </c>
      <c r="G11" s="144">
        <f>VLOOKUP($A11,'Data shares'!$C:$FA,25)</f>
        <v>-2.5</v>
      </c>
    </row>
    <row r="12" spans="1:8" x14ac:dyDescent="0.25">
      <c r="A12" s="101" t="str">
        <f>'Data shares'!C8</f>
        <v>ADANIPORTS</v>
      </c>
      <c r="B12" s="144">
        <f>VLOOKUP($A12,'Data shares'!$C:$FA,7)</f>
        <v>1479.5</v>
      </c>
      <c r="C12" s="144">
        <f>VLOOKUP($A12,'Data shares'!$C:$FA,3)</f>
        <v>1481.7</v>
      </c>
      <c r="D12" s="144">
        <f>VLOOKUP($A12,'Data shares'!$C:$FA,23)</f>
        <v>2.2000000000000002</v>
      </c>
      <c r="E12" s="145">
        <f>VLOOKUP($A12,'Data shares'!$C:$FA,26)*100</f>
        <v>0.15</v>
      </c>
      <c r="F12" s="144">
        <f>VLOOKUP($A12,'Data shares'!$C:$FA,24)</f>
        <v>6.6</v>
      </c>
      <c r="G12" s="144">
        <f>VLOOKUP($A12,'Data shares'!$C:$FA,25)</f>
        <v>-4.4000000000000004</v>
      </c>
    </row>
    <row r="13" spans="1:8" x14ac:dyDescent="0.25">
      <c r="A13" s="101" t="str">
        <f>'Data shares'!C9</f>
        <v>ALKEM</v>
      </c>
      <c r="B13" s="144">
        <f>VLOOKUP($A13,'Data shares'!$C:$FA,7)</f>
        <v>5524</v>
      </c>
      <c r="C13" s="144">
        <f>VLOOKUP($A13,'Data shares'!$C:$FA,3)</f>
        <v>5545</v>
      </c>
      <c r="D13" s="144">
        <f>VLOOKUP($A13,'Data shares'!$C:$FA,23)</f>
        <v>21</v>
      </c>
      <c r="E13" s="145">
        <f>VLOOKUP($A13,'Data shares'!$C:$FA,26)*100</f>
        <v>0.38</v>
      </c>
      <c r="F13" s="144">
        <f>VLOOKUP($A13,'Data shares'!$C:$FA,24)</f>
        <v>8.5</v>
      </c>
      <c r="G13" s="144">
        <f>VLOOKUP($A13,'Data shares'!$C:$FA,25)</f>
        <v>12.5</v>
      </c>
    </row>
    <row r="14" spans="1:8" x14ac:dyDescent="0.25">
      <c r="A14" s="101" t="str">
        <f>'Data shares'!C10</f>
        <v>AMBER</v>
      </c>
      <c r="B14" s="144">
        <f>VLOOKUP($A14,'Data shares'!$C:$FA,7)</f>
        <v>8239</v>
      </c>
      <c r="C14" s="144">
        <f>VLOOKUP($A14,'Data shares'!$C:$FA,3)</f>
        <v>8128</v>
      </c>
      <c r="D14" s="144">
        <f>VLOOKUP($A14,'Data shares'!$C:$FA,23)</f>
        <v>-111</v>
      </c>
      <c r="E14" s="145">
        <f>VLOOKUP($A14,'Data shares'!$C:$FA,26)*100</f>
        <v>-1.35</v>
      </c>
      <c r="F14" s="144">
        <f>VLOOKUP($A14,'Data shares'!$C:$FA,24)</f>
        <v>-29</v>
      </c>
      <c r="G14" s="144">
        <f>VLOOKUP($A14,'Data shares'!$C:$FA,25)</f>
        <v>-82</v>
      </c>
    </row>
    <row r="15" spans="1:8" x14ac:dyDescent="0.25">
      <c r="A15" s="101" t="str">
        <f>'Data shares'!C11</f>
        <v>AMBUJACEM</v>
      </c>
      <c r="B15" s="144">
        <f>VLOOKUP($A15,'Data shares'!$C:$FA,7)</f>
        <v>569.70000000000005</v>
      </c>
      <c r="C15" s="144">
        <f>VLOOKUP($A15,'Data shares'!$C:$FA,3)</f>
        <v>571.5</v>
      </c>
      <c r="D15" s="144">
        <f>VLOOKUP($A15,'Data shares'!$C:$FA,23)</f>
        <v>1.8</v>
      </c>
      <c r="E15" s="145">
        <f>VLOOKUP($A15,'Data shares'!$C:$FA,26)*100</f>
        <v>0.32</v>
      </c>
      <c r="F15" s="144">
        <f>VLOOKUP($A15,'Data shares'!$C:$FA,24)</f>
        <v>2.2999999999999998</v>
      </c>
      <c r="G15" s="144">
        <f>VLOOKUP($A15,'Data shares'!$C:$FA,25)</f>
        <v>-0.5</v>
      </c>
    </row>
    <row r="16" spans="1:8" x14ac:dyDescent="0.25">
      <c r="A16" s="101" t="str">
        <f>'Data shares'!C12</f>
        <v>ANGELONE</v>
      </c>
      <c r="B16" s="144">
        <f>VLOOKUP($A16,'Data shares'!$C:$FA,7)</f>
        <v>2482.6</v>
      </c>
      <c r="C16" s="144">
        <f>VLOOKUP($A16,'Data shares'!$C:$FA,3)</f>
        <v>2479.5</v>
      </c>
      <c r="D16" s="144">
        <f>VLOOKUP($A16,'Data shares'!$C:$FA,23)</f>
        <v>-3.1</v>
      </c>
      <c r="E16" s="145">
        <f>VLOOKUP($A16,'Data shares'!$C:$FA,26)*100</f>
        <v>-0.12</v>
      </c>
      <c r="F16" s="144">
        <f>VLOOKUP($A16,'Data shares'!$C:$FA,24)</f>
        <v>7.1</v>
      </c>
      <c r="G16" s="144">
        <f>VLOOKUP($A16,'Data shares'!$C:$FA,25)</f>
        <v>-10.199999999999999</v>
      </c>
    </row>
    <row r="17" spans="1:7" x14ac:dyDescent="0.25">
      <c r="A17" s="101" t="str">
        <f>'Data shares'!C13</f>
        <v>APLAPOLLO</v>
      </c>
      <c r="B17" s="144">
        <f>VLOOKUP($A17,'Data shares'!$C:$FA,7)</f>
        <v>1728</v>
      </c>
      <c r="C17" s="144">
        <f>VLOOKUP($A17,'Data shares'!$C:$FA,3)</f>
        <v>1734</v>
      </c>
      <c r="D17" s="144">
        <f>VLOOKUP($A17,'Data shares'!$C:$FA,23)</f>
        <v>6</v>
      </c>
      <c r="E17" s="145">
        <f>VLOOKUP($A17,'Data shares'!$C:$FA,26)*100</f>
        <v>0.35000000000000003</v>
      </c>
      <c r="F17" s="144">
        <f>VLOOKUP($A17,'Data shares'!$C:$FA,24)</f>
        <v>6.6</v>
      </c>
      <c r="G17" s="144">
        <f>VLOOKUP($A17,'Data shares'!$C:$FA,25)</f>
        <v>-0.6</v>
      </c>
    </row>
    <row r="18" spans="1:7" x14ac:dyDescent="0.25">
      <c r="A18" s="101" t="str">
        <f>'Data shares'!C14</f>
        <v>APOLLOHOSP</v>
      </c>
      <c r="B18" s="144">
        <f>VLOOKUP($A18,'Data shares'!$C:$FA,7)</f>
        <v>7833.5</v>
      </c>
      <c r="C18" s="144">
        <f>VLOOKUP($A18,'Data shares'!$C:$FA,3)</f>
        <v>7860.5</v>
      </c>
      <c r="D18" s="144">
        <f>VLOOKUP($A18,'Data shares'!$C:$FA,23)</f>
        <v>27</v>
      </c>
      <c r="E18" s="145">
        <f>VLOOKUP($A18,'Data shares'!$C:$FA,26)*100</f>
        <v>0.33999999999999997</v>
      </c>
      <c r="F18" s="144">
        <f>VLOOKUP($A18,'Data shares'!$C:$FA,24)</f>
        <v>12</v>
      </c>
      <c r="G18" s="144">
        <f>VLOOKUP($A18,'Data shares'!$C:$FA,25)</f>
        <v>15</v>
      </c>
    </row>
    <row r="19" spans="1:7" x14ac:dyDescent="0.25">
      <c r="A19" s="101" t="str">
        <f>'Data shares'!C15</f>
        <v>ASHOKLEY</v>
      </c>
      <c r="B19" s="144">
        <f>VLOOKUP($A19,'Data shares'!$C:$FA,7)</f>
        <v>137.24</v>
      </c>
      <c r="C19" s="144">
        <f>VLOOKUP($A19,'Data shares'!$C:$FA,3)</f>
        <v>137.08000000000001</v>
      </c>
      <c r="D19" s="144">
        <f>VLOOKUP($A19,'Data shares'!$C:$FA,23)</f>
        <v>-0.16</v>
      </c>
      <c r="E19" s="145">
        <f>VLOOKUP($A19,'Data shares'!$C:$FA,26)*100</f>
        <v>-0.12</v>
      </c>
      <c r="F19" s="144">
        <f>VLOOKUP($A19,'Data shares'!$C:$FA,24)</f>
        <v>0.28999999999999998</v>
      </c>
      <c r="G19" s="144">
        <f>VLOOKUP($A19,'Data shares'!$C:$FA,25)</f>
        <v>-0.45</v>
      </c>
    </row>
    <row r="20" spans="1:7" x14ac:dyDescent="0.25">
      <c r="A20" s="101" t="str">
        <f>'Data shares'!C16</f>
        <v>ASIANPAINT</v>
      </c>
      <c r="B20" s="144">
        <f>VLOOKUP($A20,'Data shares'!$C:$FA,7)</f>
        <v>2409.6999999999998</v>
      </c>
      <c r="C20" s="144">
        <f>VLOOKUP($A20,'Data shares'!$C:$FA,3)</f>
        <v>2417.9</v>
      </c>
      <c r="D20" s="144">
        <f>VLOOKUP($A20,'Data shares'!$C:$FA,23)</f>
        <v>8.1999999999999993</v>
      </c>
      <c r="E20" s="145">
        <f>VLOOKUP($A20,'Data shares'!$C:$FA,26)*100</f>
        <v>0.33999999999999997</v>
      </c>
      <c r="F20" s="144">
        <f>VLOOKUP($A20,'Data shares'!$C:$FA,24)</f>
        <v>9.8000000000000007</v>
      </c>
      <c r="G20" s="144">
        <f>VLOOKUP($A20,'Data shares'!$C:$FA,25)</f>
        <v>-1.6</v>
      </c>
    </row>
    <row r="21" spans="1:7" x14ac:dyDescent="0.25">
      <c r="A21" s="101" t="str">
        <f>'Data shares'!C17</f>
        <v>ASTRAL</v>
      </c>
      <c r="B21" s="144">
        <f>VLOOKUP($A21,'Data shares'!$C:$FA,7)</f>
        <v>1444.8</v>
      </c>
      <c r="C21" s="144">
        <f>VLOOKUP($A21,'Data shares'!$C:$FA,3)</f>
        <v>1445.3</v>
      </c>
      <c r="D21" s="144">
        <f>VLOOKUP($A21,'Data shares'!$C:$FA,23)</f>
        <v>0.5</v>
      </c>
      <c r="E21" s="145">
        <f>VLOOKUP($A21,'Data shares'!$C:$FA,26)*100</f>
        <v>0.03</v>
      </c>
      <c r="F21" s="144">
        <f>VLOOKUP($A21,'Data shares'!$C:$FA,24)</f>
        <v>5.8</v>
      </c>
      <c r="G21" s="144">
        <f>VLOOKUP($A21,'Data shares'!$C:$FA,25)</f>
        <v>-5.3</v>
      </c>
    </row>
    <row r="22" spans="1:7" x14ac:dyDescent="0.25">
      <c r="A22" s="101" t="str">
        <f>'Data shares'!C18</f>
        <v>AUBANK</v>
      </c>
      <c r="B22" s="144">
        <f>VLOOKUP($A22,'Data shares'!$C:$FA,7)</f>
        <v>798.5</v>
      </c>
      <c r="C22" s="144">
        <f>VLOOKUP($A22,'Data shares'!$C:$FA,3)</f>
        <v>799</v>
      </c>
      <c r="D22" s="144">
        <f>VLOOKUP($A22,'Data shares'!$C:$FA,23)</f>
        <v>0.5</v>
      </c>
      <c r="E22" s="145">
        <f>VLOOKUP($A22,'Data shares'!$C:$FA,26)*100</f>
        <v>0.06</v>
      </c>
      <c r="F22" s="144">
        <f>VLOOKUP($A22,'Data shares'!$C:$FA,24)</f>
        <v>0.6</v>
      </c>
      <c r="G22" s="144">
        <f>VLOOKUP($A22,'Data shares'!$C:$FA,25)</f>
        <v>-0.1</v>
      </c>
    </row>
    <row r="23" spans="1:7" x14ac:dyDescent="0.25">
      <c r="A23" s="101" t="str">
        <f>'Data shares'!C19</f>
        <v>AUROPHARMA</v>
      </c>
      <c r="B23" s="144">
        <f>VLOOKUP($A23,'Data shares'!$C:$FA,7)</f>
        <v>1106.3</v>
      </c>
      <c r="C23" s="144">
        <f>VLOOKUP($A23,'Data shares'!$C:$FA,3)</f>
        <v>1110.7</v>
      </c>
      <c r="D23" s="144">
        <f>VLOOKUP($A23,'Data shares'!$C:$FA,23)</f>
        <v>4.4000000000000004</v>
      </c>
      <c r="E23" s="145">
        <f>VLOOKUP($A23,'Data shares'!$C:$FA,26)*100</f>
        <v>0.4</v>
      </c>
      <c r="F23" s="144">
        <f>VLOOKUP($A23,'Data shares'!$C:$FA,24)</f>
        <v>5.6</v>
      </c>
      <c r="G23" s="144">
        <f>VLOOKUP($A23,'Data shares'!$C:$FA,25)</f>
        <v>-1.2</v>
      </c>
    </row>
    <row r="24" spans="1:7" x14ac:dyDescent="0.25">
      <c r="A24" s="101" t="str">
        <f>'Data shares'!C20</f>
        <v>AXISBANK</v>
      </c>
      <c r="B24" s="144">
        <f>VLOOKUP($A24,'Data shares'!$C:$FA,7)</f>
        <v>1196.3</v>
      </c>
      <c r="C24" s="144">
        <f>VLOOKUP($A24,'Data shares'!$C:$FA,3)</f>
        <v>1197.5999999999999</v>
      </c>
      <c r="D24" s="144">
        <f>VLOOKUP($A24,'Data shares'!$C:$FA,23)</f>
        <v>1.3</v>
      </c>
      <c r="E24" s="145">
        <f>VLOOKUP($A24,'Data shares'!$C:$FA,26)*100</f>
        <v>0.11</v>
      </c>
      <c r="F24" s="144">
        <f>VLOOKUP($A24,'Data shares'!$C:$FA,24)</f>
        <v>5</v>
      </c>
      <c r="G24" s="144">
        <f>VLOOKUP($A24,'Data shares'!$C:$FA,25)</f>
        <v>-3.7</v>
      </c>
    </row>
    <row r="25" spans="1:7" x14ac:dyDescent="0.25">
      <c r="A25" s="101" t="str">
        <f>'Data shares'!C21</f>
        <v>BAJAJ-AUTO</v>
      </c>
      <c r="B25" s="144">
        <f>VLOOKUP($A25,'Data shares'!$C:$FA,7)</f>
        <v>9151.5</v>
      </c>
      <c r="C25" s="144">
        <f>VLOOKUP($A25,'Data shares'!$C:$FA,3)</f>
        <v>9158</v>
      </c>
      <c r="D25" s="144">
        <f>VLOOKUP($A25,'Data shares'!$C:$FA,23)</f>
        <v>6.5</v>
      </c>
      <c r="E25" s="145">
        <f>VLOOKUP($A25,'Data shares'!$C:$FA,26)*100</f>
        <v>6.9999999999999993E-2</v>
      </c>
      <c r="F25" s="144">
        <f>VLOOKUP($A25,'Data shares'!$C:$FA,24)</f>
        <v>38.5</v>
      </c>
      <c r="G25" s="144">
        <f>VLOOKUP($A25,'Data shares'!$C:$FA,25)</f>
        <v>-32</v>
      </c>
    </row>
    <row r="26" spans="1:7" x14ac:dyDescent="0.25">
      <c r="A26" s="101" t="str">
        <f>'Data shares'!C22</f>
        <v>BAJAJFINSV</v>
      </c>
      <c r="B26" s="144">
        <f>VLOOKUP($A26,'Data shares'!$C:$FA,7)</f>
        <v>2090.1999999999998</v>
      </c>
      <c r="C26" s="144">
        <f>VLOOKUP($A26,'Data shares'!$C:$FA,3)</f>
        <v>2098</v>
      </c>
      <c r="D26" s="144">
        <f>VLOOKUP($A26,'Data shares'!$C:$FA,23)</f>
        <v>7.8</v>
      </c>
      <c r="E26" s="145">
        <f>VLOOKUP($A26,'Data shares'!$C:$FA,26)*100</f>
        <v>0.37</v>
      </c>
      <c r="F26" s="144">
        <f>VLOOKUP($A26,'Data shares'!$C:$FA,24)</f>
        <v>4.2</v>
      </c>
      <c r="G26" s="144">
        <f>VLOOKUP($A26,'Data shares'!$C:$FA,25)</f>
        <v>3.6</v>
      </c>
    </row>
    <row r="27" spans="1:7" x14ac:dyDescent="0.25">
      <c r="A27" s="101" t="str">
        <f>'Data shares'!C23</f>
        <v>BAJFINANCE</v>
      </c>
      <c r="B27" s="144">
        <f>VLOOKUP($A27,'Data shares'!$C:$FA,7)</f>
        <v>1065.75</v>
      </c>
      <c r="C27" s="144">
        <f>VLOOKUP($A27,'Data shares'!$C:$FA,3)</f>
        <v>1066.45</v>
      </c>
      <c r="D27" s="144">
        <f>VLOOKUP($A27,'Data shares'!$C:$FA,23)</f>
        <v>0.7</v>
      </c>
      <c r="E27" s="145">
        <f>VLOOKUP($A27,'Data shares'!$C:$FA,26)*100</f>
        <v>6.9999999999999993E-2</v>
      </c>
      <c r="F27" s="144">
        <f>VLOOKUP($A27,'Data shares'!$C:$FA,24)</f>
        <v>1</v>
      </c>
      <c r="G27" s="144">
        <f>VLOOKUP($A27,'Data shares'!$C:$FA,25)</f>
        <v>-0.3</v>
      </c>
    </row>
    <row r="28" spans="1:7" x14ac:dyDescent="0.25">
      <c r="A28" s="101" t="str">
        <f>'Data shares'!C24</f>
        <v>BANDHANBNK</v>
      </c>
      <c r="B28" s="144">
        <f>VLOOKUP($A28,'Data shares'!$C:$FA,7)</f>
        <v>161.56</v>
      </c>
      <c r="C28" s="144">
        <f>VLOOKUP($A28,'Data shares'!$C:$FA,3)</f>
        <v>161.85</v>
      </c>
      <c r="D28" s="144">
        <f>VLOOKUP($A28,'Data shares'!$C:$FA,23)</f>
        <v>0.28999999999999998</v>
      </c>
      <c r="E28" s="145">
        <f>VLOOKUP($A28,'Data shares'!$C:$FA,26)*100</f>
        <v>0.18</v>
      </c>
      <c r="F28" s="144">
        <f>VLOOKUP($A28,'Data shares'!$C:$FA,24)</f>
        <v>0.54</v>
      </c>
      <c r="G28" s="144">
        <f>VLOOKUP($A28,'Data shares'!$C:$FA,25)</f>
        <v>-0.25</v>
      </c>
    </row>
    <row r="29" spans="1:7" x14ac:dyDescent="0.25">
      <c r="A29" s="101" t="str">
        <f>'Data shares'!C25</f>
        <v>BANKBARODA</v>
      </c>
      <c r="B29" s="144">
        <f>VLOOKUP($A29,'Data shares'!$C:$FA,7)</f>
        <v>266.14999999999998</v>
      </c>
      <c r="C29" s="144">
        <f>VLOOKUP($A29,'Data shares'!$C:$FA,3)</f>
        <v>266.85000000000002</v>
      </c>
      <c r="D29" s="144">
        <f>VLOOKUP($A29,'Data shares'!$C:$FA,23)</f>
        <v>0.7</v>
      </c>
      <c r="E29" s="145">
        <f>VLOOKUP($A29,'Data shares'!$C:$FA,26)*100</f>
        <v>0.26</v>
      </c>
      <c r="F29" s="144">
        <f>VLOOKUP($A29,'Data shares'!$C:$FA,24)</f>
        <v>0.45</v>
      </c>
      <c r="G29" s="144">
        <f>VLOOKUP($A29,'Data shares'!$C:$FA,25)</f>
        <v>0.25</v>
      </c>
    </row>
    <row r="30" spans="1:7" x14ac:dyDescent="0.25">
      <c r="A30" s="101" t="str">
        <f>'Data shares'!C26</f>
        <v>BANKINDIA</v>
      </c>
      <c r="B30" s="144">
        <f>VLOOKUP($A30,'Data shares'!$C:$FA,7)</f>
        <v>125.42</v>
      </c>
      <c r="C30" s="144">
        <f>VLOOKUP($A30,'Data shares'!$C:$FA,3)</f>
        <v>125.76</v>
      </c>
      <c r="D30" s="144">
        <f>VLOOKUP($A30,'Data shares'!$C:$FA,23)</f>
        <v>0.34</v>
      </c>
      <c r="E30" s="145">
        <f>VLOOKUP($A30,'Data shares'!$C:$FA,26)*100</f>
        <v>0.27</v>
      </c>
      <c r="F30" s="144">
        <f>VLOOKUP($A30,'Data shares'!$C:$FA,24)</f>
        <v>0.51</v>
      </c>
      <c r="G30" s="144">
        <f>VLOOKUP($A30,'Data shares'!$C:$FA,25)</f>
        <v>-0.17</v>
      </c>
    </row>
    <row r="31" spans="1:7" x14ac:dyDescent="0.25">
      <c r="A31" s="101" t="str">
        <f>'Data shares'!C27</f>
        <v>BANKNIFTY</v>
      </c>
      <c r="B31" s="144">
        <f>VLOOKUP($A31,'Data shares'!$C:$FA,7)</f>
        <v>57422.55</v>
      </c>
      <c r="C31" s="144">
        <f>VLOOKUP($A31,'Data shares'!$C:$FA,3)</f>
        <v>57486.2</v>
      </c>
      <c r="D31" s="144">
        <f>VLOOKUP($A31,'Data shares'!$C:$FA,23)</f>
        <v>63.65</v>
      </c>
      <c r="E31" s="145">
        <f>VLOOKUP($A31,'Data shares'!$C:$FA,26)*100</f>
        <v>0.11</v>
      </c>
      <c r="F31" s="144">
        <f>VLOOKUP($A31,'Data shares'!$C:$FA,24)</f>
        <v>187.3</v>
      </c>
      <c r="G31" s="144">
        <f>VLOOKUP($A31,'Data shares'!$C:$FA,25)</f>
        <v>-123.65</v>
      </c>
    </row>
    <row r="32" spans="1:7" x14ac:dyDescent="0.25">
      <c r="A32" s="101" t="str">
        <f>'Data shares'!C28</f>
        <v>BDL</v>
      </c>
      <c r="B32" s="144">
        <f>VLOOKUP($A32,'Data shares'!$C:$FA,7)</f>
        <v>1504.9</v>
      </c>
      <c r="C32" s="144">
        <f>VLOOKUP($A32,'Data shares'!$C:$FA,3)</f>
        <v>1510.3</v>
      </c>
      <c r="D32" s="144">
        <f>VLOOKUP($A32,'Data shares'!$C:$FA,23)</f>
        <v>5.4</v>
      </c>
      <c r="E32" s="145">
        <f>VLOOKUP($A32,'Data shares'!$C:$FA,26)*100</f>
        <v>0.36</v>
      </c>
      <c r="F32" s="144">
        <f>VLOOKUP($A32,'Data shares'!$C:$FA,24)</f>
        <v>6.1</v>
      </c>
      <c r="G32" s="144">
        <f>VLOOKUP($A32,'Data shares'!$C:$FA,25)</f>
        <v>-0.7</v>
      </c>
    </row>
    <row r="33" spans="1:7" x14ac:dyDescent="0.25">
      <c r="A33" s="101" t="str">
        <f>'Data shares'!C29</f>
        <v>BEL</v>
      </c>
      <c r="B33" s="144">
        <f>VLOOKUP($A33,'Data shares'!$C:$FA,7)</f>
        <v>411.8</v>
      </c>
      <c r="C33" s="144">
        <f>VLOOKUP($A33,'Data shares'!$C:$FA,3)</f>
        <v>413.45</v>
      </c>
      <c r="D33" s="144">
        <f>VLOOKUP($A33,'Data shares'!$C:$FA,23)</f>
        <v>1.65</v>
      </c>
      <c r="E33" s="145">
        <f>VLOOKUP($A33,'Data shares'!$C:$FA,26)*100</f>
        <v>0.4</v>
      </c>
      <c r="F33" s="144">
        <f>VLOOKUP($A33,'Data shares'!$C:$FA,24)</f>
        <v>1.85</v>
      </c>
      <c r="G33" s="144">
        <f>VLOOKUP($A33,'Data shares'!$C:$FA,25)</f>
        <v>-0.2</v>
      </c>
    </row>
    <row r="34" spans="1:7" x14ac:dyDescent="0.25">
      <c r="A34" s="101" t="str">
        <f>'Data shares'!C30</f>
        <v>BHARATFORG</v>
      </c>
      <c r="B34" s="144">
        <f>VLOOKUP($A34,'Data shares'!$C:$FA,7)</f>
        <v>1265.2</v>
      </c>
      <c r="C34" s="144">
        <f>VLOOKUP($A34,'Data shares'!$C:$FA,3)</f>
        <v>1270.2</v>
      </c>
      <c r="D34" s="144">
        <f>VLOOKUP($A34,'Data shares'!$C:$FA,23)</f>
        <v>5</v>
      </c>
      <c r="E34" s="145">
        <f>VLOOKUP($A34,'Data shares'!$C:$FA,26)*100</f>
        <v>0.4</v>
      </c>
      <c r="F34" s="144">
        <f>VLOOKUP($A34,'Data shares'!$C:$FA,24)</f>
        <v>-1.3</v>
      </c>
      <c r="G34" s="144">
        <f>VLOOKUP($A34,'Data shares'!$C:$FA,25)</f>
        <v>6.3</v>
      </c>
    </row>
    <row r="35" spans="1:7" x14ac:dyDescent="0.25">
      <c r="A35" s="101" t="str">
        <f>'Data shares'!C31</f>
        <v>BHARTIARTL</v>
      </c>
      <c r="B35" s="144">
        <f>VLOOKUP($A35,'Data shares'!$C:$FA,7)</f>
        <v>1967.4</v>
      </c>
      <c r="C35" s="144">
        <f>VLOOKUP($A35,'Data shares'!$C:$FA,3)</f>
        <v>1974</v>
      </c>
      <c r="D35" s="144">
        <f>VLOOKUP($A35,'Data shares'!$C:$FA,23)</f>
        <v>6.6</v>
      </c>
      <c r="E35" s="145">
        <f>VLOOKUP($A35,'Data shares'!$C:$FA,26)*100</f>
        <v>0.33999999999999997</v>
      </c>
      <c r="F35" s="144">
        <f>VLOOKUP($A35,'Data shares'!$C:$FA,24)</f>
        <v>7.8</v>
      </c>
      <c r="G35" s="144">
        <f>VLOOKUP($A35,'Data shares'!$C:$FA,25)</f>
        <v>-1.2</v>
      </c>
    </row>
    <row r="36" spans="1:7" x14ac:dyDescent="0.25">
      <c r="A36" s="101" t="str">
        <f>'Data shares'!C32</f>
        <v>BHEL</v>
      </c>
      <c r="B36" s="144">
        <f>VLOOKUP($A36,'Data shares'!$C:$FA,7)</f>
        <v>236.17</v>
      </c>
      <c r="C36" s="144">
        <f>VLOOKUP($A36,'Data shares'!$C:$FA,3)</f>
        <v>236.86</v>
      </c>
      <c r="D36" s="144">
        <f>VLOOKUP($A36,'Data shares'!$C:$FA,23)</f>
        <v>0.69</v>
      </c>
      <c r="E36" s="145">
        <f>VLOOKUP($A36,'Data shares'!$C:$FA,26)*100</f>
        <v>0.28999999999999998</v>
      </c>
      <c r="F36" s="144">
        <f>VLOOKUP($A36,'Data shares'!$C:$FA,24)</f>
        <v>0.76</v>
      </c>
      <c r="G36" s="144">
        <f>VLOOKUP($A36,'Data shares'!$C:$FA,25)</f>
        <v>-7.0000000000000007E-2</v>
      </c>
    </row>
    <row r="37" spans="1:7" x14ac:dyDescent="0.25">
      <c r="A37" s="101" t="str">
        <f>'Data shares'!C33</f>
        <v>BIOCON</v>
      </c>
      <c r="B37" s="144">
        <f>VLOOKUP($A37,'Data shares'!$C:$FA,7)</f>
        <v>358.2</v>
      </c>
      <c r="C37" s="144">
        <f>VLOOKUP($A37,'Data shares'!$C:$FA,3)</f>
        <v>359.65</v>
      </c>
      <c r="D37" s="144">
        <f>VLOOKUP($A37,'Data shares'!$C:$FA,23)</f>
        <v>1.45</v>
      </c>
      <c r="E37" s="145">
        <f>VLOOKUP($A37,'Data shares'!$C:$FA,26)*100</f>
        <v>0.4</v>
      </c>
      <c r="F37" s="144">
        <f>VLOOKUP($A37,'Data shares'!$C:$FA,24)</f>
        <v>0.95</v>
      </c>
      <c r="G37" s="144">
        <f>VLOOKUP($A37,'Data shares'!$C:$FA,25)</f>
        <v>0.5</v>
      </c>
    </row>
    <row r="38" spans="1:7" x14ac:dyDescent="0.25">
      <c r="A38" s="101" t="str">
        <f>'Data shares'!C34</f>
        <v>BLUESTARCO</v>
      </c>
      <c r="B38" s="144">
        <f>VLOOKUP($A38,'Data shares'!$C:$FA,7)</f>
        <v>1957.6</v>
      </c>
      <c r="C38" s="144">
        <f>VLOOKUP($A38,'Data shares'!$C:$FA,3)</f>
        <v>1964.7</v>
      </c>
      <c r="D38" s="144">
        <f>VLOOKUP($A38,'Data shares'!$C:$FA,23)</f>
        <v>7.1</v>
      </c>
      <c r="E38" s="145">
        <f>VLOOKUP($A38,'Data shares'!$C:$FA,26)*100</f>
        <v>0.36</v>
      </c>
      <c r="F38" s="144">
        <f>VLOOKUP($A38,'Data shares'!$C:$FA,24)</f>
        <v>9.1</v>
      </c>
      <c r="G38" s="144">
        <f>VLOOKUP($A38,'Data shares'!$C:$FA,25)</f>
        <v>-2</v>
      </c>
    </row>
    <row r="39" spans="1:7" x14ac:dyDescent="0.25">
      <c r="A39" s="101" t="str">
        <f>'Data shares'!C35</f>
        <v>BOSCHLTD</v>
      </c>
      <c r="B39" s="144">
        <f>VLOOKUP($A39,'Data shares'!$C:$FA,7)</f>
        <v>38510</v>
      </c>
      <c r="C39" s="144">
        <f>VLOOKUP($A39,'Data shares'!$C:$FA,3)</f>
        <v>38585</v>
      </c>
      <c r="D39" s="144">
        <f>VLOOKUP($A39,'Data shares'!$C:$FA,23)</f>
        <v>75</v>
      </c>
      <c r="E39" s="145">
        <f>VLOOKUP($A39,'Data shares'!$C:$FA,26)*100</f>
        <v>0.19</v>
      </c>
      <c r="F39" s="144">
        <f>VLOOKUP($A39,'Data shares'!$C:$FA,24)</f>
        <v>75</v>
      </c>
      <c r="G39" s="144">
        <f>VLOOKUP($A39,'Data shares'!$C:$FA,25)</f>
        <v>0</v>
      </c>
    </row>
    <row r="40" spans="1:7" x14ac:dyDescent="0.25">
      <c r="A40" s="101" t="str">
        <f>'Data shares'!C36</f>
        <v>BPCL</v>
      </c>
      <c r="B40" s="144">
        <f>VLOOKUP($A40,'Data shares'!$C:$FA,7)</f>
        <v>335.9</v>
      </c>
      <c r="C40" s="144">
        <f>VLOOKUP($A40,'Data shares'!$C:$FA,3)</f>
        <v>337.15</v>
      </c>
      <c r="D40" s="144">
        <f>VLOOKUP($A40,'Data shares'!$C:$FA,23)</f>
        <v>1.25</v>
      </c>
      <c r="E40" s="145">
        <f>VLOOKUP($A40,'Data shares'!$C:$FA,26)*100</f>
        <v>0.37</v>
      </c>
      <c r="F40" s="144">
        <f>VLOOKUP($A40,'Data shares'!$C:$FA,24)</f>
        <v>1.55</v>
      </c>
      <c r="G40" s="144">
        <f>VLOOKUP($A40,'Data shares'!$C:$FA,25)</f>
        <v>-0.3</v>
      </c>
    </row>
    <row r="41" spans="1:7" x14ac:dyDescent="0.25">
      <c r="A41" s="101" t="str">
        <f>'Data shares'!C37</f>
        <v>BRITANNIA</v>
      </c>
      <c r="B41" s="144">
        <f>VLOOKUP($A41,'Data shares'!$C:$FA,7)</f>
        <v>6025.5</v>
      </c>
      <c r="C41" s="144">
        <f>VLOOKUP($A41,'Data shares'!$C:$FA,3)</f>
        <v>6034</v>
      </c>
      <c r="D41" s="144">
        <f>VLOOKUP($A41,'Data shares'!$C:$FA,23)</f>
        <v>8.5</v>
      </c>
      <c r="E41" s="145">
        <f>VLOOKUP($A41,'Data shares'!$C:$FA,26)*100</f>
        <v>0.13999999999999999</v>
      </c>
      <c r="F41" s="144">
        <f>VLOOKUP($A41,'Data shares'!$C:$FA,24)</f>
        <v>25.5</v>
      </c>
      <c r="G41" s="144">
        <f>VLOOKUP($A41,'Data shares'!$C:$FA,25)</f>
        <v>-17</v>
      </c>
    </row>
    <row r="42" spans="1:7" x14ac:dyDescent="0.25">
      <c r="A42" s="101" t="str">
        <f>'Data shares'!C38</f>
        <v>BSE</v>
      </c>
      <c r="B42" s="144">
        <f>VLOOKUP($A42,'Data shares'!$C:$FA,7)</f>
        <v>2509.1999999999998</v>
      </c>
      <c r="C42" s="144">
        <f>VLOOKUP($A42,'Data shares'!$C:$FA,3)</f>
        <v>2519.6</v>
      </c>
      <c r="D42" s="144">
        <f>VLOOKUP($A42,'Data shares'!$C:$FA,23)</f>
        <v>10.4</v>
      </c>
      <c r="E42" s="145">
        <f>VLOOKUP($A42,'Data shares'!$C:$FA,26)*100</f>
        <v>0.41000000000000003</v>
      </c>
      <c r="F42" s="144">
        <f>VLOOKUP($A42,'Data shares'!$C:$FA,24)</f>
        <v>10.8</v>
      </c>
      <c r="G42" s="144">
        <f>VLOOKUP($A42,'Data shares'!$C:$FA,25)</f>
        <v>-0.4</v>
      </c>
    </row>
    <row r="43" spans="1:7" x14ac:dyDescent="0.25">
      <c r="A43" s="101" t="str">
        <f>'Data shares'!C39</f>
        <v>CAMS</v>
      </c>
      <c r="B43" s="144">
        <f>VLOOKUP($A43,'Data shares'!$C:$FA,7)</f>
        <v>3830.8</v>
      </c>
      <c r="C43" s="144">
        <f>VLOOKUP($A43,'Data shares'!$C:$FA,3)</f>
        <v>3834.8</v>
      </c>
      <c r="D43" s="144">
        <f>VLOOKUP($A43,'Data shares'!$C:$FA,23)</f>
        <v>4</v>
      </c>
      <c r="E43" s="145">
        <f>VLOOKUP($A43,'Data shares'!$C:$FA,26)*100</f>
        <v>0.1</v>
      </c>
      <c r="F43" s="144">
        <f>VLOOKUP($A43,'Data shares'!$C:$FA,24)</f>
        <v>16.3</v>
      </c>
      <c r="G43" s="144">
        <f>VLOOKUP($A43,'Data shares'!$C:$FA,25)</f>
        <v>-12.3</v>
      </c>
    </row>
    <row r="44" spans="1:7" x14ac:dyDescent="0.25">
      <c r="A44" s="101" t="str">
        <f>'Data shares'!C40</f>
        <v>CANBK</v>
      </c>
      <c r="B44" s="144">
        <f>VLOOKUP($A44,'Data shares'!$C:$FA,7)</f>
        <v>127.37</v>
      </c>
      <c r="C44" s="144">
        <f>VLOOKUP($A44,'Data shares'!$C:$FA,3)</f>
        <v>127.58</v>
      </c>
      <c r="D44" s="144">
        <f>VLOOKUP($A44,'Data shares'!$C:$FA,23)</f>
        <v>0.21</v>
      </c>
      <c r="E44" s="145">
        <f>VLOOKUP($A44,'Data shares'!$C:$FA,26)*100</f>
        <v>0.16</v>
      </c>
      <c r="F44" s="144">
        <f>VLOOKUP($A44,'Data shares'!$C:$FA,24)</f>
        <v>0.19</v>
      </c>
      <c r="G44" s="144">
        <f>VLOOKUP($A44,'Data shares'!$C:$FA,25)</f>
        <v>0.02</v>
      </c>
    </row>
    <row r="45" spans="1:7" x14ac:dyDescent="0.25">
      <c r="A45" s="101" t="str">
        <f>'Data shares'!C41</f>
        <v>CDSL</v>
      </c>
      <c r="B45" s="144">
        <f>VLOOKUP($A45,'Data shares'!$C:$FA,7)</f>
        <v>1620.3</v>
      </c>
      <c r="C45" s="144">
        <f>VLOOKUP($A45,'Data shares'!$C:$FA,3)</f>
        <v>1625.7</v>
      </c>
      <c r="D45" s="144">
        <f>VLOOKUP($A45,'Data shares'!$C:$FA,23)</f>
        <v>5.4</v>
      </c>
      <c r="E45" s="145">
        <f>VLOOKUP($A45,'Data shares'!$C:$FA,26)*100</f>
        <v>0.33</v>
      </c>
      <c r="F45" s="144">
        <f>VLOOKUP($A45,'Data shares'!$C:$FA,24)</f>
        <v>7.1</v>
      </c>
      <c r="G45" s="144">
        <f>VLOOKUP($A45,'Data shares'!$C:$FA,25)</f>
        <v>-1.7</v>
      </c>
    </row>
    <row r="46" spans="1:7" x14ac:dyDescent="0.25">
      <c r="A46" s="101" t="str">
        <f>'Data shares'!C42</f>
        <v>CGPOWER</v>
      </c>
      <c r="B46" s="144">
        <f>VLOOKUP($A46,'Data shares'!$C:$FA,7)</f>
        <v>760.6</v>
      </c>
      <c r="C46" s="144">
        <f>VLOOKUP($A46,'Data shares'!$C:$FA,3)</f>
        <v>763.45</v>
      </c>
      <c r="D46" s="144">
        <f>VLOOKUP($A46,'Data shares'!$C:$FA,23)</f>
        <v>2.85</v>
      </c>
      <c r="E46" s="145">
        <f>VLOOKUP($A46,'Data shares'!$C:$FA,26)*100</f>
        <v>0.37</v>
      </c>
      <c r="F46" s="144">
        <f>VLOOKUP($A46,'Data shares'!$C:$FA,24)</f>
        <v>1.1000000000000001</v>
      </c>
      <c r="G46" s="144">
        <f>VLOOKUP($A46,'Data shares'!$C:$FA,25)</f>
        <v>1.75</v>
      </c>
    </row>
    <row r="47" spans="1:7" x14ac:dyDescent="0.25">
      <c r="A47" s="101" t="str">
        <f>'Data shares'!C43</f>
        <v>CHOLAFIN</v>
      </c>
      <c r="B47" s="144">
        <f>VLOOKUP($A47,'Data shares'!$C:$FA,7)</f>
        <v>1668.1</v>
      </c>
      <c r="C47" s="144">
        <f>VLOOKUP($A47,'Data shares'!$C:$FA,3)</f>
        <v>1663.1</v>
      </c>
      <c r="D47" s="144">
        <f>VLOOKUP($A47,'Data shares'!$C:$FA,23)</f>
        <v>-5</v>
      </c>
      <c r="E47" s="145">
        <f>VLOOKUP($A47,'Data shares'!$C:$FA,26)*100</f>
        <v>-0.3</v>
      </c>
      <c r="F47" s="144">
        <f>VLOOKUP($A47,'Data shares'!$C:$FA,24)</f>
        <v>-18.2</v>
      </c>
      <c r="G47" s="144">
        <f>VLOOKUP($A47,'Data shares'!$C:$FA,25)</f>
        <v>13.2</v>
      </c>
    </row>
    <row r="48" spans="1:7" x14ac:dyDescent="0.25">
      <c r="A48" s="101" t="str">
        <f>'Data shares'!C44</f>
        <v>CIPLA</v>
      </c>
      <c r="B48" s="144">
        <f>VLOOKUP($A48,'Data shares'!$C:$FA,7)</f>
        <v>1569.4</v>
      </c>
      <c r="C48" s="144">
        <f>VLOOKUP($A48,'Data shares'!$C:$FA,3)</f>
        <v>1572.3</v>
      </c>
      <c r="D48" s="144">
        <f>VLOOKUP($A48,'Data shares'!$C:$FA,23)</f>
        <v>2.9</v>
      </c>
      <c r="E48" s="145">
        <f>VLOOKUP($A48,'Data shares'!$C:$FA,26)*100</f>
        <v>0.18</v>
      </c>
      <c r="F48" s="144">
        <f>VLOOKUP($A48,'Data shares'!$C:$FA,24)</f>
        <v>5.5</v>
      </c>
      <c r="G48" s="144">
        <f>VLOOKUP($A48,'Data shares'!$C:$FA,25)</f>
        <v>-2.6</v>
      </c>
    </row>
    <row r="49" spans="1:7" x14ac:dyDescent="0.25">
      <c r="A49" s="101" t="str">
        <f>'Data shares'!C45</f>
        <v>COALINDIA</v>
      </c>
      <c r="B49" s="144">
        <f>VLOOKUP($A49,'Data shares'!$C:$FA,7)</f>
        <v>387.6</v>
      </c>
      <c r="C49" s="144">
        <f>VLOOKUP($A49,'Data shares'!$C:$FA,3)</f>
        <v>388.85</v>
      </c>
      <c r="D49" s="144">
        <f>VLOOKUP($A49,'Data shares'!$C:$FA,23)</f>
        <v>1.25</v>
      </c>
      <c r="E49" s="145">
        <f>VLOOKUP($A49,'Data shares'!$C:$FA,26)*100</f>
        <v>0.32</v>
      </c>
      <c r="F49" s="144">
        <f>VLOOKUP($A49,'Data shares'!$C:$FA,24)</f>
        <v>1.7</v>
      </c>
      <c r="G49" s="144">
        <f>VLOOKUP($A49,'Data shares'!$C:$FA,25)</f>
        <v>-0.45</v>
      </c>
    </row>
    <row r="50" spans="1:7" x14ac:dyDescent="0.25">
      <c r="A50" s="101" t="str">
        <f>'Data shares'!C46</f>
        <v>COFORGE</v>
      </c>
      <c r="B50" s="144">
        <f>VLOOKUP($A50,'Data shares'!$C:$FA,7)</f>
        <v>1761.5</v>
      </c>
      <c r="C50" s="144">
        <f>VLOOKUP($A50,'Data shares'!$C:$FA,3)</f>
        <v>1766.1</v>
      </c>
      <c r="D50" s="144">
        <f>VLOOKUP($A50,'Data shares'!$C:$FA,23)</f>
        <v>4.5999999999999996</v>
      </c>
      <c r="E50" s="145">
        <f>VLOOKUP($A50,'Data shares'!$C:$FA,26)*100</f>
        <v>0.26</v>
      </c>
      <c r="F50" s="144">
        <f>VLOOKUP($A50,'Data shares'!$C:$FA,24)</f>
        <v>1.5</v>
      </c>
      <c r="G50" s="144">
        <f>VLOOKUP($A50,'Data shares'!$C:$FA,25)</f>
        <v>3.1</v>
      </c>
    </row>
    <row r="51" spans="1:7" x14ac:dyDescent="0.25">
      <c r="A51" s="101" t="str">
        <f>'Data shares'!C47</f>
        <v>COLPAL</v>
      </c>
      <c r="B51" s="144">
        <f>VLOOKUP($A51,'Data shares'!$C:$FA,7)</f>
        <v>2285.8000000000002</v>
      </c>
      <c r="C51" s="144">
        <f>VLOOKUP($A51,'Data shares'!$C:$FA,3)</f>
        <v>2294</v>
      </c>
      <c r="D51" s="144">
        <f>VLOOKUP($A51,'Data shares'!$C:$FA,23)</f>
        <v>8.1999999999999993</v>
      </c>
      <c r="E51" s="145">
        <f>VLOOKUP($A51,'Data shares'!$C:$FA,26)*100</f>
        <v>0.36</v>
      </c>
      <c r="F51" s="144">
        <f>VLOOKUP($A51,'Data shares'!$C:$FA,24)</f>
        <v>3.7</v>
      </c>
      <c r="G51" s="144">
        <f>VLOOKUP($A51,'Data shares'!$C:$FA,25)</f>
        <v>4.5</v>
      </c>
    </row>
    <row r="52" spans="1:7" x14ac:dyDescent="0.25">
      <c r="A52" s="101" t="str">
        <f>'Data shares'!C48</f>
        <v>CONCOR</v>
      </c>
      <c r="B52" s="144">
        <f>VLOOKUP($A52,'Data shares'!$C:$FA,7)</f>
        <v>534.1</v>
      </c>
      <c r="C52" s="144">
        <f>VLOOKUP($A52,'Data shares'!$C:$FA,3)</f>
        <v>535.9</v>
      </c>
      <c r="D52" s="144">
        <f>VLOOKUP($A52,'Data shares'!$C:$FA,23)</f>
        <v>1.8</v>
      </c>
      <c r="E52" s="145">
        <f>VLOOKUP($A52,'Data shares'!$C:$FA,26)*100</f>
        <v>0.33999999999999997</v>
      </c>
      <c r="F52" s="144">
        <f>VLOOKUP($A52,'Data shares'!$C:$FA,24)</f>
        <v>2.4500000000000002</v>
      </c>
      <c r="G52" s="144">
        <f>VLOOKUP($A52,'Data shares'!$C:$FA,25)</f>
        <v>-0.65</v>
      </c>
    </row>
    <row r="53" spans="1:7" x14ac:dyDescent="0.25">
      <c r="A53" s="101" t="str">
        <f>'Data shares'!C49</f>
        <v>CROMPTON</v>
      </c>
      <c r="B53" s="144">
        <f>VLOOKUP($A53,'Data shares'!$C:$FA,7)</f>
        <v>288.60000000000002</v>
      </c>
      <c r="C53" s="144">
        <f>VLOOKUP($A53,'Data shares'!$C:$FA,3)</f>
        <v>289.89999999999998</v>
      </c>
      <c r="D53" s="144">
        <f>VLOOKUP($A53,'Data shares'!$C:$FA,23)</f>
        <v>1.3</v>
      </c>
      <c r="E53" s="145">
        <f>VLOOKUP($A53,'Data shares'!$C:$FA,26)*100</f>
        <v>0.44999999999999996</v>
      </c>
      <c r="F53" s="144">
        <f>VLOOKUP($A53,'Data shares'!$C:$FA,24)</f>
        <v>0.6</v>
      </c>
      <c r="G53" s="144">
        <f>VLOOKUP($A53,'Data shares'!$C:$FA,25)</f>
        <v>0.7</v>
      </c>
    </row>
    <row r="54" spans="1:7" x14ac:dyDescent="0.25">
      <c r="A54" s="101" t="str">
        <f>'Data shares'!C50</f>
        <v>CUMMINSIND</v>
      </c>
      <c r="B54" s="144">
        <f>VLOOKUP($A54,'Data shares'!$C:$FA,7)</f>
        <v>3940.6</v>
      </c>
      <c r="C54" s="144">
        <f>VLOOKUP($A54,'Data shares'!$C:$FA,3)</f>
        <v>3950.5</v>
      </c>
      <c r="D54" s="144">
        <f>VLOOKUP($A54,'Data shares'!$C:$FA,23)</f>
        <v>9.9</v>
      </c>
      <c r="E54" s="145">
        <f>VLOOKUP($A54,'Data shares'!$C:$FA,26)*100</f>
        <v>0.25</v>
      </c>
      <c r="F54" s="144">
        <f>VLOOKUP($A54,'Data shares'!$C:$FA,24)</f>
        <v>15.5</v>
      </c>
      <c r="G54" s="144">
        <f>VLOOKUP($A54,'Data shares'!$C:$FA,25)</f>
        <v>-5.6</v>
      </c>
    </row>
    <row r="55" spans="1:7" x14ac:dyDescent="0.25">
      <c r="A55" s="101" t="str">
        <f>'Data shares'!C51</f>
        <v>CYIENT</v>
      </c>
      <c r="B55" s="144">
        <f>VLOOKUP($A55,'Data shares'!$C:$FA,7)</f>
        <v>1180.5999999999999</v>
      </c>
      <c r="C55" s="144">
        <f>VLOOKUP($A55,'Data shares'!$C:$FA,3)</f>
        <v>1172.2</v>
      </c>
      <c r="D55" s="144">
        <f>VLOOKUP($A55,'Data shares'!$C:$FA,23)</f>
        <v>-8.4</v>
      </c>
      <c r="E55" s="145">
        <f>VLOOKUP($A55,'Data shares'!$C:$FA,26)*100</f>
        <v>-0.71000000000000008</v>
      </c>
      <c r="F55" s="144">
        <f>VLOOKUP($A55,'Data shares'!$C:$FA,24)</f>
        <v>-5.6</v>
      </c>
      <c r="G55" s="144">
        <f>VLOOKUP($A55,'Data shares'!$C:$FA,25)</f>
        <v>-2.8</v>
      </c>
    </row>
    <row r="56" spans="1:7" x14ac:dyDescent="0.25">
      <c r="A56" s="101" t="str">
        <f>'Data shares'!C52</f>
        <v>DABUR</v>
      </c>
      <c r="B56" s="144">
        <f>VLOOKUP($A56,'Data shares'!$C:$FA,7)</f>
        <v>500.75</v>
      </c>
      <c r="C56" s="144">
        <f>VLOOKUP($A56,'Data shares'!$C:$FA,3)</f>
        <v>501.25</v>
      </c>
      <c r="D56" s="144">
        <f>VLOOKUP($A56,'Data shares'!$C:$FA,23)</f>
        <v>0.5</v>
      </c>
      <c r="E56" s="145">
        <f>VLOOKUP($A56,'Data shares'!$C:$FA,26)*100</f>
        <v>0.1</v>
      </c>
      <c r="F56" s="144">
        <f>VLOOKUP($A56,'Data shares'!$C:$FA,24)</f>
        <v>1.35</v>
      </c>
      <c r="G56" s="144">
        <f>VLOOKUP($A56,'Data shares'!$C:$FA,25)</f>
        <v>-0.85</v>
      </c>
    </row>
    <row r="57" spans="1:7" x14ac:dyDescent="0.25">
      <c r="A57" s="101" t="str">
        <f>'Data shares'!C53</f>
        <v>DALBHARAT</v>
      </c>
      <c r="B57" s="144">
        <f>VLOOKUP($A57,'Data shares'!$C:$FA,7)</f>
        <v>2224.4</v>
      </c>
      <c r="C57" s="144">
        <f>VLOOKUP($A57,'Data shares'!$C:$FA,3)</f>
        <v>2228.1999999999998</v>
      </c>
      <c r="D57" s="144">
        <f>VLOOKUP($A57,'Data shares'!$C:$FA,23)</f>
        <v>3.8</v>
      </c>
      <c r="E57" s="145">
        <f>VLOOKUP($A57,'Data shares'!$C:$FA,26)*100</f>
        <v>0.16999999999999998</v>
      </c>
      <c r="F57" s="144">
        <f>VLOOKUP($A57,'Data shares'!$C:$FA,24)</f>
        <v>2.7</v>
      </c>
      <c r="G57" s="144">
        <f>VLOOKUP($A57,'Data shares'!$C:$FA,25)</f>
        <v>1.1000000000000001</v>
      </c>
    </row>
    <row r="58" spans="1:7" x14ac:dyDescent="0.25">
      <c r="A58" s="101" t="str">
        <f>'Data shares'!C54</f>
        <v>DELHIVERY</v>
      </c>
      <c r="B58" s="144">
        <f>VLOOKUP($A58,'Data shares'!$C:$FA,7)</f>
        <v>446.8</v>
      </c>
      <c r="C58" s="144">
        <f>VLOOKUP($A58,'Data shares'!$C:$FA,3)</f>
        <v>448.5</v>
      </c>
      <c r="D58" s="144">
        <f>VLOOKUP($A58,'Data shares'!$C:$FA,23)</f>
        <v>1.7</v>
      </c>
      <c r="E58" s="145">
        <f>VLOOKUP($A58,'Data shares'!$C:$FA,26)*100</f>
        <v>0.38</v>
      </c>
      <c r="F58" s="144">
        <f>VLOOKUP($A58,'Data shares'!$C:$FA,24)</f>
        <v>2.4500000000000002</v>
      </c>
      <c r="G58" s="144">
        <f>VLOOKUP($A58,'Data shares'!$C:$FA,25)</f>
        <v>-0.75</v>
      </c>
    </row>
    <row r="59" spans="1:7" x14ac:dyDescent="0.25">
      <c r="A59" s="101" t="str">
        <f>'Data shares'!C55</f>
        <v>DIVISLAB</v>
      </c>
      <c r="B59" s="144">
        <f>VLOOKUP($A59,'Data shares'!$C:$FA,7)</f>
        <v>6600.5</v>
      </c>
      <c r="C59" s="144">
        <f>VLOOKUP($A59,'Data shares'!$C:$FA,3)</f>
        <v>6615</v>
      </c>
      <c r="D59" s="144">
        <f>VLOOKUP($A59,'Data shares'!$C:$FA,23)</f>
        <v>14.5</v>
      </c>
      <c r="E59" s="145">
        <f>VLOOKUP($A59,'Data shares'!$C:$FA,26)*100</f>
        <v>0.22</v>
      </c>
      <c r="F59" s="144">
        <f>VLOOKUP($A59,'Data shares'!$C:$FA,24)</f>
        <v>9</v>
      </c>
      <c r="G59" s="144">
        <f>VLOOKUP($A59,'Data shares'!$C:$FA,25)</f>
        <v>5.5</v>
      </c>
    </row>
    <row r="60" spans="1:7" x14ac:dyDescent="0.25">
      <c r="A60" s="101" t="str">
        <f>'Data shares'!C56</f>
        <v>DIXON</v>
      </c>
      <c r="B60" s="144">
        <f>VLOOKUP($A60,'Data shares'!$C:$FA,7)</f>
        <v>16844</v>
      </c>
      <c r="C60" s="144">
        <f>VLOOKUP($A60,'Data shares'!$C:$FA,3)</f>
        <v>16911</v>
      </c>
      <c r="D60" s="144">
        <f>VLOOKUP($A60,'Data shares'!$C:$FA,23)</f>
        <v>67</v>
      </c>
      <c r="E60" s="145">
        <f>VLOOKUP($A60,'Data shares'!$C:$FA,26)*100</f>
        <v>0.4</v>
      </c>
      <c r="F60" s="144">
        <f>VLOOKUP($A60,'Data shares'!$C:$FA,24)</f>
        <v>71</v>
      </c>
      <c r="G60" s="144">
        <f>VLOOKUP($A60,'Data shares'!$C:$FA,25)</f>
        <v>-4</v>
      </c>
    </row>
    <row r="61" spans="1:7" x14ac:dyDescent="0.25">
      <c r="A61" s="101" t="str">
        <f>'Data shares'!C57</f>
        <v>DLF</v>
      </c>
      <c r="B61" s="144">
        <f>VLOOKUP($A61,'Data shares'!$C:$FA,7)</f>
        <v>769.7</v>
      </c>
      <c r="C61" s="144">
        <f>VLOOKUP($A61,'Data shares'!$C:$FA,3)</f>
        <v>770.7</v>
      </c>
      <c r="D61" s="144">
        <f>VLOOKUP($A61,'Data shares'!$C:$FA,23)</f>
        <v>1</v>
      </c>
      <c r="E61" s="145">
        <f>VLOOKUP($A61,'Data shares'!$C:$FA,26)*100</f>
        <v>0.13</v>
      </c>
      <c r="F61" s="144">
        <f>VLOOKUP($A61,'Data shares'!$C:$FA,24)</f>
        <v>1.35</v>
      </c>
      <c r="G61" s="144">
        <f>VLOOKUP($A61,'Data shares'!$C:$FA,25)</f>
        <v>-0.35</v>
      </c>
    </row>
    <row r="62" spans="1:7" x14ac:dyDescent="0.25">
      <c r="A62" s="101" t="str">
        <f>'Data shares'!C58</f>
        <v>DMART</v>
      </c>
      <c r="B62" s="144">
        <f>VLOOKUP($A62,'Data shares'!$C:$FA,7)</f>
        <v>4316.1000000000004</v>
      </c>
      <c r="C62" s="144">
        <f>VLOOKUP($A62,'Data shares'!$C:$FA,3)</f>
        <v>4321.7</v>
      </c>
      <c r="D62" s="144">
        <f>VLOOKUP($A62,'Data shares'!$C:$FA,23)</f>
        <v>5.6</v>
      </c>
      <c r="E62" s="145">
        <f>VLOOKUP($A62,'Data shares'!$C:$FA,26)*100</f>
        <v>0.13</v>
      </c>
      <c r="F62" s="144">
        <f>VLOOKUP($A62,'Data shares'!$C:$FA,24)</f>
        <v>10.9</v>
      </c>
      <c r="G62" s="144">
        <f>VLOOKUP($A62,'Data shares'!$C:$FA,25)</f>
        <v>-5.3</v>
      </c>
    </row>
    <row r="63" spans="1:7" x14ac:dyDescent="0.25">
      <c r="A63" s="101" t="str">
        <f>'Data shares'!C59</f>
        <v>DRREDDY</v>
      </c>
      <c r="B63" s="144">
        <f>VLOOKUP($A63,'Data shares'!$C:$FA,7)</f>
        <v>1240.2</v>
      </c>
      <c r="C63" s="144">
        <f>VLOOKUP($A63,'Data shares'!$C:$FA,3)</f>
        <v>1245.3</v>
      </c>
      <c r="D63" s="144">
        <f>VLOOKUP($A63,'Data shares'!$C:$FA,23)</f>
        <v>5.0999999999999996</v>
      </c>
      <c r="E63" s="145">
        <f>VLOOKUP($A63,'Data shares'!$C:$FA,26)*100</f>
        <v>0.41000000000000003</v>
      </c>
      <c r="F63" s="144">
        <f>VLOOKUP($A63,'Data shares'!$C:$FA,24)</f>
        <v>5.5</v>
      </c>
      <c r="G63" s="144">
        <f>VLOOKUP($A63,'Data shares'!$C:$FA,25)</f>
        <v>-0.4</v>
      </c>
    </row>
    <row r="64" spans="1:7" x14ac:dyDescent="0.25">
      <c r="A64" s="101" t="str">
        <f>'Data shares'!C60</f>
        <v>EICHERMOT</v>
      </c>
      <c r="B64" s="144">
        <f>VLOOKUP($A64,'Data shares'!$C:$FA,7)</f>
        <v>6988</v>
      </c>
      <c r="C64" s="144">
        <f>VLOOKUP($A64,'Data shares'!$C:$FA,3)</f>
        <v>7014.5</v>
      </c>
      <c r="D64" s="144">
        <f>VLOOKUP($A64,'Data shares'!$C:$FA,23)</f>
        <v>26.5</v>
      </c>
      <c r="E64" s="145">
        <f>VLOOKUP($A64,'Data shares'!$C:$FA,26)*100</f>
        <v>0.38</v>
      </c>
      <c r="F64" s="144">
        <f>VLOOKUP($A64,'Data shares'!$C:$FA,24)</f>
        <v>30</v>
      </c>
      <c r="G64" s="144">
        <f>VLOOKUP($A64,'Data shares'!$C:$FA,25)</f>
        <v>-3.5</v>
      </c>
    </row>
    <row r="65" spans="1:7" x14ac:dyDescent="0.25">
      <c r="A65" s="101" t="str">
        <f>'Data shares'!C61</f>
        <v>ETERNAL</v>
      </c>
      <c r="B65" s="144">
        <f>VLOOKUP($A65,'Data shares'!$C:$FA,7)</f>
        <v>347.85</v>
      </c>
      <c r="C65" s="144">
        <f>VLOOKUP($A65,'Data shares'!$C:$FA,3)</f>
        <v>348.25</v>
      </c>
      <c r="D65" s="144">
        <f>VLOOKUP($A65,'Data shares'!$C:$FA,23)</f>
        <v>0.4</v>
      </c>
      <c r="E65" s="145">
        <f>VLOOKUP($A65,'Data shares'!$C:$FA,26)*100</f>
        <v>0.11</v>
      </c>
      <c r="F65" s="144">
        <f>VLOOKUP($A65,'Data shares'!$C:$FA,24)</f>
        <v>0.8</v>
      </c>
      <c r="G65" s="144">
        <f>VLOOKUP($A65,'Data shares'!$C:$FA,25)</f>
        <v>-0.4</v>
      </c>
    </row>
    <row r="66" spans="1:7" x14ac:dyDescent="0.25">
      <c r="A66" s="101" t="str">
        <f>'Data shares'!C62</f>
        <v>EXIDEIND</v>
      </c>
      <c r="B66" s="144">
        <f>VLOOKUP($A66,'Data shares'!$C:$FA,7)</f>
        <v>397.85</v>
      </c>
      <c r="C66" s="144">
        <f>VLOOKUP($A66,'Data shares'!$C:$FA,3)</f>
        <v>398.95</v>
      </c>
      <c r="D66" s="144">
        <f>VLOOKUP($A66,'Data shares'!$C:$FA,23)</f>
        <v>1.1000000000000001</v>
      </c>
      <c r="E66" s="145">
        <f>VLOOKUP($A66,'Data shares'!$C:$FA,26)*100</f>
        <v>0.27999999999999997</v>
      </c>
      <c r="F66" s="144">
        <f>VLOOKUP($A66,'Data shares'!$C:$FA,24)</f>
        <v>1.75</v>
      </c>
      <c r="G66" s="144">
        <f>VLOOKUP($A66,'Data shares'!$C:$FA,25)</f>
        <v>-0.65</v>
      </c>
    </row>
    <row r="67" spans="1:7" x14ac:dyDescent="0.25">
      <c r="A67" s="101" t="str">
        <f>'Data shares'!C63</f>
        <v>FEDERALBNK</v>
      </c>
      <c r="B67" s="144">
        <f>VLOOKUP($A67,'Data shares'!$C:$FA,7)</f>
        <v>214.5</v>
      </c>
      <c r="C67" s="144">
        <f>VLOOKUP($A67,'Data shares'!$C:$FA,3)</f>
        <v>215.29</v>
      </c>
      <c r="D67" s="144">
        <f>VLOOKUP($A67,'Data shares'!$C:$FA,23)</f>
        <v>0.79</v>
      </c>
      <c r="E67" s="145">
        <f>VLOOKUP($A67,'Data shares'!$C:$FA,26)*100</f>
        <v>0.37</v>
      </c>
      <c r="F67" s="144">
        <f>VLOOKUP($A67,'Data shares'!$C:$FA,24)</f>
        <v>0.92</v>
      </c>
      <c r="G67" s="144">
        <f>VLOOKUP($A67,'Data shares'!$C:$FA,25)</f>
        <v>-0.13</v>
      </c>
    </row>
    <row r="68" spans="1:7" x14ac:dyDescent="0.25">
      <c r="A68" s="101" t="str">
        <f>'Data shares'!C64</f>
        <v>FINNIFTY</v>
      </c>
      <c r="B68" s="144">
        <f>VLOOKUP($A68,'Data shares'!$C:$FA,7)</f>
        <v>27381.200000000001</v>
      </c>
      <c r="C68" s="144">
        <f>VLOOKUP($A68,'Data shares'!$C:$FA,3)</f>
        <v>27409.4</v>
      </c>
      <c r="D68" s="144">
        <f>VLOOKUP($A68,'Data shares'!$C:$FA,23)</f>
        <v>28.2</v>
      </c>
      <c r="E68" s="145">
        <f>VLOOKUP($A68,'Data shares'!$C:$FA,26)*100</f>
        <v>0.1</v>
      </c>
      <c r="F68" s="144">
        <f>VLOOKUP($A68,'Data shares'!$C:$FA,24)</f>
        <v>93.9</v>
      </c>
      <c r="G68" s="144">
        <f>VLOOKUP($A68,'Data shares'!$C:$FA,25)</f>
        <v>-65.7</v>
      </c>
    </row>
    <row r="69" spans="1:7" x14ac:dyDescent="0.25">
      <c r="A69" s="101" t="str">
        <f>'Data shares'!C65</f>
        <v>FORTIS</v>
      </c>
      <c r="B69" s="144">
        <f>VLOOKUP($A69,'Data shares'!$C:$FA,7)</f>
        <v>1095.25</v>
      </c>
      <c r="C69" s="144">
        <f>VLOOKUP($A69,'Data shares'!$C:$FA,3)</f>
        <v>1099.3</v>
      </c>
      <c r="D69" s="144">
        <f>VLOOKUP($A69,'Data shares'!$C:$FA,23)</f>
        <v>4.05</v>
      </c>
      <c r="E69" s="145">
        <f>VLOOKUP($A69,'Data shares'!$C:$FA,26)*100</f>
        <v>0.37</v>
      </c>
      <c r="F69" s="144">
        <f>VLOOKUP($A69,'Data shares'!$C:$FA,24)</f>
        <v>4.55</v>
      </c>
      <c r="G69" s="144">
        <f>VLOOKUP($A69,'Data shares'!$C:$FA,25)</f>
        <v>-0.5</v>
      </c>
    </row>
    <row r="70" spans="1:7" x14ac:dyDescent="0.25">
      <c r="A70" s="101" t="str">
        <f>'Data shares'!C66</f>
        <v>GAIL</v>
      </c>
      <c r="B70" s="144">
        <f>VLOOKUP($A70,'Data shares'!$C:$FA,7)</f>
        <v>179.17</v>
      </c>
      <c r="C70" s="144">
        <f>VLOOKUP($A70,'Data shares'!$C:$FA,3)</f>
        <v>179.38</v>
      </c>
      <c r="D70" s="144">
        <f>VLOOKUP($A70,'Data shares'!$C:$FA,23)</f>
        <v>0.21</v>
      </c>
      <c r="E70" s="145">
        <f>VLOOKUP($A70,'Data shares'!$C:$FA,26)*100</f>
        <v>0.12</v>
      </c>
      <c r="F70" s="144">
        <f>VLOOKUP($A70,'Data shares'!$C:$FA,24)</f>
        <v>0.15</v>
      </c>
      <c r="G70" s="144">
        <f>VLOOKUP($A70,'Data shares'!$C:$FA,25)</f>
        <v>0.06</v>
      </c>
    </row>
    <row r="71" spans="1:7" x14ac:dyDescent="0.25">
      <c r="A71" s="101" t="str">
        <f>'Data shares'!C67</f>
        <v>GLENMARK</v>
      </c>
      <c r="B71" s="144">
        <f>VLOOKUP($A71,'Data shares'!$C:$FA,7)</f>
        <v>1864.4</v>
      </c>
      <c r="C71" s="144">
        <f>VLOOKUP($A71,'Data shares'!$C:$FA,3)</f>
        <v>1872.6</v>
      </c>
      <c r="D71" s="144">
        <f>VLOOKUP($A71,'Data shares'!$C:$FA,23)</f>
        <v>8.1999999999999993</v>
      </c>
      <c r="E71" s="145">
        <f>VLOOKUP($A71,'Data shares'!$C:$FA,26)*100</f>
        <v>0.44</v>
      </c>
      <c r="F71" s="144">
        <f>VLOOKUP($A71,'Data shares'!$C:$FA,24)</f>
        <v>3.6</v>
      </c>
      <c r="G71" s="144">
        <f>VLOOKUP($A71,'Data shares'!$C:$FA,25)</f>
        <v>4.5999999999999996</v>
      </c>
    </row>
    <row r="72" spans="1:7" x14ac:dyDescent="0.25">
      <c r="A72" s="101" t="str">
        <f>'Data shares'!C68</f>
        <v>GMRAIRPORT</v>
      </c>
      <c r="B72" s="144">
        <f>VLOOKUP($A72,'Data shares'!$C:$FA,7)</f>
        <v>90.87</v>
      </c>
      <c r="C72" s="144">
        <f>VLOOKUP($A72,'Data shares'!$C:$FA,3)</f>
        <v>90.97</v>
      </c>
      <c r="D72" s="144">
        <f>VLOOKUP($A72,'Data shares'!$C:$FA,23)</f>
        <v>0.1</v>
      </c>
      <c r="E72" s="145">
        <f>VLOOKUP($A72,'Data shares'!$C:$FA,26)*100</f>
        <v>0.11</v>
      </c>
      <c r="F72" s="144">
        <f>VLOOKUP($A72,'Data shares'!$C:$FA,24)</f>
        <v>0.16</v>
      </c>
      <c r="G72" s="144">
        <f>VLOOKUP($A72,'Data shares'!$C:$FA,25)</f>
        <v>-0.06</v>
      </c>
    </row>
    <row r="73" spans="1:7" x14ac:dyDescent="0.25">
      <c r="A73" s="101" t="str">
        <f>'Data shares'!C69</f>
        <v>GODREJCP</v>
      </c>
      <c r="B73" s="144">
        <f>VLOOKUP($A73,'Data shares'!$C:$FA,7)</f>
        <v>1120.0999999999999</v>
      </c>
      <c r="C73" s="144">
        <f>VLOOKUP($A73,'Data shares'!$C:$FA,3)</f>
        <v>1122.9000000000001</v>
      </c>
      <c r="D73" s="144">
        <f>VLOOKUP($A73,'Data shares'!$C:$FA,23)</f>
        <v>2.8</v>
      </c>
      <c r="E73" s="145">
        <f>VLOOKUP($A73,'Data shares'!$C:$FA,26)*100</f>
        <v>0.25</v>
      </c>
      <c r="F73" s="144">
        <f>VLOOKUP($A73,'Data shares'!$C:$FA,24)</f>
        <v>2.4</v>
      </c>
      <c r="G73" s="144">
        <f>VLOOKUP($A73,'Data shares'!$C:$FA,25)</f>
        <v>0.4</v>
      </c>
    </row>
    <row r="74" spans="1:7" x14ac:dyDescent="0.25">
      <c r="A74" s="101" t="str">
        <f>'Data shares'!C70</f>
        <v>GODREJPROP</v>
      </c>
      <c r="B74" s="144">
        <f>VLOOKUP($A74,'Data shares'!$C:$FA,7)</f>
        <v>2205.3000000000002</v>
      </c>
      <c r="C74" s="144">
        <f>VLOOKUP($A74,'Data shares'!$C:$FA,3)</f>
        <v>2208</v>
      </c>
      <c r="D74" s="144">
        <f>VLOOKUP($A74,'Data shares'!$C:$FA,23)</f>
        <v>2.7</v>
      </c>
      <c r="E74" s="145">
        <f>VLOOKUP($A74,'Data shares'!$C:$FA,26)*100</f>
        <v>0.12</v>
      </c>
      <c r="F74" s="144">
        <f>VLOOKUP($A74,'Data shares'!$C:$FA,24)</f>
        <v>4.8</v>
      </c>
      <c r="G74" s="144">
        <f>VLOOKUP($A74,'Data shares'!$C:$FA,25)</f>
        <v>-2.1</v>
      </c>
    </row>
    <row r="75" spans="1:7" x14ac:dyDescent="0.25">
      <c r="A75" s="101" t="str">
        <f>'Data shares'!C71</f>
        <v>GRASIM</v>
      </c>
      <c r="B75" s="144">
        <f>VLOOKUP($A75,'Data shares'!$C:$FA,7)</f>
        <v>2859.8</v>
      </c>
      <c r="C75" s="144">
        <f>VLOOKUP($A75,'Data shares'!$C:$FA,3)</f>
        <v>2868.7</v>
      </c>
      <c r="D75" s="144">
        <f>VLOOKUP($A75,'Data shares'!$C:$FA,23)</f>
        <v>8.9</v>
      </c>
      <c r="E75" s="145">
        <f>VLOOKUP($A75,'Data shares'!$C:$FA,26)*100</f>
        <v>0.31</v>
      </c>
      <c r="F75" s="144">
        <f>VLOOKUP($A75,'Data shares'!$C:$FA,24)</f>
        <v>12.2</v>
      </c>
      <c r="G75" s="144">
        <f>VLOOKUP($A75,'Data shares'!$C:$FA,25)</f>
        <v>-3.3</v>
      </c>
    </row>
    <row r="76" spans="1:7" x14ac:dyDescent="0.25">
      <c r="A76" s="101" t="str">
        <f>'Data shares'!C72</f>
        <v>HAL</v>
      </c>
      <c r="B76" s="144">
        <f>VLOOKUP($A76,'Data shares'!$C:$FA,7)</f>
        <v>4861.3</v>
      </c>
      <c r="C76" s="144">
        <f>VLOOKUP($A76,'Data shares'!$C:$FA,3)</f>
        <v>4879.8</v>
      </c>
      <c r="D76" s="144">
        <f>VLOOKUP($A76,'Data shares'!$C:$FA,23)</f>
        <v>18.5</v>
      </c>
      <c r="E76" s="145">
        <f>VLOOKUP($A76,'Data shares'!$C:$FA,26)*100</f>
        <v>0.38</v>
      </c>
      <c r="F76" s="144">
        <f>VLOOKUP($A76,'Data shares'!$C:$FA,24)</f>
        <v>21</v>
      </c>
      <c r="G76" s="144">
        <f>VLOOKUP($A76,'Data shares'!$C:$FA,25)</f>
        <v>-2.5</v>
      </c>
    </row>
    <row r="77" spans="1:7" x14ac:dyDescent="0.25">
      <c r="A77" s="101" t="str">
        <f>'Data shares'!C73</f>
        <v>HAVELLS</v>
      </c>
      <c r="B77" s="144">
        <f>VLOOKUP($A77,'Data shares'!$C:$FA,7)</f>
        <v>1475.8</v>
      </c>
      <c r="C77" s="144">
        <f>VLOOKUP($A77,'Data shares'!$C:$FA,3)</f>
        <v>1481.7</v>
      </c>
      <c r="D77" s="144">
        <f>VLOOKUP($A77,'Data shares'!$C:$FA,23)</f>
        <v>5.9</v>
      </c>
      <c r="E77" s="145">
        <f>VLOOKUP($A77,'Data shares'!$C:$FA,26)*100</f>
        <v>0.4</v>
      </c>
      <c r="F77" s="144">
        <f>VLOOKUP($A77,'Data shares'!$C:$FA,24)</f>
        <v>6.4</v>
      </c>
      <c r="G77" s="144">
        <f>VLOOKUP($A77,'Data shares'!$C:$FA,25)</f>
        <v>-0.5</v>
      </c>
    </row>
    <row r="78" spans="1:7" x14ac:dyDescent="0.25">
      <c r="A78" s="101" t="str">
        <f>'Data shares'!C74</f>
        <v>HCLTECH</v>
      </c>
      <c r="B78" s="144">
        <f>VLOOKUP($A78,'Data shares'!$C:$FA,7)</f>
        <v>1515</v>
      </c>
      <c r="C78" s="144">
        <f>VLOOKUP($A78,'Data shares'!$C:$FA,3)</f>
        <v>1504.6</v>
      </c>
      <c r="D78" s="144">
        <f>VLOOKUP($A78,'Data shares'!$C:$FA,23)</f>
        <v>-10.4</v>
      </c>
      <c r="E78" s="145">
        <f>VLOOKUP($A78,'Data shares'!$C:$FA,26)*100</f>
        <v>-0.69</v>
      </c>
      <c r="F78" s="144">
        <f>VLOOKUP($A78,'Data shares'!$C:$FA,24)</f>
        <v>-7.6</v>
      </c>
      <c r="G78" s="144">
        <f>VLOOKUP($A78,'Data shares'!$C:$FA,25)</f>
        <v>-2.8</v>
      </c>
    </row>
    <row r="79" spans="1:7" x14ac:dyDescent="0.25">
      <c r="A79" s="101" t="str">
        <f>'Data shares'!C75</f>
        <v>HDFCAMC</v>
      </c>
      <c r="B79" s="144">
        <f>VLOOKUP($A79,'Data shares'!$C:$FA,7)</f>
        <v>5803.5</v>
      </c>
      <c r="C79" s="144">
        <f>VLOOKUP($A79,'Data shares'!$C:$FA,3)</f>
        <v>5815.5</v>
      </c>
      <c r="D79" s="144">
        <f>VLOOKUP($A79,'Data shares'!$C:$FA,23)</f>
        <v>12</v>
      </c>
      <c r="E79" s="145">
        <f>VLOOKUP($A79,'Data shares'!$C:$FA,26)*100</f>
        <v>0.21</v>
      </c>
      <c r="F79" s="144">
        <f>VLOOKUP($A79,'Data shares'!$C:$FA,24)</f>
        <v>22</v>
      </c>
      <c r="G79" s="144">
        <f>VLOOKUP($A79,'Data shares'!$C:$FA,25)</f>
        <v>-10</v>
      </c>
    </row>
    <row r="80" spans="1:7" x14ac:dyDescent="0.25">
      <c r="A80" s="101" t="str">
        <f>'Data shares'!C76</f>
        <v>HDFCBANK</v>
      </c>
      <c r="B80" s="144">
        <f>VLOOKUP($A80,'Data shares'!$C:$FA,7)</f>
        <v>994.35</v>
      </c>
      <c r="C80" s="144">
        <f>VLOOKUP($A80,'Data shares'!$C:$FA,3)</f>
        <v>995.65</v>
      </c>
      <c r="D80" s="144">
        <f>VLOOKUP($A80,'Data shares'!$C:$FA,23)</f>
        <v>1.3</v>
      </c>
      <c r="E80" s="145">
        <f>VLOOKUP($A80,'Data shares'!$C:$FA,26)*100</f>
        <v>0.13</v>
      </c>
      <c r="F80" s="144">
        <f>VLOOKUP($A80,'Data shares'!$C:$FA,24)</f>
        <v>4.2</v>
      </c>
      <c r="G80" s="144">
        <f>VLOOKUP($A80,'Data shares'!$C:$FA,25)</f>
        <v>-2.9</v>
      </c>
    </row>
    <row r="81" spans="1:7" x14ac:dyDescent="0.25">
      <c r="A81" s="101" t="str">
        <f>'Data shares'!C77</f>
        <v>HDFCLIFE</v>
      </c>
      <c r="B81" s="144">
        <f>VLOOKUP($A81,'Data shares'!$C:$FA,7)</f>
        <v>742.85</v>
      </c>
      <c r="C81" s="144">
        <f>VLOOKUP($A81,'Data shares'!$C:$FA,3)</f>
        <v>743.5</v>
      </c>
      <c r="D81" s="144">
        <f>VLOOKUP($A81,'Data shares'!$C:$FA,23)</f>
        <v>0.65</v>
      </c>
      <c r="E81" s="145">
        <f>VLOOKUP($A81,'Data shares'!$C:$FA,26)*100</f>
        <v>0.09</v>
      </c>
      <c r="F81" s="144">
        <f>VLOOKUP($A81,'Data shares'!$C:$FA,24)</f>
        <v>1.2</v>
      </c>
      <c r="G81" s="144">
        <f>VLOOKUP($A81,'Data shares'!$C:$FA,25)</f>
        <v>-0.55000000000000004</v>
      </c>
    </row>
    <row r="82" spans="1:7" x14ac:dyDescent="0.25">
      <c r="A82" s="101" t="str">
        <f>'Data shares'!C78</f>
        <v>HEROMOTOCO</v>
      </c>
      <c r="B82" s="144">
        <f>VLOOKUP($A82,'Data shares'!$C:$FA,7)</f>
        <v>5579.5</v>
      </c>
      <c r="C82" s="144">
        <f>VLOOKUP($A82,'Data shares'!$C:$FA,3)</f>
        <v>5591</v>
      </c>
      <c r="D82" s="144">
        <f>VLOOKUP($A82,'Data shares'!$C:$FA,23)</f>
        <v>11.5</v>
      </c>
      <c r="E82" s="145">
        <f>VLOOKUP($A82,'Data shares'!$C:$FA,26)*100</f>
        <v>0.21</v>
      </c>
      <c r="F82" s="144">
        <f>VLOOKUP($A82,'Data shares'!$C:$FA,24)</f>
        <v>12</v>
      </c>
      <c r="G82" s="144">
        <f>VLOOKUP($A82,'Data shares'!$C:$FA,25)</f>
        <v>-0.5</v>
      </c>
    </row>
    <row r="83" spans="1:7" x14ac:dyDescent="0.25">
      <c r="A83" s="101" t="str">
        <f>'Data shares'!C79</f>
        <v>HFCL</v>
      </c>
      <c r="B83" s="144">
        <f>VLOOKUP($A83,'Data shares'!$C:$FA,7)</f>
        <v>77.319999999999993</v>
      </c>
      <c r="C83" s="144">
        <f>VLOOKUP($A83,'Data shares'!$C:$FA,3)</f>
        <v>77.599999999999994</v>
      </c>
      <c r="D83" s="144">
        <f>VLOOKUP($A83,'Data shares'!$C:$FA,23)</f>
        <v>0.28000000000000003</v>
      </c>
      <c r="E83" s="145">
        <f>VLOOKUP($A83,'Data shares'!$C:$FA,26)*100</f>
        <v>0.36</v>
      </c>
      <c r="F83" s="144">
        <f>VLOOKUP($A83,'Data shares'!$C:$FA,24)</f>
        <v>0.39</v>
      </c>
      <c r="G83" s="144">
        <f>VLOOKUP($A83,'Data shares'!$C:$FA,25)</f>
        <v>-0.11</v>
      </c>
    </row>
    <row r="84" spans="1:7" x14ac:dyDescent="0.25">
      <c r="A84" s="101" t="str">
        <f>'Data shares'!C80</f>
        <v>HINDALCO</v>
      </c>
      <c r="B84" s="144">
        <f>VLOOKUP($A84,'Data shares'!$C:$FA,7)</f>
        <v>780.1</v>
      </c>
      <c r="C84" s="144">
        <f>VLOOKUP($A84,'Data shares'!$C:$FA,3)</f>
        <v>781.25</v>
      </c>
      <c r="D84" s="144">
        <f>VLOOKUP($A84,'Data shares'!$C:$FA,23)</f>
        <v>1.1499999999999999</v>
      </c>
      <c r="E84" s="145">
        <f>VLOOKUP($A84,'Data shares'!$C:$FA,26)*100</f>
        <v>0.15</v>
      </c>
      <c r="F84" s="144">
        <f>VLOOKUP($A84,'Data shares'!$C:$FA,24)</f>
        <v>3.35</v>
      </c>
      <c r="G84" s="144">
        <f>VLOOKUP($A84,'Data shares'!$C:$FA,25)</f>
        <v>-2.2000000000000002</v>
      </c>
    </row>
    <row r="85" spans="1:7" x14ac:dyDescent="0.25">
      <c r="A85" s="101" t="str">
        <f>'Data shares'!C81</f>
        <v>HINDPETRO</v>
      </c>
      <c r="B85" s="144">
        <f>VLOOKUP($A85,'Data shares'!$C:$FA,7)</f>
        <v>451.95</v>
      </c>
      <c r="C85" s="144">
        <f>VLOOKUP($A85,'Data shares'!$C:$FA,3)</f>
        <v>452.5</v>
      </c>
      <c r="D85" s="144">
        <f>VLOOKUP($A85,'Data shares'!$C:$FA,23)</f>
        <v>0.55000000000000004</v>
      </c>
      <c r="E85" s="145">
        <f>VLOOKUP($A85,'Data shares'!$C:$FA,26)*100</f>
        <v>0.12</v>
      </c>
      <c r="F85" s="144">
        <f>VLOOKUP($A85,'Data shares'!$C:$FA,24)</f>
        <v>1.95</v>
      </c>
      <c r="G85" s="144">
        <f>VLOOKUP($A85,'Data shares'!$C:$FA,25)</f>
        <v>-1.4</v>
      </c>
    </row>
    <row r="86" spans="1:7" x14ac:dyDescent="0.25">
      <c r="A86" s="101" t="str">
        <f>'Data shares'!C82</f>
        <v>HINDUNILVR</v>
      </c>
      <c r="B86" s="144">
        <f>VLOOKUP($A86,'Data shares'!$C:$FA,7)</f>
        <v>2561.5</v>
      </c>
      <c r="C86" s="144">
        <f>VLOOKUP($A86,'Data shares'!$C:$FA,3)</f>
        <v>2562.3000000000002</v>
      </c>
      <c r="D86" s="144">
        <f>VLOOKUP($A86,'Data shares'!$C:$FA,23)</f>
        <v>0.8</v>
      </c>
      <c r="E86" s="145">
        <f>VLOOKUP($A86,'Data shares'!$C:$FA,26)*100</f>
        <v>0.03</v>
      </c>
      <c r="F86" s="144">
        <f>VLOOKUP($A86,'Data shares'!$C:$FA,24)</f>
        <v>0.5</v>
      </c>
      <c r="G86" s="144">
        <f>VLOOKUP($A86,'Data shares'!$C:$FA,25)</f>
        <v>0.3</v>
      </c>
    </row>
    <row r="87" spans="1:7" x14ac:dyDescent="0.25">
      <c r="A87" s="101" t="str">
        <f>'Data shares'!C83</f>
        <v>HINDZINC</v>
      </c>
      <c r="B87" s="144">
        <f>VLOOKUP($A87,'Data shares'!$C:$FA,7)</f>
        <v>506.7</v>
      </c>
      <c r="C87" s="144">
        <f>VLOOKUP($A87,'Data shares'!$C:$FA,3)</f>
        <v>507.95</v>
      </c>
      <c r="D87" s="144">
        <f>VLOOKUP($A87,'Data shares'!$C:$FA,23)</f>
        <v>1.25</v>
      </c>
      <c r="E87" s="145">
        <f>VLOOKUP($A87,'Data shares'!$C:$FA,26)*100</f>
        <v>0.25</v>
      </c>
      <c r="F87" s="144">
        <f>VLOOKUP($A87,'Data shares'!$C:$FA,24)</f>
        <v>1.25</v>
      </c>
      <c r="G87" s="144">
        <f>VLOOKUP($A87,'Data shares'!$C:$FA,25)</f>
        <v>0</v>
      </c>
    </row>
    <row r="88" spans="1:7" x14ac:dyDescent="0.25">
      <c r="A88" s="101" t="str">
        <f>'Data shares'!C84</f>
        <v>HUDCO</v>
      </c>
      <c r="B88" s="144">
        <f>VLOOKUP($A88,'Data shares'!$C:$FA,7)</f>
        <v>227.99</v>
      </c>
      <c r="C88" s="144">
        <f>VLOOKUP($A88,'Data shares'!$C:$FA,3)</f>
        <v>228.89</v>
      </c>
      <c r="D88" s="144">
        <f>VLOOKUP($A88,'Data shares'!$C:$FA,23)</f>
        <v>0.9</v>
      </c>
      <c r="E88" s="145">
        <f>VLOOKUP($A88,'Data shares'!$C:$FA,26)*100</f>
        <v>0.38999999999999996</v>
      </c>
      <c r="F88" s="144">
        <f>VLOOKUP($A88,'Data shares'!$C:$FA,24)</f>
        <v>1.1200000000000001</v>
      </c>
      <c r="G88" s="144">
        <f>VLOOKUP($A88,'Data shares'!$C:$FA,25)</f>
        <v>-0.22</v>
      </c>
    </row>
    <row r="89" spans="1:7" x14ac:dyDescent="0.25">
      <c r="A89" s="101" t="str">
        <f>'Data shares'!C85</f>
        <v>ICICIBANK</v>
      </c>
      <c r="B89" s="144">
        <f>VLOOKUP($A89,'Data shares'!$C:$FA,7)</f>
        <v>1417.3</v>
      </c>
      <c r="C89" s="144">
        <f>VLOOKUP($A89,'Data shares'!$C:$FA,3)</f>
        <v>1419</v>
      </c>
      <c r="D89" s="144">
        <f>VLOOKUP($A89,'Data shares'!$C:$FA,23)</f>
        <v>1.7</v>
      </c>
      <c r="E89" s="145">
        <f>VLOOKUP($A89,'Data shares'!$C:$FA,26)*100</f>
        <v>0.12</v>
      </c>
      <c r="F89" s="144">
        <f>VLOOKUP($A89,'Data shares'!$C:$FA,24)</f>
        <v>2.6</v>
      </c>
      <c r="G89" s="144">
        <f>VLOOKUP($A89,'Data shares'!$C:$FA,25)</f>
        <v>-0.9</v>
      </c>
    </row>
    <row r="90" spans="1:7" x14ac:dyDescent="0.25">
      <c r="A90" s="101" t="str">
        <f>'Data shares'!C86</f>
        <v>ICICIGI</v>
      </c>
      <c r="B90" s="144">
        <f>VLOOKUP($A90,'Data shares'!$C:$FA,7)</f>
        <v>2010.1</v>
      </c>
      <c r="C90" s="144">
        <f>VLOOKUP($A90,'Data shares'!$C:$FA,3)</f>
        <v>2005.3</v>
      </c>
      <c r="D90" s="144">
        <f>VLOOKUP($A90,'Data shares'!$C:$FA,23)</f>
        <v>-4.8</v>
      </c>
      <c r="E90" s="145">
        <f>VLOOKUP($A90,'Data shares'!$C:$FA,26)*100</f>
        <v>-0.24</v>
      </c>
      <c r="F90" s="144">
        <f>VLOOKUP($A90,'Data shares'!$C:$FA,24)</f>
        <v>-1.3</v>
      </c>
      <c r="G90" s="144">
        <f>VLOOKUP($A90,'Data shares'!$C:$FA,25)</f>
        <v>-3.5</v>
      </c>
    </row>
    <row r="91" spans="1:7" x14ac:dyDescent="0.25">
      <c r="A91" s="101" t="str">
        <f>'Data shares'!C87</f>
        <v>ICICIPRULI</v>
      </c>
      <c r="B91" s="144">
        <f>VLOOKUP($A91,'Data shares'!$C:$FA,7)</f>
        <v>587</v>
      </c>
      <c r="C91" s="144">
        <f>VLOOKUP($A91,'Data shares'!$C:$FA,3)</f>
        <v>589.20000000000005</v>
      </c>
      <c r="D91" s="144">
        <f>VLOOKUP($A91,'Data shares'!$C:$FA,23)</f>
        <v>2.2000000000000002</v>
      </c>
      <c r="E91" s="145">
        <f>VLOOKUP($A91,'Data shares'!$C:$FA,26)*100</f>
        <v>0.37</v>
      </c>
      <c r="F91" s="144">
        <f>VLOOKUP($A91,'Data shares'!$C:$FA,24)</f>
        <v>2.65</v>
      </c>
      <c r="G91" s="144">
        <f>VLOOKUP($A91,'Data shares'!$C:$FA,25)</f>
        <v>-0.45</v>
      </c>
    </row>
    <row r="92" spans="1:7" x14ac:dyDescent="0.25">
      <c r="A92" s="101" t="str">
        <f>'Data shares'!C88</f>
        <v>IDEA</v>
      </c>
      <c r="B92" s="144">
        <f>VLOOKUP($A92,'Data shares'!$C:$FA,7)</f>
        <v>8.85</v>
      </c>
      <c r="C92" s="144">
        <f>VLOOKUP($A92,'Data shares'!$C:$FA,3)</f>
        <v>8.8800000000000008</v>
      </c>
      <c r="D92" s="144">
        <f>VLOOKUP($A92,'Data shares'!$C:$FA,23)</f>
        <v>0.03</v>
      </c>
      <c r="E92" s="145">
        <f>VLOOKUP($A92,'Data shares'!$C:$FA,26)*100</f>
        <v>0.33999999999999997</v>
      </c>
      <c r="F92" s="144">
        <f>VLOOKUP($A92,'Data shares'!$C:$FA,24)</f>
        <v>0.05</v>
      </c>
      <c r="G92" s="144">
        <f>VLOOKUP($A92,'Data shares'!$C:$FA,25)</f>
        <v>-0.02</v>
      </c>
    </row>
    <row r="93" spans="1:7" x14ac:dyDescent="0.25">
      <c r="A93" s="101" t="str">
        <f>'Data shares'!C89</f>
        <v>IDFCFIRSTB</v>
      </c>
      <c r="B93" s="144">
        <f>VLOOKUP($A93,'Data shares'!$C:$FA,7)</f>
        <v>71.790000000000006</v>
      </c>
      <c r="C93" s="144">
        <f>VLOOKUP($A93,'Data shares'!$C:$FA,3)</f>
        <v>71.900000000000006</v>
      </c>
      <c r="D93" s="144">
        <f>VLOOKUP($A93,'Data shares'!$C:$FA,23)</f>
        <v>0.11</v>
      </c>
      <c r="E93" s="145">
        <f>VLOOKUP($A93,'Data shares'!$C:$FA,26)*100</f>
        <v>0.15</v>
      </c>
      <c r="F93" s="144">
        <f>VLOOKUP($A93,'Data shares'!$C:$FA,24)</f>
        <v>0.2</v>
      </c>
      <c r="G93" s="144">
        <f>VLOOKUP($A93,'Data shares'!$C:$FA,25)</f>
        <v>-0.09</v>
      </c>
    </row>
    <row r="94" spans="1:7" x14ac:dyDescent="0.25">
      <c r="A94" s="101" t="str">
        <f>'Data shares'!C90</f>
        <v>IEX</v>
      </c>
      <c r="B94" s="144">
        <f>VLOOKUP($A94,'Data shares'!$C:$FA,7)</f>
        <v>134.79</v>
      </c>
      <c r="C94" s="144">
        <f>VLOOKUP($A94,'Data shares'!$C:$FA,3)</f>
        <v>135.04</v>
      </c>
      <c r="D94" s="144">
        <f>VLOOKUP($A94,'Data shares'!$C:$FA,23)</f>
        <v>0.25</v>
      </c>
      <c r="E94" s="145">
        <f>VLOOKUP($A94,'Data shares'!$C:$FA,26)*100</f>
        <v>0.19</v>
      </c>
      <c r="F94" s="144">
        <f>VLOOKUP($A94,'Data shares'!$C:$FA,24)</f>
        <v>0.17</v>
      </c>
      <c r="G94" s="144">
        <f>VLOOKUP($A94,'Data shares'!$C:$FA,25)</f>
        <v>0.08</v>
      </c>
    </row>
    <row r="95" spans="1:7" x14ac:dyDescent="0.25">
      <c r="A95" s="101" t="str">
        <f>'Data shares'!C91</f>
        <v>IGL</v>
      </c>
      <c r="B95" s="144">
        <f>VLOOKUP($A95,'Data shares'!$C:$FA,7)</f>
        <v>213.67</v>
      </c>
      <c r="C95" s="144">
        <f>VLOOKUP($A95,'Data shares'!$C:$FA,3)</f>
        <v>213.87</v>
      </c>
      <c r="D95" s="144">
        <f>VLOOKUP($A95,'Data shares'!$C:$FA,23)</f>
        <v>0.2</v>
      </c>
      <c r="E95" s="145">
        <f>VLOOKUP($A95,'Data shares'!$C:$FA,26)*100</f>
        <v>0.09</v>
      </c>
      <c r="F95" s="144">
        <f>VLOOKUP($A95,'Data shares'!$C:$FA,24)</f>
        <v>0.37</v>
      </c>
      <c r="G95" s="144">
        <f>VLOOKUP($A95,'Data shares'!$C:$FA,25)</f>
        <v>-0.17</v>
      </c>
    </row>
    <row r="96" spans="1:7" x14ac:dyDescent="0.25">
      <c r="A96" s="101" t="str">
        <f>'Data shares'!C92</f>
        <v>IIFL</v>
      </c>
      <c r="B96" s="144">
        <f>VLOOKUP($A96,'Data shares'!$C:$FA,7)</f>
        <v>499.9</v>
      </c>
      <c r="C96" s="144">
        <f>VLOOKUP($A96,'Data shares'!$C:$FA,3)</f>
        <v>501.55</v>
      </c>
      <c r="D96" s="144">
        <f>VLOOKUP($A96,'Data shares'!$C:$FA,23)</f>
        <v>1.65</v>
      </c>
      <c r="E96" s="145">
        <f>VLOOKUP($A96,'Data shares'!$C:$FA,26)*100</f>
        <v>0.33</v>
      </c>
      <c r="F96" s="144">
        <f>VLOOKUP($A96,'Data shares'!$C:$FA,24)</f>
        <v>1.5</v>
      </c>
      <c r="G96" s="144">
        <f>VLOOKUP($A96,'Data shares'!$C:$FA,25)</f>
        <v>0.15</v>
      </c>
    </row>
    <row r="97" spans="1:7" x14ac:dyDescent="0.25">
      <c r="A97" s="101" t="str">
        <f>'Data shares'!C93</f>
        <v>INDHOTEL</v>
      </c>
      <c r="B97" s="144">
        <f>VLOOKUP($A97,'Data shares'!$C:$FA,7)</f>
        <v>738.05</v>
      </c>
      <c r="C97" s="144">
        <f>VLOOKUP($A97,'Data shares'!$C:$FA,3)</f>
        <v>739.05</v>
      </c>
      <c r="D97" s="144">
        <f>VLOOKUP($A97,'Data shares'!$C:$FA,23)</f>
        <v>1</v>
      </c>
      <c r="E97" s="145">
        <f>VLOOKUP($A97,'Data shares'!$C:$FA,26)*100</f>
        <v>0.13999999999999999</v>
      </c>
      <c r="F97" s="144">
        <f>VLOOKUP($A97,'Data shares'!$C:$FA,24)</f>
        <v>3.25</v>
      </c>
      <c r="G97" s="144">
        <f>VLOOKUP($A97,'Data shares'!$C:$FA,25)</f>
        <v>-2.25</v>
      </c>
    </row>
    <row r="98" spans="1:7" x14ac:dyDescent="0.25">
      <c r="A98" s="101" t="str">
        <f>'Data shares'!C94</f>
        <v>INDIANB</v>
      </c>
      <c r="B98" s="144">
        <f>VLOOKUP($A98,'Data shares'!$C:$FA,7)</f>
        <v>771.05</v>
      </c>
      <c r="C98" s="144">
        <f>VLOOKUP($A98,'Data shares'!$C:$FA,3)</f>
        <v>774.45</v>
      </c>
      <c r="D98" s="144">
        <f>VLOOKUP($A98,'Data shares'!$C:$FA,23)</f>
        <v>3.4</v>
      </c>
      <c r="E98" s="145">
        <f>VLOOKUP($A98,'Data shares'!$C:$FA,26)*100</f>
        <v>0.44</v>
      </c>
      <c r="F98" s="144">
        <f>VLOOKUP($A98,'Data shares'!$C:$FA,24)</f>
        <v>2.85</v>
      </c>
      <c r="G98" s="144">
        <f>VLOOKUP($A98,'Data shares'!$C:$FA,25)</f>
        <v>0.55000000000000004</v>
      </c>
    </row>
    <row r="99" spans="1:7" x14ac:dyDescent="0.25">
      <c r="A99" s="101" t="str">
        <f>'Data shares'!C95</f>
        <v>INDIAVIX</v>
      </c>
      <c r="B99" s="144">
        <f>VLOOKUP($A99,'Data shares'!$C:$FA,7)</f>
        <v>10.87</v>
      </c>
      <c r="C99" s="144">
        <f>VLOOKUP($A99,'Data shares'!$C:$FA,3)</f>
        <v>10.87</v>
      </c>
      <c r="D99" s="144">
        <f>VLOOKUP($A99,'Data shares'!$C:$FA,23)</f>
        <v>0</v>
      </c>
      <c r="E99" s="145">
        <f>VLOOKUP($A99,'Data shares'!$C:$FA,26)*100</f>
        <v>0</v>
      </c>
      <c r="F99" s="144">
        <f>VLOOKUP($A99,'Data shares'!$C:$FA,24)</f>
        <v>0</v>
      </c>
      <c r="G99" s="144">
        <f>VLOOKUP($A99,'Data shares'!$C:$FA,25)</f>
        <v>0</v>
      </c>
    </row>
    <row r="100" spans="1:7" x14ac:dyDescent="0.25">
      <c r="A100" s="101" t="str">
        <f>'Data shares'!C96</f>
        <v>INDIGO</v>
      </c>
      <c r="B100" s="144">
        <f>VLOOKUP($A100,'Data shares'!$C:$FA,7)</f>
        <v>5881</v>
      </c>
      <c r="C100" s="144">
        <f>VLOOKUP($A100,'Data shares'!$C:$FA,3)</f>
        <v>5893.5</v>
      </c>
      <c r="D100" s="144">
        <f>VLOOKUP($A100,'Data shares'!$C:$FA,23)</f>
        <v>12.5</v>
      </c>
      <c r="E100" s="145">
        <f>VLOOKUP($A100,'Data shares'!$C:$FA,26)*100</f>
        <v>0.21</v>
      </c>
      <c r="F100" s="144">
        <f>VLOOKUP($A100,'Data shares'!$C:$FA,24)</f>
        <v>13.5</v>
      </c>
      <c r="G100" s="144">
        <f>VLOOKUP($A100,'Data shares'!$C:$FA,25)</f>
        <v>-1</v>
      </c>
    </row>
    <row r="101" spans="1:7" x14ac:dyDescent="0.25">
      <c r="A101" s="101" t="str">
        <f>'Data shares'!C97</f>
        <v>INDUSINDBK</v>
      </c>
      <c r="B101" s="144">
        <f>VLOOKUP($A101,'Data shares'!$C:$FA,7)</f>
        <v>739.5</v>
      </c>
      <c r="C101" s="144">
        <f>VLOOKUP($A101,'Data shares'!$C:$FA,3)</f>
        <v>739.7</v>
      </c>
      <c r="D101" s="144">
        <f>VLOOKUP($A101,'Data shares'!$C:$FA,23)</f>
        <v>0.2</v>
      </c>
      <c r="E101" s="145">
        <f>VLOOKUP($A101,'Data shares'!$C:$FA,26)*100</f>
        <v>0.03</v>
      </c>
      <c r="F101" s="144">
        <f>VLOOKUP($A101,'Data shares'!$C:$FA,24)</f>
        <v>1.85</v>
      </c>
      <c r="G101" s="144">
        <f>VLOOKUP($A101,'Data shares'!$C:$FA,25)</f>
        <v>-1.65</v>
      </c>
    </row>
    <row r="102" spans="1:7" x14ac:dyDescent="0.25">
      <c r="A102" s="101" t="str">
        <f>'Data shares'!C98</f>
        <v>INDUSTOWER</v>
      </c>
      <c r="B102" s="144">
        <f>VLOOKUP($A102,'Data shares'!$C:$FA,7)</f>
        <v>343.95</v>
      </c>
      <c r="C102" s="144">
        <f>VLOOKUP($A102,'Data shares'!$C:$FA,3)</f>
        <v>345.4</v>
      </c>
      <c r="D102" s="144">
        <f>VLOOKUP($A102,'Data shares'!$C:$FA,23)</f>
        <v>1.45</v>
      </c>
      <c r="E102" s="145">
        <f>VLOOKUP($A102,'Data shares'!$C:$FA,26)*100</f>
        <v>0.42</v>
      </c>
      <c r="F102" s="144">
        <f>VLOOKUP($A102,'Data shares'!$C:$FA,24)</f>
        <v>1.5</v>
      </c>
      <c r="G102" s="144">
        <f>VLOOKUP($A102,'Data shares'!$C:$FA,25)</f>
        <v>-0.05</v>
      </c>
    </row>
    <row r="103" spans="1:7" x14ac:dyDescent="0.25">
      <c r="A103" s="101" t="str">
        <f>'Data shares'!C99</f>
        <v>INFY</v>
      </c>
      <c r="B103" s="144">
        <f>VLOOKUP($A103,'Data shares'!$C:$FA,7)</f>
        <v>1471.5</v>
      </c>
      <c r="C103" s="144">
        <f>VLOOKUP($A103,'Data shares'!$C:$FA,3)</f>
        <v>1456.9</v>
      </c>
      <c r="D103" s="144">
        <f>VLOOKUP($A103,'Data shares'!$C:$FA,23)</f>
        <v>-14.6</v>
      </c>
      <c r="E103" s="145">
        <f>VLOOKUP($A103,'Data shares'!$C:$FA,26)*100</f>
        <v>-0.9900000000000001</v>
      </c>
      <c r="F103" s="144">
        <f>VLOOKUP($A103,'Data shares'!$C:$FA,24)</f>
        <v>-9.5</v>
      </c>
      <c r="G103" s="144">
        <f>VLOOKUP($A103,'Data shares'!$C:$FA,25)</f>
        <v>-5.0999999999999996</v>
      </c>
    </row>
    <row r="104" spans="1:7" x14ac:dyDescent="0.25">
      <c r="A104" s="101" t="str">
        <f>'Data shares'!C100</f>
        <v>INOXWIND</v>
      </c>
      <c r="B104" s="144">
        <f>VLOOKUP($A104,'Data shares'!$C:$FA,7)</f>
        <v>146.84</v>
      </c>
      <c r="C104" s="144">
        <f>VLOOKUP($A104,'Data shares'!$C:$FA,3)</f>
        <v>147.26</v>
      </c>
      <c r="D104" s="144">
        <f>VLOOKUP($A104,'Data shares'!$C:$FA,23)</f>
        <v>0.42</v>
      </c>
      <c r="E104" s="145">
        <f>VLOOKUP($A104,'Data shares'!$C:$FA,26)*100</f>
        <v>0.28999999999999998</v>
      </c>
      <c r="F104" s="144">
        <f>VLOOKUP($A104,'Data shares'!$C:$FA,24)</f>
        <v>0.7</v>
      </c>
      <c r="G104" s="144">
        <f>VLOOKUP($A104,'Data shares'!$C:$FA,25)</f>
        <v>-0.28000000000000003</v>
      </c>
    </row>
    <row r="105" spans="1:7" x14ac:dyDescent="0.25">
      <c r="A105" s="101" t="str">
        <f>'Data shares'!C101</f>
        <v>IOC</v>
      </c>
      <c r="B105" s="144">
        <f>VLOOKUP($A105,'Data shares'!$C:$FA,7)</f>
        <v>153.66999999999999</v>
      </c>
      <c r="C105" s="144">
        <f>VLOOKUP($A105,'Data shares'!$C:$FA,3)</f>
        <v>153.91999999999999</v>
      </c>
      <c r="D105" s="144">
        <f>VLOOKUP($A105,'Data shares'!$C:$FA,23)</f>
        <v>0.25</v>
      </c>
      <c r="E105" s="145">
        <f>VLOOKUP($A105,'Data shares'!$C:$FA,26)*100</f>
        <v>0.16</v>
      </c>
      <c r="F105" s="144">
        <f>VLOOKUP($A105,'Data shares'!$C:$FA,24)</f>
        <v>0.68</v>
      </c>
      <c r="G105" s="144">
        <f>VLOOKUP($A105,'Data shares'!$C:$FA,25)</f>
        <v>-0.43</v>
      </c>
    </row>
    <row r="106" spans="1:7" x14ac:dyDescent="0.25">
      <c r="A106" s="101" t="str">
        <f>'Data shares'!C102</f>
        <v>IRCTC</v>
      </c>
      <c r="B106" s="144">
        <f>VLOOKUP($A106,'Data shares'!$C:$FA,7)</f>
        <v>718.9</v>
      </c>
      <c r="C106" s="144">
        <f>VLOOKUP($A106,'Data shares'!$C:$FA,3)</f>
        <v>720.95</v>
      </c>
      <c r="D106" s="144">
        <f>VLOOKUP($A106,'Data shares'!$C:$FA,23)</f>
        <v>2.0499999999999998</v>
      </c>
      <c r="E106" s="145">
        <f>VLOOKUP($A106,'Data shares'!$C:$FA,26)*100</f>
        <v>0.28999999999999998</v>
      </c>
      <c r="F106" s="144">
        <f>VLOOKUP($A106,'Data shares'!$C:$FA,24)</f>
        <v>2.85</v>
      </c>
      <c r="G106" s="144">
        <f>VLOOKUP($A106,'Data shares'!$C:$FA,25)</f>
        <v>-0.8</v>
      </c>
    </row>
    <row r="107" spans="1:7" x14ac:dyDescent="0.25">
      <c r="A107" s="101" t="str">
        <f>'Data shares'!C103</f>
        <v>IREDA</v>
      </c>
      <c r="B107" s="144">
        <f>VLOOKUP($A107,'Data shares'!$C:$FA,7)</f>
        <v>153.13</v>
      </c>
      <c r="C107" s="144">
        <f>VLOOKUP($A107,'Data shares'!$C:$FA,3)</f>
        <v>153.19</v>
      </c>
      <c r="D107" s="144">
        <f>VLOOKUP($A107,'Data shares'!$C:$FA,23)</f>
        <v>0.06</v>
      </c>
      <c r="E107" s="145">
        <f>VLOOKUP($A107,'Data shares'!$C:$FA,26)*100</f>
        <v>0.04</v>
      </c>
      <c r="F107" s="144">
        <f>VLOOKUP($A107,'Data shares'!$C:$FA,24)</f>
        <v>0.35</v>
      </c>
      <c r="G107" s="144">
        <f>VLOOKUP($A107,'Data shares'!$C:$FA,25)</f>
        <v>-0.28999999999999998</v>
      </c>
    </row>
    <row r="108" spans="1:7" x14ac:dyDescent="0.25">
      <c r="A108" s="101" t="str">
        <f>'Data shares'!C104</f>
        <v>IRFC</v>
      </c>
      <c r="B108" s="144">
        <f>VLOOKUP($A108,'Data shares'!$C:$FA,7)</f>
        <v>124.72</v>
      </c>
      <c r="C108" s="144">
        <f>VLOOKUP($A108,'Data shares'!$C:$FA,3)</f>
        <v>123.84</v>
      </c>
      <c r="D108" s="144">
        <f>VLOOKUP($A108,'Data shares'!$C:$FA,23)</f>
        <v>-0.88</v>
      </c>
      <c r="E108" s="145">
        <f>VLOOKUP($A108,'Data shares'!$C:$FA,26)*100</f>
        <v>-0.71000000000000008</v>
      </c>
      <c r="F108" s="144">
        <f>VLOOKUP($A108,'Data shares'!$C:$FA,24)</f>
        <v>-0.72</v>
      </c>
      <c r="G108" s="144">
        <f>VLOOKUP($A108,'Data shares'!$C:$FA,25)</f>
        <v>-0.16</v>
      </c>
    </row>
    <row r="109" spans="1:7" x14ac:dyDescent="0.25">
      <c r="A109" s="101" t="str">
        <f>'Data shares'!C105</f>
        <v>ITC</v>
      </c>
      <c r="B109" s="144">
        <f>VLOOKUP($A109,'Data shares'!$C:$FA,7)</f>
        <v>405.15</v>
      </c>
      <c r="C109" s="144">
        <f>VLOOKUP($A109,'Data shares'!$C:$FA,3)</f>
        <v>406.75</v>
      </c>
      <c r="D109" s="144">
        <f>VLOOKUP($A109,'Data shares'!$C:$FA,23)</f>
        <v>1.6</v>
      </c>
      <c r="E109" s="145">
        <f>VLOOKUP($A109,'Data shares'!$C:$FA,26)*100</f>
        <v>0.38999999999999996</v>
      </c>
      <c r="F109" s="144">
        <f>VLOOKUP($A109,'Data shares'!$C:$FA,24)</f>
        <v>1.75</v>
      </c>
      <c r="G109" s="144">
        <f>VLOOKUP($A109,'Data shares'!$C:$FA,25)</f>
        <v>-0.15</v>
      </c>
    </row>
    <row r="110" spans="1:7" x14ac:dyDescent="0.25">
      <c r="A110" s="101" t="str">
        <f>'Data shares'!C106</f>
        <v>JINDALSTEL</v>
      </c>
      <c r="B110" s="144">
        <f>VLOOKUP($A110,'Data shares'!$C:$FA,7)</f>
        <v>1022.8</v>
      </c>
      <c r="C110" s="144">
        <f>VLOOKUP($A110,'Data shares'!$C:$FA,3)</f>
        <v>1024.9000000000001</v>
      </c>
      <c r="D110" s="144">
        <f>VLOOKUP($A110,'Data shares'!$C:$FA,23)</f>
        <v>2.1</v>
      </c>
      <c r="E110" s="145">
        <f>VLOOKUP($A110,'Data shares'!$C:$FA,26)*100</f>
        <v>0.21</v>
      </c>
      <c r="F110" s="144">
        <f>VLOOKUP($A110,'Data shares'!$C:$FA,24)</f>
        <v>4.4000000000000004</v>
      </c>
      <c r="G110" s="144">
        <f>VLOOKUP($A110,'Data shares'!$C:$FA,25)</f>
        <v>-2.2999999999999998</v>
      </c>
    </row>
    <row r="111" spans="1:7" x14ac:dyDescent="0.25">
      <c r="A111" s="101" t="str">
        <f>'Data shares'!C107</f>
        <v>JIOFIN</v>
      </c>
      <c r="B111" s="144">
        <f>VLOOKUP($A111,'Data shares'!$C:$FA,7)</f>
        <v>312.10000000000002</v>
      </c>
      <c r="C111" s="144">
        <f>VLOOKUP($A111,'Data shares'!$C:$FA,3)</f>
        <v>313.3</v>
      </c>
      <c r="D111" s="144">
        <f>VLOOKUP($A111,'Data shares'!$C:$FA,23)</f>
        <v>1.2</v>
      </c>
      <c r="E111" s="145">
        <f>VLOOKUP($A111,'Data shares'!$C:$FA,26)*100</f>
        <v>0.38</v>
      </c>
      <c r="F111" s="144">
        <f>VLOOKUP($A111,'Data shares'!$C:$FA,24)</f>
        <v>1.3</v>
      </c>
      <c r="G111" s="144">
        <f>VLOOKUP($A111,'Data shares'!$C:$FA,25)</f>
        <v>-0.1</v>
      </c>
    </row>
    <row r="112" spans="1:7" x14ac:dyDescent="0.25">
      <c r="A112" s="101" t="str">
        <f>'Data shares'!C108</f>
        <v>JSWENERGY</v>
      </c>
      <c r="B112" s="144">
        <f>VLOOKUP($A112,'Data shares'!$C:$FA,7)</f>
        <v>548.6</v>
      </c>
      <c r="C112" s="144">
        <f>VLOOKUP($A112,'Data shares'!$C:$FA,3)</f>
        <v>549.35</v>
      </c>
      <c r="D112" s="144">
        <f>VLOOKUP($A112,'Data shares'!$C:$FA,23)</f>
        <v>0.75</v>
      </c>
      <c r="E112" s="145">
        <f>VLOOKUP($A112,'Data shares'!$C:$FA,26)*100</f>
        <v>0.13999999999999999</v>
      </c>
      <c r="F112" s="144">
        <f>VLOOKUP($A112,'Data shares'!$C:$FA,24)</f>
        <v>1.1000000000000001</v>
      </c>
      <c r="G112" s="144">
        <f>VLOOKUP($A112,'Data shares'!$C:$FA,25)</f>
        <v>-0.35</v>
      </c>
    </row>
    <row r="113" spans="1:7" x14ac:dyDescent="0.25">
      <c r="A113" s="101" t="str">
        <f>'Data shares'!C109</f>
        <v>JSWSTEEL</v>
      </c>
      <c r="B113" s="144">
        <f>VLOOKUP($A113,'Data shares'!$C:$FA,7)</f>
        <v>1172.0999999999999</v>
      </c>
      <c r="C113" s="144">
        <f>VLOOKUP($A113,'Data shares'!$C:$FA,3)</f>
        <v>1173.5999999999999</v>
      </c>
      <c r="D113" s="144">
        <f>VLOOKUP($A113,'Data shares'!$C:$FA,23)</f>
        <v>1.5</v>
      </c>
      <c r="E113" s="145">
        <f>VLOOKUP($A113,'Data shares'!$C:$FA,26)*100</f>
        <v>0.13</v>
      </c>
      <c r="F113" s="144">
        <f>VLOOKUP($A113,'Data shares'!$C:$FA,24)</f>
        <v>4.7</v>
      </c>
      <c r="G113" s="144">
        <f>VLOOKUP($A113,'Data shares'!$C:$FA,25)</f>
        <v>-3.2</v>
      </c>
    </row>
    <row r="114" spans="1:7" x14ac:dyDescent="0.25">
      <c r="A114" s="101" t="str">
        <f>'Data shares'!C110</f>
        <v>JUBLFOOD</v>
      </c>
      <c r="B114" s="144">
        <f>VLOOKUP($A114,'Data shares'!$C:$FA,7)</f>
        <v>595.29999999999995</v>
      </c>
      <c r="C114" s="144">
        <f>VLOOKUP($A114,'Data shares'!$C:$FA,3)</f>
        <v>596.5</v>
      </c>
      <c r="D114" s="144">
        <f>VLOOKUP($A114,'Data shares'!$C:$FA,23)</f>
        <v>1.2</v>
      </c>
      <c r="E114" s="145">
        <f>VLOOKUP($A114,'Data shares'!$C:$FA,26)*100</f>
        <v>0.2</v>
      </c>
      <c r="F114" s="144">
        <f>VLOOKUP($A114,'Data shares'!$C:$FA,24)</f>
        <v>2.5499999999999998</v>
      </c>
      <c r="G114" s="144">
        <f>VLOOKUP($A114,'Data shares'!$C:$FA,25)</f>
        <v>-1.35</v>
      </c>
    </row>
    <row r="115" spans="1:7" x14ac:dyDescent="0.25">
      <c r="A115" s="101" t="str">
        <f>'Data shares'!C111</f>
        <v>KALYANKJIL</v>
      </c>
      <c r="B115" s="144">
        <f>VLOOKUP($A115,'Data shares'!$C:$FA,7)</f>
        <v>487.15</v>
      </c>
      <c r="C115" s="144">
        <f>VLOOKUP($A115,'Data shares'!$C:$FA,3)</f>
        <v>488.45</v>
      </c>
      <c r="D115" s="144">
        <f>VLOOKUP($A115,'Data shares'!$C:$FA,23)</f>
        <v>1.3</v>
      </c>
      <c r="E115" s="145">
        <f>VLOOKUP($A115,'Data shares'!$C:$FA,26)*100</f>
        <v>0.27</v>
      </c>
      <c r="F115" s="144">
        <f>VLOOKUP($A115,'Data shares'!$C:$FA,24)</f>
        <v>1.7</v>
      </c>
      <c r="G115" s="144">
        <f>VLOOKUP($A115,'Data shares'!$C:$FA,25)</f>
        <v>-0.4</v>
      </c>
    </row>
    <row r="116" spans="1:7" x14ac:dyDescent="0.25">
      <c r="A116" s="101" t="str">
        <f>'Data shares'!C112</f>
        <v>KAYNES</v>
      </c>
      <c r="B116" s="144">
        <f>VLOOKUP($A116,'Data shares'!$C:$FA,7)</f>
        <v>6991.5</v>
      </c>
      <c r="C116" s="144">
        <f>VLOOKUP($A116,'Data shares'!$C:$FA,3)</f>
        <v>6999</v>
      </c>
      <c r="D116" s="144">
        <f>VLOOKUP($A116,'Data shares'!$C:$FA,23)</f>
        <v>7.5</v>
      </c>
      <c r="E116" s="145">
        <f>VLOOKUP($A116,'Data shares'!$C:$FA,26)*100</f>
        <v>0.11</v>
      </c>
      <c r="F116" s="144">
        <f>VLOOKUP($A116,'Data shares'!$C:$FA,24)</f>
        <v>12</v>
      </c>
      <c r="G116" s="144">
        <f>VLOOKUP($A116,'Data shares'!$C:$FA,25)</f>
        <v>-4.5</v>
      </c>
    </row>
    <row r="117" spans="1:7" x14ac:dyDescent="0.25">
      <c r="A117" s="101" t="str">
        <f>'Data shares'!C113</f>
        <v>KEI</v>
      </c>
      <c r="B117" s="144">
        <f>VLOOKUP($A117,'Data shares'!$C:$FA,7)</f>
        <v>4172.6000000000004</v>
      </c>
      <c r="C117" s="144">
        <f>VLOOKUP($A117,'Data shares'!$C:$FA,3)</f>
        <v>4171.5</v>
      </c>
      <c r="D117" s="144">
        <f>VLOOKUP($A117,'Data shares'!$C:$FA,23)</f>
        <v>-1.1000000000000001</v>
      </c>
      <c r="E117" s="145">
        <f>VLOOKUP($A117,'Data shares'!$C:$FA,26)*100</f>
        <v>-0.03</v>
      </c>
      <c r="F117" s="144">
        <f>VLOOKUP($A117,'Data shares'!$C:$FA,24)</f>
        <v>15.6</v>
      </c>
      <c r="G117" s="144">
        <f>VLOOKUP($A117,'Data shares'!$C:$FA,25)</f>
        <v>-16.7</v>
      </c>
    </row>
    <row r="118" spans="1:7" x14ac:dyDescent="0.25">
      <c r="A118" s="101" t="str">
        <f>'Data shares'!C114</f>
        <v>KFINTECH</v>
      </c>
      <c r="B118" s="144">
        <f>VLOOKUP($A118,'Data shares'!$C:$FA,7)</f>
        <v>1123.9000000000001</v>
      </c>
      <c r="C118" s="144">
        <f>VLOOKUP($A118,'Data shares'!$C:$FA,3)</f>
        <v>1127.5999999999999</v>
      </c>
      <c r="D118" s="144">
        <f>VLOOKUP($A118,'Data shares'!$C:$FA,23)</f>
        <v>3.7</v>
      </c>
      <c r="E118" s="145">
        <f>VLOOKUP($A118,'Data shares'!$C:$FA,26)*100</f>
        <v>0.33</v>
      </c>
      <c r="F118" s="144">
        <f>VLOOKUP($A118,'Data shares'!$C:$FA,24)</f>
        <v>3.7</v>
      </c>
      <c r="G118" s="144">
        <f>VLOOKUP($A118,'Data shares'!$C:$FA,25)</f>
        <v>0</v>
      </c>
    </row>
    <row r="119" spans="1:7" x14ac:dyDescent="0.25">
      <c r="A119" s="101" t="str">
        <f>'Data shares'!C115</f>
        <v>KOTAKBANK</v>
      </c>
      <c r="B119" s="144">
        <f>VLOOKUP($A119,'Data shares'!$C:$FA,7)</f>
        <v>2205.4</v>
      </c>
      <c r="C119" s="144">
        <f>VLOOKUP($A119,'Data shares'!$C:$FA,3)</f>
        <v>2208</v>
      </c>
      <c r="D119" s="144">
        <f>VLOOKUP($A119,'Data shares'!$C:$FA,23)</f>
        <v>2.6</v>
      </c>
      <c r="E119" s="145">
        <f>VLOOKUP($A119,'Data shares'!$C:$FA,26)*100</f>
        <v>0.12</v>
      </c>
      <c r="F119" s="144">
        <f>VLOOKUP($A119,'Data shares'!$C:$FA,24)</f>
        <v>3.4</v>
      </c>
      <c r="G119" s="144">
        <f>VLOOKUP($A119,'Data shares'!$C:$FA,25)</f>
        <v>-0.8</v>
      </c>
    </row>
    <row r="120" spans="1:7" x14ac:dyDescent="0.25">
      <c r="A120" s="101" t="str">
        <f>'Data shares'!C116</f>
        <v>KPITTECH</v>
      </c>
      <c r="B120" s="144">
        <f>VLOOKUP($A120,'Data shares'!$C:$FA,7)</f>
        <v>1161.9000000000001</v>
      </c>
      <c r="C120" s="144">
        <f>VLOOKUP($A120,'Data shares'!$C:$FA,3)</f>
        <v>1163.0999999999999</v>
      </c>
      <c r="D120" s="144">
        <f>VLOOKUP($A120,'Data shares'!$C:$FA,23)</f>
        <v>1.2</v>
      </c>
      <c r="E120" s="145">
        <f>VLOOKUP($A120,'Data shares'!$C:$FA,26)*100</f>
        <v>0.1</v>
      </c>
      <c r="F120" s="144">
        <f>VLOOKUP($A120,'Data shares'!$C:$FA,24)</f>
        <v>-3.8</v>
      </c>
      <c r="G120" s="144">
        <f>VLOOKUP($A120,'Data shares'!$C:$FA,25)</f>
        <v>5</v>
      </c>
    </row>
    <row r="121" spans="1:7" x14ac:dyDescent="0.25">
      <c r="A121" s="101" t="str">
        <f>'Data shares'!C117</f>
        <v>LAURUSLABS</v>
      </c>
      <c r="B121" s="144">
        <f>VLOOKUP($A121,'Data shares'!$C:$FA,7)</f>
        <v>872.85</v>
      </c>
      <c r="C121" s="144">
        <f>VLOOKUP($A121,'Data shares'!$C:$FA,3)</f>
        <v>876.6</v>
      </c>
      <c r="D121" s="144">
        <f>VLOOKUP($A121,'Data shares'!$C:$FA,23)</f>
        <v>3.75</v>
      </c>
      <c r="E121" s="145">
        <f>VLOOKUP($A121,'Data shares'!$C:$FA,26)*100</f>
        <v>0.43</v>
      </c>
      <c r="F121" s="144">
        <f>VLOOKUP($A121,'Data shares'!$C:$FA,24)</f>
        <v>4.05</v>
      </c>
      <c r="G121" s="144">
        <f>VLOOKUP($A121,'Data shares'!$C:$FA,25)</f>
        <v>-0.3</v>
      </c>
    </row>
    <row r="122" spans="1:7" x14ac:dyDescent="0.25">
      <c r="A122" s="101" t="str">
        <f>'Data shares'!C118</f>
        <v>LICHSGFIN</v>
      </c>
      <c r="B122" s="144">
        <f>VLOOKUP($A122,'Data shares'!$C:$FA,7)</f>
        <v>569.29999999999995</v>
      </c>
      <c r="C122" s="144">
        <f>VLOOKUP($A122,'Data shares'!$C:$FA,3)</f>
        <v>570.25</v>
      </c>
      <c r="D122" s="144">
        <f>VLOOKUP($A122,'Data shares'!$C:$FA,23)</f>
        <v>0.95</v>
      </c>
      <c r="E122" s="145">
        <f>VLOOKUP($A122,'Data shares'!$C:$FA,26)*100</f>
        <v>0.16999999999999998</v>
      </c>
      <c r="F122" s="144">
        <f>VLOOKUP($A122,'Data shares'!$C:$FA,24)</f>
        <v>2.5</v>
      </c>
      <c r="G122" s="144">
        <f>VLOOKUP($A122,'Data shares'!$C:$FA,25)</f>
        <v>-1.55</v>
      </c>
    </row>
    <row r="123" spans="1:7" x14ac:dyDescent="0.25">
      <c r="A123" s="101" t="str">
        <f>'Data shares'!C119</f>
        <v>LICI</v>
      </c>
      <c r="B123" s="144">
        <f>VLOOKUP($A123,'Data shares'!$C:$FA,7)</f>
        <v>894.15</v>
      </c>
      <c r="C123" s="144">
        <f>VLOOKUP($A123,'Data shares'!$C:$FA,3)</f>
        <v>894.85</v>
      </c>
      <c r="D123" s="144">
        <f>VLOOKUP($A123,'Data shares'!$C:$FA,23)</f>
        <v>0.7</v>
      </c>
      <c r="E123" s="145">
        <f>VLOOKUP($A123,'Data shares'!$C:$FA,26)*100</f>
        <v>0.08</v>
      </c>
      <c r="F123" s="144">
        <f>VLOOKUP($A123,'Data shares'!$C:$FA,24)</f>
        <v>3.75</v>
      </c>
      <c r="G123" s="144">
        <f>VLOOKUP($A123,'Data shares'!$C:$FA,25)</f>
        <v>-3.05</v>
      </c>
    </row>
    <row r="124" spans="1:7" x14ac:dyDescent="0.25">
      <c r="A124" s="101" t="str">
        <f>'Data shares'!C120</f>
        <v>LODHA</v>
      </c>
      <c r="B124" s="144">
        <f>VLOOKUP($A124,'Data shares'!$C:$FA,7)</f>
        <v>1194.8</v>
      </c>
      <c r="C124" s="144">
        <f>VLOOKUP($A124,'Data shares'!$C:$FA,3)</f>
        <v>1196</v>
      </c>
      <c r="D124" s="144">
        <f>VLOOKUP($A124,'Data shares'!$C:$FA,23)</f>
        <v>1.2</v>
      </c>
      <c r="E124" s="145">
        <f>VLOOKUP($A124,'Data shares'!$C:$FA,26)*100</f>
        <v>0.1</v>
      </c>
      <c r="F124" s="144">
        <f>VLOOKUP($A124,'Data shares'!$C:$FA,24)</f>
        <v>2.5</v>
      </c>
      <c r="G124" s="144">
        <f>VLOOKUP($A124,'Data shares'!$C:$FA,25)</f>
        <v>-1.3</v>
      </c>
    </row>
    <row r="125" spans="1:7" x14ac:dyDescent="0.25">
      <c r="A125" s="101" t="str">
        <f>'Data shares'!C121</f>
        <v>LT</v>
      </c>
      <c r="B125" s="144">
        <f>VLOOKUP($A125,'Data shares'!$C:$FA,7)</f>
        <v>3861.8</v>
      </c>
      <c r="C125" s="144">
        <f>VLOOKUP($A125,'Data shares'!$C:$FA,3)</f>
        <v>3866.7</v>
      </c>
      <c r="D125" s="144">
        <f>VLOOKUP($A125,'Data shares'!$C:$FA,23)</f>
        <v>4.9000000000000004</v>
      </c>
      <c r="E125" s="145">
        <f>VLOOKUP($A125,'Data shares'!$C:$FA,26)*100</f>
        <v>0.13</v>
      </c>
      <c r="F125" s="144">
        <f>VLOOKUP($A125,'Data shares'!$C:$FA,24)</f>
        <v>7.9</v>
      </c>
      <c r="G125" s="144">
        <f>VLOOKUP($A125,'Data shares'!$C:$FA,25)</f>
        <v>-3</v>
      </c>
    </row>
    <row r="126" spans="1:7" x14ac:dyDescent="0.25">
      <c r="A126" s="101" t="str">
        <f>'Data shares'!C122</f>
        <v>LTF</v>
      </c>
      <c r="B126" s="144">
        <f>VLOOKUP($A126,'Data shares'!$C:$FA,7)</f>
        <v>269.19</v>
      </c>
      <c r="C126" s="144">
        <f>VLOOKUP($A126,'Data shares'!$C:$FA,3)</f>
        <v>269.57</v>
      </c>
      <c r="D126" s="144">
        <f>VLOOKUP($A126,'Data shares'!$C:$FA,23)</f>
        <v>0.38</v>
      </c>
      <c r="E126" s="145">
        <f>VLOOKUP($A126,'Data shares'!$C:$FA,26)*100</f>
        <v>0.13999999999999999</v>
      </c>
      <c r="F126" s="144">
        <f>VLOOKUP($A126,'Data shares'!$C:$FA,24)</f>
        <v>0.51</v>
      </c>
      <c r="G126" s="144">
        <f>VLOOKUP($A126,'Data shares'!$C:$FA,25)</f>
        <v>-0.13</v>
      </c>
    </row>
    <row r="127" spans="1:7" x14ac:dyDescent="0.25">
      <c r="A127" s="101" t="str">
        <f>'Data shares'!C123</f>
        <v>LTIM</v>
      </c>
      <c r="B127" s="144">
        <f>VLOOKUP($A127,'Data shares'!$C:$FA,7)</f>
        <v>5622.5</v>
      </c>
      <c r="C127" s="144">
        <f>VLOOKUP($A127,'Data shares'!$C:$FA,3)</f>
        <v>5619</v>
      </c>
      <c r="D127" s="144">
        <f>VLOOKUP($A127,'Data shares'!$C:$FA,23)</f>
        <v>-3.5</v>
      </c>
      <c r="E127" s="145">
        <f>VLOOKUP($A127,'Data shares'!$C:$FA,26)*100</f>
        <v>-0.06</v>
      </c>
      <c r="F127" s="144">
        <f>VLOOKUP($A127,'Data shares'!$C:$FA,24)</f>
        <v>1.5</v>
      </c>
      <c r="G127" s="144">
        <f>VLOOKUP($A127,'Data shares'!$C:$FA,25)</f>
        <v>-5</v>
      </c>
    </row>
    <row r="128" spans="1:7" x14ac:dyDescent="0.25">
      <c r="A128" s="101" t="str">
        <f>'Data shares'!C124</f>
        <v>LUPIN</v>
      </c>
      <c r="B128" s="144">
        <f>VLOOKUP($A128,'Data shares'!$C:$FA,7)</f>
        <v>1951.2</v>
      </c>
      <c r="C128" s="144">
        <f>VLOOKUP($A128,'Data shares'!$C:$FA,3)</f>
        <v>1958.9</v>
      </c>
      <c r="D128" s="144">
        <f>VLOOKUP($A128,'Data shares'!$C:$FA,23)</f>
        <v>7.7</v>
      </c>
      <c r="E128" s="145">
        <f>VLOOKUP($A128,'Data shares'!$C:$FA,26)*100</f>
        <v>0.38999999999999996</v>
      </c>
      <c r="F128" s="144">
        <f>VLOOKUP($A128,'Data shares'!$C:$FA,24)</f>
        <v>6.9</v>
      </c>
      <c r="G128" s="144">
        <f>VLOOKUP($A128,'Data shares'!$C:$FA,25)</f>
        <v>0.8</v>
      </c>
    </row>
    <row r="129" spans="1:7" x14ac:dyDescent="0.25">
      <c r="A129" s="101" t="str">
        <f>'Data shares'!C125</f>
        <v>M&amp;M</v>
      </c>
      <c r="B129" s="144">
        <f>VLOOKUP($A129,'Data shares'!$C:$FA,7)</f>
        <v>3560.8</v>
      </c>
      <c r="C129" s="144">
        <f>VLOOKUP($A129,'Data shares'!$C:$FA,3)</f>
        <v>3567.2</v>
      </c>
      <c r="D129" s="144">
        <f>VLOOKUP($A129,'Data shares'!$C:$FA,23)</f>
        <v>6.4</v>
      </c>
      <c r="E129" s="145">
        <f>VLOOKUP($A129,'Data shares'!$C:$FA,26)*100</f>
        <v>0.18</v>
      </c>
      <c r="F129" s="144">
        <f>VLOOKUP($A129,'Data shares'!$C:$FA,24)</f>
        <v>4.5999999999999996</v>
      </c>
      <c r="G129" s="144">
        <f>VLOOKUP($A129,'Data shares'!$C:$FA,25)</f>
        <v>1.8</v>
      </c>
    </row>
    <row r="130" spans="1:7" x14ac:dyDescent="0.25">
      <c r="A130" s="101" t="str">
        <f>'Data shares'!C126</f>
        <v>MANAPPURAM</v>
      </c>
      <c r="B130" s="144">
        <f>VLOOKUP($A130,'Data shares'!$C:$FA,7)</f>
        <v>286.8</v>
      </c>
      <c r="C130" s="144">
        <f>VLOOKUP($A130,'Data shares'!$C:$FA,3)</f>
        <v>287.3</v>
      </c>
      <c r="D130" s="144">
        <f>VLOOKUP($A130,'Data shares'!$C:$FA,23)</f>
        <v>0.5</v>
      </c>
      <c r="E130" s="145">
        <f>VLOOKUP($A130,'Data shares'!$C:$FA,26)*100</f>
        <v>0.16999999999999998</v>
      </c>
      <c r="F130" s="144">
        <f>VLOOKUP($A130,'Data shares'!$C:$FA,24)</f>
        <v>0.8</v>
      </c>
      <c r="G130" s="144">
        <f>VLOOKUP($A130,'Data shares'!$C:$FA,25)</f>
        <v>-0.3</v>
      </c>
    </row>
    <row r="131" spans="1:7" x14ac:dyDescent="0.25">
      <c r="A131" s="101" t="str">
        <f>'Data shares'!C127</f>
        <v>MANKIND</v>
      </c>
      <c r="B131" s="144">
        <f>VLOOKUP($A131,'Data shares'!$C:$FA,7)</f>
        <v>2455.3000000000002</v>
      </c>
      <c r="C131" s="144">
        <f>VLOOKUP($A131,'Data shares'!$C:$FA,3)</f>
        <v>2462</v>
      </c>
      <c r="D131" s="144">
        <f>VLOOKUP($A131,'Data shares'!$C:$FA,23)</f>
        <v>6.7</v>
      </c>
      <c r="E131" s="145">
        <f>VLOOKUP($A131,'Data shares'!$C:$FA,26)*100</f>
        <v>0.27</v>
      </c>
      <c r="F131" s="144">
        <f>VLOOKUP($A131,'Data shares'!$C:$FA,24)</f>
        <v>-2.6</v>
      </c>
      <c r="G131" s="144">
        <f>VLOOKUP($A131,'Data shares'!$C:$FA,25)</f>
        <v>9.3000000000000007</v>
      </c>
    </row>
    <row r="132" spans="1:7" x14ac:dyDescent="0.25">
      <c r="A132" s="101" t="str">
        <f>'Data shares'!C128</f>
        <v>MARICO</v>
      </c>
      <c r="B132" s="144">
        <f>VLOOKUP($A132,'Data shares'!$C:$FA,7)</f>
        <v>725.7</v>
      </c>
      <c r="C132" s="144">
        <f>VLOOKUP($A132,'Data shares'!$C:$FA,3)</f>
        <v>726.7</v>
      </c>
      <c r="D132" s="144">
        <f>VLOOKUP($A132,'Data shares'!$C:$FA,23)</f>
        <v>1</v>
      </c>
      <c r="E132" s="145">
        <f>VLOOKUP($A132,'Data shares'!$C:$FA,26)*100</f>
        <v>0.13999999999999999</v>
      </c>
      <c r="F132" s="144">
        <f>VLOOKUP($A132,'Data shares'!$C:$FA,24)</f>
        <v>0.25</v>
      </c>
      <c r="G132" s="144">
        <f>VLOOKUP($A132,'Data shares'!$C:$FA,25)</f>
        <v>0.75</v>
      </c>
    </row>
    <row r="133" spans="1:7" x14ac:dyDescent="0.25">
      <c r="A133" s="101" t="str">
        <f>'Data shares'!C129</f>
        <v>MARUTI</v>
      </c>
      <c r="B133" s="144">
        <f>VLOOKUP($A133,'Data shares'!$C:$FA,7)</f>
        <v>16298</v>
      </c>
      <c r="C133" s="144">
        <f>VLOOKUP($A133,'Data shares'!$C:$FA,3)</f>
        <v>16354</v>
      </c>
      <c r="D133" s="144">
        <f>VLOOKUP($A133,'Data shares'!$C:$FA,23)</f>
        <v>56</v>
      </c>
      <c r="E133" s="145">
        <f>VLOOKUP($A133,'Data shares'!$C:$FA,26)*100</f>
        <v>0.33999999999999997</v>
      </c>
      <c r="F133" s="144">
        <f>VLOOKUP($A133,'Data shares'!$C:$FA,24)</f>
        <v>61</v>
      </c>
      <c r="G133" s="144">
        <f>VLOOKUP($A133,'Data shares'!$C:$FA,25)</f>
        <v>-5</v>
      </c>
    </row>
    <row r="134" spans="1:7" x14ac:dyDescent="0.25">
      <c r="A134" s="101" t="str">
        <f>'Data shares'!C130</f>
        <v>MAXHEALTH</v>
      </c>
      <c r="B134" s="144">
        <f>VLOOKUP($A134,'Data shares'!$C:$FA,7)</f>
        <v>1175.3</v>
      </c>
      <c r="C134" s="144">
        <f>VLOOKUP($A134,'Data shares'!$C:$FA,3)</f>
        <v>1178.7</v>
      </c>
      <c r="D134" s="144">
        <f>VLOOKUP($A134,'Data shares'!$C:$FA,23)</f>
        <v>3.4</v>
      </c>
      <c r="E134" s="145">
        <f>VLOOKUP($A134,'Data shares'!$C:$FA,26)*100</f>
        <v>0.28999999999999998</v>
      </c>
      <c r="F134" s="144">
        <f>VLOOKUP($A134,'Data shares'!$C:$FA,24)</f>
        <v>3.5</v>
      </c>
      <c r="G134" s="144">
        <f>VLOOKUP($A134,'Data shares'!$C:$FA,25)</f>
        <v>-0.1</v>
      </c>
    </row>
    <row r="135" spans="1:7" x14ac:dyDescent="0.25">
      <c r="A135" s="101" t="str">
        <f>'Data shares'!C131</f>
        <v>MAZDOCK</v>
      </c>
      <c r="B135" s="144">
        <f>VLOOKUP($A135,'Data shares'!$C:$FA,7)</f>
        <v>2831.9</v>
      </c>
      <c r="C135" s="144">
        <f>VLOOKUP($A135,'Data shares'!$C:$FA,3)</f>
        <v>2844</v>
      </c>
      <c r="D135" s="144">
        <f>VLOOKUP($A135,'Data shares'!$C:$FA,23)</f>
        <v>12.1</v>
      </c>
      <c r="E135" s="145">
        <f>VLOOKUP($A135,'Data shares'!$C:$FA,26)*100</f>
        <v>0.43</v>
      </c>
      <c r="F135" s="144">
        <f>VLOOKUP($A135,'Data shares'!$C:$FA,24)</f>
        <v>12.1</v>
      </c>
      <c r="G135" s="144">
        <f>VLOOKUP($A135,'Data shares'!$C:$FA,25)</f>
        <v>0</v>
      </c>
    </row>
    <row r="136" spans="1:7" x14ac:dyDescent="0.25">
      <c r="A136" s="101" t="str">
        <f>'Data shares'!C132</f>
        <v>MCX</v>
      </c>
      <c r="B136" s="144">
        <f>VLOOKUP($A136,'Data shares'!$C:$FA,7)</f>
        <v>9330.5</v>
      </c>
      <c r="C136" s="144">
        <f>VLOOKUP($A136,'Data shares'!$C:$FA,3)</f>
        <v>9360.5</v>
      </c>
      <c r="D136" s="144">
        <f>VLOOKUP($A136,'Data shares'!$C:$FA,23)</f>
        <v>30</v>
      </c>
      <c r="E136" s="145">
        <f>VLOOKUP($A136,'Data shares'!$C:$FA,26)*100</f>
        <v>0.32</v>
      </c>
      <c r="F136" s="144">
        <f>VLOOKUP($A136,'Data shares'!$C:$FA,24)</f>
        <v>38.5</v>
      </c>
      <c r="G136" s="144">
        <f>VLOOKUP($A136,'Data shares'!$C:$FA,25)</f>
        <v>-8.5</v>
      </c>
    </row>
    <row r="137" spans="1:7" x14ac:dyDescent="0.25">
      <c r="A137" s="101" t="str">
        <f>'Data shares'!C133</f>
        <v>MFSL</v>
      </c>
      <c r="B137" s="144">
        <f>VLOOKUP($A137,'Data shares'!$C:$FA,7)</f>
        <v>1552.4</v>
      </c>
      <c r="C137" s="144">
        <f>VLOOKUP($A137,'Data shares'!$C:$FA,3)</f>
        <v>1556.3</v>
      </c>
      <c r="D137" s="144">
        <f>VLOOKUP($A137,'Data shares'!$C:$FA,23)</f>
        <v>3.9</v>
      </c>
      <c r="E137" s="145">
        <f>VLOOKUP($A137,'Data shares'!$C:$FA,26)*100</f>
        <v>0.25</v>
      </c>
      <c r="F137" s="144">
        <f>VLOOKUP($A137,'Data shares'!$C:$FA,24)</f>
        <v>7.2</v>
      </c>
      <c r="G137" s="144">
        <f>VLOOKUP($A137,'Data shares'!$C:$FA,25)</f>
        <v>-3.3</v>
      </c>
    </row>
    <row r="138" spans="1:7" x14ac:dyDescent="0.25">
      <c r="A138" s="101" t="str">
        <f>'Data shares'!C134</f>
        <v>MIDCPNIFTY</v>
      </c>
      <c r="B138" s="144">
        <f>VLOOKUP($A138,'Data shares'!$C:$FA,7)</f>
        <v>13260.85</v>
      </c>
      <c r="C138" s="144">
        <f>VLOOKUP($A138,'Data shares'!$C:$FA,3)</f>
        <v>13321.8</v>
      </c>
      <c r="D138" s="144">
        <f>VLOOKUP($A138,'Data shares'!$C:$FA,23)</f>
        <v>60.95</v>
      </c>
      <c r="E138" s="145">
        <f>VLOOKUP($A138,'Data shares'!$C:$FA,26)*100</f>
        <v>0.45999999999999996</v>
      </c>
      <c r="F138" s="144">
        <f>VLOOKUP($A138,'Data shares'!$C:$FA,24)</f>
        <v>55.35</v>
      </c>
      <c r="G138" s="144">
        <f>VLOOKUP($A138,'Data shares'!$C:$FA,25)</f>
        <v>5.6</v>
      </c>
    </row>
    <row r="139" spans="1:7" x14ac:dyDescent="0.25">
      <c r="A139" s="101" t="str">
        <f>'Data shares'!C135</f>
        <v>MOTHERSON</v>
      </c>
      <c r="B139" s="144">
        <f>VLOOKUP($A139,'Data shares'!$C:$FA,7)</f>
        <v>107.27</v>
      </c>
      <c r="C139" s="144">
        <f>VLOOKUP($A139,'Data shares'!$C:$FA,3)</f>
        <v>107.65</v>
      </c>
      <c r="D139" s="144">
        <f>VLOOKUP($A139,'Data shares'!$C:$FA,23)</f>
        <v>0.38</v>
      </c>
      <c r="E139" s="145">
        <f>VLOOKUP($A139,'Data shares'!$C:$FA,26)*100</f>
        <v>0.35000000000000003</v>
      </c>
      <c r="F139" s="144">
        <f>VLOOKUP($A139,'Data shares'!$C:$FA,24)</f>
        <v>0.44</v>
      </c>
      <c r="G139" s="144">
        <f>VLOOKUP($A139,'Data shares'!$C:$FA,25)</f>
        <v>-0.06</v>
      </c>
    </row>
    <row r="140" spans="1:7" x14ac:dyDescent="0.25">
      <c r="A140" s="101" t="str">
        <f>'Data shares'!C136</f>
        <v>MPHASIS</v>
      </c>
      <c r="B140" s="144">
        <f>VLOOKUP($A140,'Data shares'!$C:$FA,7)</f>
        <v>2783.6</v>
      </c>
      <c r="C140" s="144">
        <f>VLOOKUP($A140,'Data shares'!$C:$FA,3)</f>
        <v>2792.7</v>
      </c>
      <c r="D140" s="144">
        <f>VLOOKUP($A140,'Data shares'!$C:$FA,23)</f>
        <v>9.1</v>
      </c>
      <c r="E140" s="145">
        <f>VLOOKUP($A140,'Data shares'!$C:$FA,26)*100</f>
        <v>0.33</v>
      </c>
      <c r="F140" s="144">
        <f>VLOOKUP($A140,'Data shares'!$C:$FA,24)</f>
        <v>12</v>
      </c>
      <c r="G140" s="144">
        <f>VLOOKUP($A140,'Data shares'!$C:$FA,25)</f>
        <v>-2.9</v>
      </c>
    </row>
    <row r="141" spans="1:7" x14ac:dyDescent="0.25">
      <c r="A141" s="101" t="str">
        <f>'Data shares'!C137</f>
        <v>MUTHOOTFIN</v>
      </c>
      <c r="B141" s="144">
        <f>VLOOKUP($A141,'Data shares'!$C:$FA,7)</f>
        <v>3268.5</v>
      </c>
      <c r="C141" s="144">
        <f>VLOOKUP($A141,'Data shares'!$C:$FA,3)</f>
        <v>3275.2</v>
      </c>
      <c r="D141" s="144">
        <f>VLOOKUP($A141,'Data shares'!$C:$FA,23)</f>
        <v>6.7</v>
      </c>
      <c r="E141" s="145">
        <f>VLOOKUP($A141,'Data shares'!$C:$FA,26)*100</f>
        <v>0.2</v>
      </c>
      <c r="F141" s="144">
        <f>VLOOKUP($A141,'Data shares'!$C:$FA,24)</f>
        <v>11.9</v>
      </c>
      <c r="G141" s="144">
        <f>VLOOKUP($A141,'Data shares'!$C:$FA,25)</f>
        <v>-5.2</v>
      </c>
    </row>
    <row r="142" spans="1:7" x14ac:dyDescent="0.25">
      <c r="A142" s="101" t="str">
        <f>'Data shares'!C138</f>
        <v>NATIONALUM</v>
      </c>
      <c r="B142" s="144">
        <f>VLOOKUP($A142,'Data shares'!$C:$FA,7)</f>
        <v>226.84</v>
      </c>
      <c r="C142" s="144">
        <f>VLOOKUP($A142,'Data shares'!$C:$FA,3)</f>
        <v>227.14</v>
      </c>
      <c r="D142" s="144">
        <f>VLOOKUP($A142,'Data shares'!$C:$FA,23)</f>
        <v>0.3</v>
      </c>
      <c r="E142" s="145">
        <f>VLOOKUP($A142,'Data shares'!$C:$FA,26)*100</f>
        <v>0.13</v>
      </c>
      <c r="F142" s="144">
        <f>VLOOKUP($A142,'Data shares'!$C:$FA,24)</f>
        <v>0.06</v>
      </c>
      <c r="G142" s="144">
        <f>VLOOKUP($A142,'Data shares'!$C:$FA,25)</f>
        <v>0.24</v>
      </c>
    </row>
    <row r="143" spans="1:7" x14ac:dyDescent="0.25">
      <c r="A143" s="101" t="str">
        <f>'Data shares'!C139</f>
        <v>NAUKRI</v>
      </c>
      <c r="B143" s="144">
        <f>VLOOKUP($A143,'Data shares'!$C:$FA,7)</f>
        <v>1348.5</v>
      </c>
      <c r="C143" s="144">
        <f>VLOOKUP($A143,'Data shares'!$C:$FA,3)</f>
        <v>1349.4</v>
      </c>
      <c r="D143" s="144">
        <f>VLOOKUP($A143,'Data shares'!$C:$FA,23)</f>
        <v>0.9</v>
      </c>
      <c r="E143" s="145">
        <f>VLOOKUP($A143,'Data shares'!$C:$FA,26)*100</f>
        <v>6.9999999999999993E-2</v>
      </c>
      <c r="F143" s="144">
        <f>VLOOKUP($A143,'Data shares'!$C:$FA,24)</f>
        <v>2.8</v>
      </c>
      <c r="G143" s="144">
        <f>VLOOKUP($A143,'Data shares'!$C:$FA,25)</f>
        <v>-1.9</v>
      </c>
    </row>
    <row r="144" spans="1:7" x14ac:dyDescent="0.25">
      <c r="A144" s="101" t="str">
        <f>'Data shares'!C140</f>
        <v>NBCC</v>
      </c>
      <c r="B144" s="144">
        <f>VLOOKUP($A144,'Data shares'!$C:$FA,7)</f>
        <v>112.36</v>
      </c>
      <c r="C144" s="144">
        <f>VLOOKUP($A144,'Data shares'!$C:$FA,3)</f>
        <v>112.76</v>
      </c>
      <c r="D144" s="144">
        <f>VLOOKUP($A144,'Data shares'!$C:$FA,23)</f>
        <v>0.4</v>
      </c>
      <c r="E144" s="145">
        <f>VLOOKUP($A144,'Data shares'!$C:$FA,26)*100</f>
        <v>0.36</v>
      </c>
      <c r="F144" s="144">
        <f>VLOOKUP($A144,'Data shares'!$C:$FA,24)</f>
        <v>0.44</v>
      </c>
      <c r="G144" s="144">
        <f>VLOOKUP($A144,'Data shares'!$C:$FA,25)</f>
        <v>-0.04</v>
      </c>
    </row>
    <row r="145" spans="1:7" x14ac:dyDescent="0.25">
      <c r="A145" s="101" t="str">
        <f>'Data shares'!C141</f>
        <v>NCC</v>
      </c>
      <c r="B145" s="144">
        <f>VLOOKUP($A145,'Data shares'!$C:$FA,7)</f>
        <v>209.78</v>
      </c>
      <c r="C145" s="144">
        <f>VLOOKUP($A145,'Data shares'!$C:$FA,3)</f>
        <v>210.62</v>
      </c>
      <c r="D145" s="144">
        <f>VLOOKUP($A145,'Data shares'!$C:$FA,23)</f>
        <v>0.84</v>
      </c>
      <c r="E145" s="145">
        <f>VLOOKUP($A145,'Data shares'!$C:$FA,26)*100</f>
        <v>0.4</v>
      </c>
      <c r="F145" s="144">
        <f>VLOOKUP($A145,'Data shares'!$C:$FA,24)</f>
        <v>0.97</v>
      </c>
      <c r="G145" s="144">
        <f>VLOOKUP($A145,'Data shares'!$C:$FA,25)</f>
        <v>-0.13</v>
      </c>
    </row>
    <row r="146" spans="1:7" x14ac:dyDescent="0.25">
      <c r="A146" s="101" t="str">
        <f>'Data shares'!C142</f>
        <v>NESTLEIND</v>
      </c>
      <c r="B146" s="144">
        <f>VLOOKUP($A146,'Data shares'!$C:$FA,7)</f>
        <v>1276.5999999999999</v>
      </c>
      <c r="C146" s="144">
        <f>VLOOKUP($A146,'Data shares'!$C:$FA,3)</f>
        <v>1282</v>
      </c>
      <c r="D146" s="144">
        <f>VLOOKUP($A146,'Data shares'!$C:$FA,23)</f>
        <v>5.4</v>
      </c>
      <c r="E146" s="145">
        <f>VLOOKUP($A146,'Data shares'!$C:$FA,26)*100</f>
        <v>0.42</v>
      </c>
      <c r="F146" s="144">
        <f>VLOOKUP($A146,'Data shares'!$C:$FA,24)</f>
        <v>5.2</v>
      </c>
      <c r="G146" s="144">
        <f>VLOOKUP($A146,'Data shares'!$C:$FA,25)</f>
        <v>0.2</v>
      </c>
    </row>
    <row r="147" spans="1:7" x14ac:dyDescent="0.25">
      <c r="A147" s="101" t="str">
        <f>'Data shares'!C143</f>
        <v>NHPC</v>
      </c>
      <c r="B147" s="144">
        <f>VLOOKUP($A147,'Data shares'!$C:$FA,7)</f>
        <v>86.95</v>
      </c>
      <c r="C147" s="144">
        <f>VLOOKUP($A147,'Data shares'!$C:$FA,3)</f>
        <v>87.19</v>
      </c>
      <c r="D147" s="144">
        <f>VLOOKUP($A147,'Data shares'!$C:$FA,23)</f>
        <v>0.24</v>
      </c>
      <c r="E147" s="145">
        <f>VLOOKUP($A147,'Data shares'!$C:$FA,26)*100</f>
        <v>0.27999999999999997</v>
      </c>
      <c r="F147" s="144">
        <f>VLOOKUP($A147,'Data shares'!$C:$FA,24)</f>
        <v>0.31</v>
      </c>
      <c r="G147" s="144">
        <f>VLOOKUP($A147,'Data shares'!$C:$FA,25)</f>
        <v>-7.0000000000000007E-2</v>
      </c>
    </row>
    <row r="148" spans="1:7" x14ac:dyDescent="0.25">
      <c r="A148" s="101" t="str">
        <f>'Data shares'!C144</f>
        <v>NIFTY</v>
      </c>
      <c r="B148" s="144">
        <f>VLOOKUP($A148,'Data shares'!$C:$FA,7)</f>
        <v>25585.3</v>
      </c>
      <c r="C148" s="144">
        <f>VLOOKUP($A148,'Data shares'!$C:$FA,3)</f>
        <v>25656.1</v>
      </c>
      <c r="D148" s="144">
        <f>VLOOKUP($A148,'Data shares'!$C:$FA,23)</f>
        <v>70.8</v>
      </c>
      <c r="E148" s="145">
        <f>VLOOKUP($A148,'Data shares'!$C:$FA,26)*100</f>
        <v>0.27999999999999997</v>
      </c>
      <c r="F148" s="144">
        <f>VLOOKUP($A148,'Data shares'!$C:$FA,24)</f>
        <v>101.25</v>
      </c>
      <c r="G148" s="144">
        <f>VLOOKUP($A148,'Data shares'!$C:$FA,25)</f>
        <v>-30.45</v>
      </c>
    </row>
    <row r="149" spans="1:7" x14ac:dyDescent="0.25">
      <c r="A149" s="101" t="str">
        <f>'Data shares'!C145</f>
        <v>NIFTYNXT50</v>
      </c>
      <c r="B149" s="144">
        <f>VLOOKUP($A149,'Data shares'!$C:$FA,7)</f>
        <v>69453.2</v>
      </c>
      <c r="C149" s="144">
        <f>VLOOKUP($A149,'Data shares'!$C:$FA,3)</f>
        <v>69583.8</v>
      </c>
      <c r="D149" s="144">
        <f>VLOOKUP($A149,'Data shares'!$C:$FA,23)</f>
        <v>130.6</v>
      </c>
      <c r="E149" s="145">
        <f>VLOOKUP($A149,'Data shares'!$C:$FA,26)*100</f>
        <v>0.19</v>
      </c>
      <c r="F149" s="144">
        <f>VLOOKUP($A149,'Data shares'!$C:$FA,24)</f>
        <v>167.85</v>
      </c>
      <c r="G149" s="144">
        <f>VLOOKUP($A149,'Data shares'!$C:$FA,25)</f>
        <v>-37.25</v>
      </c>
    </row>
    <row r="150" spans="1:7" x14ac:dyDescent="0.25">
      <c r="A150" s="101" t="str">
        <f>'Data shares'!C146</f>
        <v>NMDC</v>
      </c>
      <c r="B150" s="144">
        <f>VLOOKUP($A150,'Data shares'!$C:$FA,7)</f>
        <v>75.88</v>
      </c>
      <c r="C150" s="144">
        <f>VLOOKUP($A150,'Data shares'!$C:$FA,3)</f>
        <v>76.03</v>
      </c>
      <c r="D150" s="144">
        <f>VLOOKUP($A150,'Data shares'!$C:$FA,23)</f>
        <v>0.15</v>
      </c>
      <c r="E150" s="145">
        <f>VLOOKUP($A150,'Data shares'!$C:$FA,26)*100</f>
        <v>0.2</v>
      </c>
      <c r="F150" s="144">
        <f>VLOOKUP($A150,'Data shares'!$C:$FA,24)</f>
        <v>0.1</v>
      </c>
      <c r="G150" s="144">
        <f>VLOOKUP($A150,'Data shares'!$C:$FA,25)</f>
        <v>0.05</v>
      </c>
    </row>
    <row r="151" spans="1:7" x14ac:dyDescent="0.25">
      <c r="A151" s="101" t="str">
        <f>'Data shares'!C147</f>
        <v>NTPC</v>
      </c>
      <c r="B151" s="144">
        <f>VLOOKUP($A151,'Data shares'!$C:$FA,7)</f>
        <v>341.5</v>
      </c>
      <c r="C151" s="144">
        <f>VLOOKUP($A151,'Data shares'!$C:$FA,3)</f>
        <v>342.5</v>
      </c>
      <c r="D151" s="144">
        <f>VLOOKUP($A151,'Data shares'!$C:$FA,23)</f>
        <v>1</v>
      </c>
      <c r="E151" s="145">
        <f>VLOOKUP($A151,'Data shares'!$C:$FA,26)*100</f>
        <v>0.28999999999999998</v>
      </c>
      <c r="F151" s="144">
        <f>VLOOKUP($A151,'Data shares'!$C:$FA,24)</f>
        <v>1.35</v>
      </c>
      <c r="G151" s="144">
        <f>VLOOKUP($A151,'Data shares'!$C:$FA,25)</f>
        <v>-0.35</v>
      </c>
    </row>
    <row r="152" spans="1:7" x14ac:dyDescent="0.25">
      <c r="A152" s="101" t="str">
        <f>'Data shares'!C148</f>
        <v>NUVAMA</v>
      </c>
      <c r="B152" s="144">
        <f>VLOOKUP($A152,'Data shares'!$C:$FA,7)</f>
        <v>7225.5</v>
      </c>
      <c r="C152" s="144">
        <f>VLOOKUP($A152,'Data shares'!$C:$FA,3)</f>
        <v>7250.5</v>
      </c>
      <c r="D152" s="144">
        <f>VLOOKUP($A152,'Data shares'!$C:$FA,23)</f>
        <v>25</v>
      </c>
      <c r="E152" s="145">
        <f>VLOOKUP($A152,'Data shares'!$C:$FA,26)*100</f>
        <v>0.35000000000000003</v>
      </c>
      <c r="F152" s="144">
        <f>VLOOKUP($A152,'Data shares'!$C:$FA,24)</f>
        <v>34.5</v>
      </c>
      <c r="G152" s="144">
        <f>VLOOKUP($A152,'Data shares'!$C:$FA,25)</f>
        <v>-9.5</v>
      </c>
    </row>
    <row r="153" spans="1:7" x14ac:dyDescent="0.25">
      <c r="A153" s="101" t="str">
        <f>'Data shares'!C149</f>
        <v>NYKAA</v>
      </c>
      <c r="B153" s="144">
        <f>VLOOKUP($A153,'Data shares'!$C:$FA,7)</f>
        <v>263.31</v>
      </c>
      <c r="C153" s="144">
        <f>VLOOKUP($A153,'Data shares'!$C:$FA,3)</f>
        <v>263.02</v>
      </c>
      <c r="D153" s="144">
        <f>VLOOKUP($A153,'Data shares'!$C:$FA,23)</f>
        <v>-0.28999999999999998</v>
      </c>
      <c r="E153" s="145">
        <f>VLOOKUP($A153,'Data shares'!$C:$FA,26)*100</f>
        <v>-0.11</v>
      </c>
      <c r="F153" s="144">
        <f>VLOOKUP($A153,'Data shares'!$C:$FA,24)</f>
        <v>0.69</v>
      </c>
      <c r="G153" s="144">
        <f>VLOOKUP($A153,'Data shares'!$C:$FA,25)</f>
        <v>-0.98</v>
      </c>
    </row>
    <row r="154" spans="1:7" x14ac:dyDescent="0.25">
      <c r="A154" s="101" t="str">
        <f>'Data shares'!C150</f>
        <v>OBEROIRLTY</v>
      </c>
      <c r="B154" s="144">
        <f>VLOOKUP($A154,'Data shares'!$C:$FA,7)</f>
        <v>1687.1</v>
      </c>
      <c r="C154" s="144">
        <f>VLOOKUP($A154,'Data shares'!$C:$FA,3)</f>
        <v>1693.2</v>
      </c>
      <c r="D154" s="144">
        <f>VLOOKUP($A154,'Data shares'!$C:$FA,23)</f>
        <v>6.1</v>
      </c>
      <c r="E154" s="145">
        <f>VLOOKUP($A154,'Data shares'!$C:$FA,26)*100</f>
        <v>0.36</v>
      </c>
      <c r="F154" s="144">
        <f>VLOOKUP($A154,'Data shares'!$C:$FA,24)</f>
        <v>7</v>
      </c>
      <c r="G154" s="144">
        <f>VLOOKUP($A154,'Data shares'!$C:$FA,25)</f>
        <v>-0.9</v>
      </c>
    </row>
    <row r="155" spans="1:7" x14ac:dyDescent="0.25">
      <c r="A155" s="101" t="str">
        <f>'Data shares'!C151</f>
        <v>OFSS</v>
      </c>
      <c r="B155" s="144">
        <f>VLOOKUP($A155,'Data shares'!$C:$FA,7)</f>
        <v>8796.5</v>
      </c>
      <c r="C155" s="144">
        <f>VLOOKUP($A155,'Data shares'!$C:$FA,3)</f>
        <v>8797.5</v>
      </c>
      <c r="D155" s="144">
        <f>VLOOKUP($A155,'Data shares'!$C:$FA,23)</f>
        <v>1</v>
      </c>
      <c r="E155" s="145">
        <f>VLOOKUP($A155,'Data shares'!$C:$FA,26)*100</f>
        <v>0.01</v>
      </c>
      <c r="F155" s="144">
        <f>VLOOKUP($A155,'Data shares'!$C:$FA,24)</f>
        <v>-32.5</v>
      </c>
      <c r="G155" s="144">
        <f>VLOOKUP($A155,'Data shares'!$C:$FA,25)</f>
        <v>33.5</v>
      </c>
    </row>
    <row r="156" spans="1:7" x14ac:dyDescent="0.25">
      <c r="A156" s="101" t="str">
        <f>'Data shares'!C152</f>
        <v>OIL</v>
      </c>
      <c r="B156" s="144">
        <f>VLOOKUP($A156,'Data shares'!$C:$FA,7)</f>
        <v>417.25</v>
      </c>
      <c r="C156" s="144">
        <f>VLOOKUP($A156,'Data shares'!$C:$FA,3)</f>
        <v>416.3</v>
      </c>
      <c r="D156" s="144">
        <f>VLOOKUP($A156,'Data shares'!$C:$FA,23)</f>
        <v>-0.95</v>
      </c>
      <c r="E156" s="145">
        <f>VLOOKUP($A156,'Data shares'!$C:$FA,26)*100</f>
        <v>-0.22999999999999998</v>
      </c>
      <c r="F156" s="144">
        <f>VLOOKUP($A156,'Data shares'!$C:$FA,24)</f>
        <v>-1.9</v>
      </c>
      <c r="G156" s="144">
        <f>VLOOKUP($A156,'Data shares'!$C:$FA,25)</f>
        <v>0.95</v>
      </c>
    </row>
    <row r="157" spans="1:7" x14ac:dyDescent="0.25">
      <c r="A157" s="101" t="str">
        <f>'Data shares'!C153</f>
        <v>ONGC</v>
      </c>
      <c r="B157" s="144">
        <f>VLOOKUP($A157,'Data shares'!$C:$FA,7)</f>
        <v>248.35</v>
      </c>
      <c r="C157" s="144">
        <f>VLOOKUP($A157,'Data shares'!$C:$FA,3)</f>
        <v>248.59</v>
      </c>
      <c r="D157" s="144">
        <f>VLOOKUP($A157,'Data shares'!$C:$FA,23)</f>
        <v>0.24</v>
      </c>
      <c r="E157" s="145">
        <f>VLOOKUP($A157,'Data shares'!$C:$FA,26)*100</f>
        <v>0.1</v>
      </c>
      <c r="F157" s="144">
        <f>VLOOKUP($A157,'Data shares'!$C:$FA,24)</f>
        <v>0.35</v>
      </c>
      <c r="G157" s="144">
        <f>VLOOKUP($A157,'Data shares'!$C:$FA,25)</f>
        <v>-0.11</v>
      </c>
    </row>
    <row r="158" spans="1:7" x14ac:dyDescent="0.25">
      <c r="A158" s="101" t="str">
        <f>'Data shares'!C154</f>
        <v>PAGEIND</v>
      </c>
      <c r="B158" s="144">
        <f>VLOOKUP($A158,'Data shares'!$C:$FA,7)</f>
        <v>41020</v>
      </c>
      <c r="C158" s="144">
        <f>VLOOKUP($A158,'Data shares'!$C:$FA,3)</f>
        <v>41180</v>
      </c>
      <c r="D158" s="144">
        <f>VLOOKUP($A158,'Data shares'!$C:$FA,23)</f>
        <v>160</v>
      </c>
      <c r="E158" s="145">
        <f>VLOOKUP($A158,'Data shares'!$C:$FA,26)*100</f>
        <v>0.38999999999999996</v>
      </c>
      <c r="F158" s="144">
        <f>VLOOKUP($A158,'Data shares'!$C:$FA,24)</f>
        <v>95</v>
      </c>
      <c r="G158" s="144">
        <f>VLOOKUP($A158,'Data shares'!$C:$FA,25)</f>
        <v>65</v>
      </c>
    </row>
    <row r="159" spans="1:7" x14ac:dyDescent="0.25">
      <c r="A159" s="101" t="str">
        <f>'Data shares'!C155</f>
        <v>PATANJALI</v>
      </c>
      <c r="B159" s="144">
        <f>VLOOKUP($A159,'Data shares'!$C:$FA,7)</f>
        <v>589.85</v>
      </c>
      <c r="C159" s="144">
        <f>VLOOKUP($A159,'Data shares'!$C:$FA,3)</f>
        <v>591.85</v>
      </c>
      <c r="D159" s="144">
        <f>VLOOKUP($A159,'Data shares'!$C:$FA,23)</f>
        <v>2</v>
      </c>
      <c r="E159" s="145">
        <f>VLOOKUP($A159,'Data shares'!$C:$FA,26)*100</f>
        <v>0.33999999999999997</v>
      </c>
      <c r="F159" s="144">
        <f>VLOOKUP($A159,'Data shares'!$C:$FA,24)</f>
        <v>2.25</v>
      </c>
      <c r="G159" s="144">
        <f>VLOOKUP($A159,'Data shares'!$C:$FA,25)</f>
        <v>-0.25</v>
      </c>
    </row>
    <row r="160" spans="1:7" x14ac:dyDescent="0.25">
      <c r="A160" s="101" t="str">
        <f>'Data shares'!C156</f>
        <v>PAYTM</v>
      </c>
      <c r="B160" s="144">
        <f>VLOOKUP($A160,'Data shares'!$C:$FA,7)</f>
        <v>1274</v>
      </c>
      <c r="C160" s="144">
        <f>VLOOKUP($A160,'Data shares'!$C:$FA,3)</f>
        <v>1274.9000000000001</v>
      </c>
      <c r="D160" s="144">
        <f>VLOOKUP($A160,'Data shares'!$C:$FA,23)</f>
        <v>0.9</v>
      </c>
      <c r="E160" s="145">
        <f>VLOOKUP($A160,'Data shares'!$C:$FA,26)*100</f>
        <v>6.9999999999999993E-2</v>
      </c>
      <c r="F160" s="144">
        <f>VLOOKUP($A160,'Data shares'!$C:$FA,24)</f>
        <v>1.9</v>
      </c>
      <c r="G160" s="144">
        <f>VLOOKUP($A160,'Data shares'!$C:$FA,25)</f>
        <v>-1</v>
      </c>
    </row>
    <row r="161" spans="1:7" x14ac:dyDescent="0.25">
      <c r="A161" s="101" t="str">
        <f>'Data shares'!C157</f>
        <v>PERSISTENT</v>
      </c>
      <c r="B161" s="144">
        <f>VLOOKUP($A161,'Data shares'!$C:$FA,7)</f>
        <v>5841.5</v>
      </c>
      <c r="C161" s="144">
        <f>VLOOKUP($A161,'Data shares'!$C:$FA,3)</f>
        <v>5845.2</v>
      </c>
      <c r="D161" s="144">
        <f>VLOOKUP($A161,'Data shares'!$C:$FA,23)</f>
        <v>3.7</v>
      </c>
      <c r="E161" s="145">
        <f>VLOOKUP($A161,'Data shares'!$C:$FA,26)*100</f>
        <v>0.06</v>
      </c>
      <c r="F161" s="144">
        <f>VLOOKUP($A161,'Data shares'!$C:$FA,24)</f>
        <v>16.2</v>
      </c>
      <c r="G161" s="144">
        <f>VLOOKUP($A161,'Data shares'!$C:$FA,25)</f>
        <v>-12.5</v>
      </c>
    </row>
    <row r="162" spans="1:7" x14ac:dyDescent="0.25">
      <c r="A162" s="101" t="str">
        <f>'Data shares'!C158</f>
        <v>PETRONET</v>
      </c>
      <c r="B162" s="144">
        <f>VLOOKUP($A162,'Data shares'!$C:$FA,7)</f>
        <v>278.75</v>
      </c>
      <c r="C162" s="144">
        <f>VLOOKUP($A162,'Data shares'!$C:$FA,3)</f>
        <v>279.45</v>
      </c>
      <c r="D162" s="144">
        <f>VLOOKUP($A162,'Data shares'!$C:$FA,23)</f>
        <v>0.7</v>
      </c>
      <c r="E162" s="145">
        <f>VLOOKUP($A162,'Data shares'!$C:$FA,26)*100</f>
        <v>0.25</v>
      </c>
      <c r="F162" s="144">
        <f>VLOOKUP($A162,'Data shares'!$C:$FA,24)</f>
        <v>1</v>
      </c>
      <c r="G162" s="144">
        <f>VLOOKUP($A162,'Data shares'!$C:$FA,25)</f>
        <v>-0.3</v>
      </c>
    </row>
    <row r="163" spans="1:7" x14ac:dyDescent="0.25">
      <c r="A163" s="101" t="str">
        <f>'Data shares'!C159</f>
        <v>PFC</v>
      </c>
      <c r="B163" s="144">
        <f>VLOOKUP($A163,'Data shares'!$C:$FA,7)</f>
        <v>401.55</v>
      </c>
      <c r="C163" s="144">
        <f>VLOOKUP($A163,'Data shares'!$C:$FA,3)</f>
        <v>402.3</v>
      </c>
      <c r="D163" s="144">
        <f>VLOOKUP($A163,'Data shares'!$C:$FA,23)</f>
        <v>0.75</v>
      </c>
      <c r="E163" s="145">
        <f>VLOOKUP($A163,'Data shares'!$C:$FA,26)*100</f>
        <v>0.19</v>
      </c>
      <c r="F163" s="144">
        <f>VLOOKUP($A163,'Data shares'!$C:$FA,24)</f>
        <v>1.9</v>
      </c>
      <c r="G163" s="144">
        <f>VLOOKUP($A163,'Data shares'!$C:$FA,25)</f>
        <v>-1.1499999999999999</v>
      </c>
    </row>
    <row r="164" spans="1:7" x14ac:dyDescent="0.25">
      <c r="A164" s="101" t="str">
        <f>'Data shares'!C160</f>
        <v>PGEL</v>
      </c>
      <c r="B164" s="144">
        <f>VLOOKUP($A164,'Data shares'!$C:$FA,7)</f>
        <v>568.85</v>
      </c>
      <c r="C164" s="144">
        <f>VLOOKUP($A164,'Data shares'!$C:$FA,3)</f>
        <v>569.70000000000005</v>
      </c>
      <c r="D164" s="144">
        <f>VLOOKUP($A164,'Data shares'!$C:$FA,23)</f>
        <v>0.85</v>
      </c>
      <c r="E164" s="145">
        <f>VLOOKUP($A164,'Data shares'!$C:$FA,26)*100</f>
        <v>0.15</v>
      </c>
      <c r="F164" s="144">
        <f>VLOOKUP($A164,'Data shares'!$C:$FA,24)</f>
        <v>0.8</v>
      </c>
      <c r="G164" s="144">
        <f>VLOOKUP($A164,'Data shares'!$C:$FA,25)</f>
        <v>0.05</v>
      </c>
    </row>
    <row r="165" spans="1:7" x14ac:dyDescent="0.25">
      <c r="A165" s="101" t="str">
        <f>'Data shares'!C161</f>
        <v>PHOENIXLTD</v>
      </c>
      <c r="B165" s="144">
        <f>VLOOKUP($A165,'Data shares'!$C:$FA,7)</f>
        <v>1694.9</v>
      </c>
      <c r="C165" s="144">
        <f>VLOOKUP($A165,'Data shares'!$C:$FA,3)</f>
        <v>1701.4</v>
      </c>
      <c r="D165" s="144">
        <f>VLOOKUP($A165,'Data shares'!$C:$FA,23)</f>
        <v>6.5</v>
      </c>
      <c r="E165" s="145">
        <f>VLOOKUP($A165,'Data shares'!$C:$FA,26)*100</f>
        <v>0.38</v>
      </c>
      <c r="F165" s="144">
        <f>VLOOKUP($A165,'Data shares'!$C:$FA,24)</f>
        <v>2.2999999999999998</v>
      </c>
      <c r="G165" s="144">
        <f>VLOOKUP($A165,'Data shares'!$C:$FA,25)</f>
        <v>4.2</v>
      </c>
    </row>
    <row r="166" spans="1:7" x14ac:dyDescent="0.25">
      <c r="A166" s="101" t="str">
        <f>'Data shares'!C162</f>
        <v>PIDILITIND</v>
      </c>
      <c r="B166" s="144">
        <f>VLOOKUP($A166,'Data shares'!$C:$FA,7)</f>
        <v>1523</v>
      </c>
      <c r="C166" s="144">
        <f>VLOOKUP($A166,'Data shares'!$C:$FA,3)</f>
        <v>1524.4</v>
      </c>
      <c r="D166" s="144">
        <f>VLOOKUP($A166,'Data shares'!$C:$FA,23)</f>
        <v>1.4</v>
      </c>
      <c r="E166" s="145">
        <f>VLOOKUP($A166,'Data shares'!$C:$FA,26)*100</f>
        <v>0.09</v>
      </c>
      <c r="F166" s="144">
        <f>VLOOKUP($A166,'Data shares'!$C:$FA,24)</f>
        <v>7</v>
      </c>
      <c r="G166" s="144">
        <f>VLOOKUP($A166,'Data shares'!$C:$FA,25)</f>
        <v>-5.6</v>
      </c>
    </row>
    <row r="167" spans="1:7" x14ac:dyDescent="0.25">
      <c r="A167" s="101" t="str">
        <f>'Data shares'!C163</f>
        <v>PIIND</v>
      </c>
      <c r="B167" s="144">
        <f>VLOOKUP($A167,'Data shares'!$C:$FA,7)</f>
        <v>3550.3</v>
      </c>
      <c r="C167" s="144">
        <f>VLOOKUP($A167,'Data shares'!$C:$FA,3)</f>
        <v>3564.2</v>
      </c>
      <c r="D167" s="144">
        <f>VLOOKUP($A167,'Data shares'!$C:$FA,23)</f>
        <v>13.9</v>
      </c>
      <c r="E167" s="145">
        <f>VLOOKUP($A167,'Data shares'!$C:$FA,26)*100</f>
        <v>0.38999999999999996</v>
      </c>
      <c r="F167" s="144">
        <f>VLOOKUP($A167,'Data shares'!$C:$FA,24)</f>
        <v>6.3</v>
      </c>
      <c r="G167" s="144">
        <f>VLOOKUP($A167,'Data shares'!$C:$FA,25)</f>
        <v>7.6</v>
      </c>
    </row>
    <row r="168" spans="1:7" s="175" customFormat="1" x14ac:dyDescent="0.25">
      <c r="A168" s="101" t="str">
        <f>'Data shares'!C164</f>
        <v>PNB</v>
      </c>
      <c r="B168" s="144">
        <f>VLOOKUP($A168,'Data shares'!$C:$FA,7)</f>
        <v>116.11</v>
      </c>
      <c r="C168" s="144">
        <f>VLOOKUP($A168,'Data shares'!$C:$FA,3)</f>
        <v>116.57</v>
      </c>
      <c r="D168" s="144">
        <f>VLOOKUP($A168,'Data shares'!$C:$FA,23)</f>
        <v>0.46</v>
      </c>
      <c r="E168" s="145">
        <f>VLOOKUP($A168,'Data shares'!$C:$FA,26)*100</f>
        <v>0.4</v>
      </c>
      <c r="F168" s="144">
        <f>VLOOKUP($A168,'Data shares'!$C:$FA,24)</f>
        <v>0.5</v>
      </c>
      <c r="G168" s="144">
        <f>VLOOKUP($A168,'Data shares'!$C:$FA,25)</f>
        <v>-0.04</v>
      </c>
    </row>
    <row r="169" spans="1:7" x14ac:dyDescent="0.25">
      <c r="A169" s="101" t="str">
        <f>'Data shares'!C165</f>
        <v>PNBHOUSING</v>
      </c>
      <c r="B169" s="144">
        <f>VLOOKUP($A169,'Data shares'!$C:$FA,7)</f>
        <v>843.4</v>
      </c>
      <c r="C169" s="144">
        <f>VLOOKUP($A169,'Data shares'!$C:$FA,3)</f>
        <v>845.25</v>
      </c>
      <c r="D169" s="144">
        <f>VLOOKUP($A169,'Data shares'!$C:$FA,23)</f>
        <v>1.85</v>
      </c>
      <c r="E169" s="145">
        <f>VLOOKUP($A169,'Data shares'!$C:$FA,26)*100</f>
        <v>0.22</v>
      </c>
      <c r="F169" s="144">
        <f>VLOOKUP($A169,'Data shares'!$C:$FA,24)</f>
        <v>3.55</v>
      </c>
      <c r="G169" s="144">
        <f>VLOOKUP($A169,'Data shares'!$C:$FA,25)</f>
        <v>-1.7</v>
      </c>
    </row>
    <row r="170" spans="1:7" x14ac:dyDescent="0.25">
      <c r="A170" s="101" t="str">
        <f>'Data shares'!C166</f>
        <v>POLICYBZR</v>
      </c>
      <c r="B170" s="144">
        <f>VLOOKUP($A170,'Data shares'!$C:$FA,7)</f>
        <v>1691</v>
      </c>
      <c r="C170" s="144">
        <f>VLOOKUP($A170,'Data shares'!$C:$FA,3)</f>
        <v>1697.3</v>
      </c>
      <c r="D170" s="144">
        <f>VLOOKUP($A170,'Data shares'!$C:$FA,23)</f>
        <v>6.3</v>
      </c>
      <c r="E170" s="145">
        <f>VLOOKUP($A170,'Data shares'!$C:$FA,26)*100</f>
        <v>0.37</v>
      </c>
      <c r="F170" s="144">
        <f>VLOOKUP($A170,'Data shares'!$C:$FA,24)</f>
        <v>7.1</v>
      </c>
      <c r="G170" s="144">
        <f>VLOOKUP($A170,'Data shares'!$C:$FA,25)</f>
        <v>-0.8</v>
      </c>
    </row>
    <row r="171" spans="1:7" x14ac:dyDescent="0.25">
      <c r="A171" s="101" t="str">
        <f>'Data shares'!C167</f>
        <v>POLYCAB</v>
      </c>
      <c r="B171" s="144">
        <f>VLOOKUP($A171,'Data shares'!$C:$FA,7)</f>
        <v>7578</v>
      </c>
      <c r="C171" s="144">
        <f>VLOOKUP($A171,'Data shares'!$C:$FA,3)</f>
        <v>7600</v>
      </c>
      <c r="D171" s="144">
        <f>VLOOKUP($A171,'Data shares'!$C:$FA,23)</f>
        <v>22</v>
      </c>
      <c r="E171" s="145">
        <f>VLOOKUP($A171,'Data shares'!$C:$FA,26)*100</f>
        <v>0.28999999999999998</v>
      </c>
      <c r="F171" s="144">
        <f>VLOOKUP($A171,'Data shares'!$C:$FA,24)</f>
        <v>23.5</v>
      </c>
      <c r="G171" s="144">
        <f>VLOOKUP($A171,'Data shares'!$C:$FA,25)</f>
        <v>-1.5</v>
      </c>
    </row>
    <row r="172" spans="1:7" x14ac:dyDescent="0.25">
      <c r="A172" s="101" t="str">
        <f>'Data shares'!C168</f>
        <v>POWERGRID</v>
      </c>
      <c r="B172" s="144">
        <f>VLOOKUP($A172,'Data shares'!$C:$FA,7)</f>
        <v>291.85000000000002</v>
      </c>
      <c r="C172" s="144">
        <f>VLOOKUP($A172,'Data shares'!$C:$FA,3)</f>
        <v>292.55</v>
      </c>
      <c r="D172" s="144">
        <f>VLOOKUP($A172,'Data shares'!$C:$FA,23)</f>
        <v>0.7</v>
      </c>
      <c r="E172" s="145">
        <f>VLOOKUP($A172,'Data shares'!$C:$FA,26)*100</f>
        <v>0.24</v>
      </c>
      <c r="F172" s="144">
        <f>VLOOKUP($A172,'Data shares'!$C:$FA,24)</f>
        <v>1.25</v>
      </c>
      <c r="G172" s="144">
        <f>VLOOKUP($A172,'Data shares'!$C:$FA,25)</f>
        <v>-0.55000000000000004</v>
      </c>
    </row>
    <row r="173" spans="1:7" x14ac:dyDescent="0.25">
      <c r="A173" s="101" t="str">
        <f>'Data shares'!C169</f>
        <v>POWERINDIA</v>
      </c>
      <c r="B173" s="144">
        <f>VLOOKUP($A173,'Data shares'!$C:$FA,7)</f>
        <v>17700</v>
      </c>
      <c r="C173" s="144">
        <f>VLOOKUP($A173,'Data shares'!$C:$FA,3)</f>
        <v>17762</v>
      </c>
      <c r="D173" s="144">
        <f>VLOOKUP($A173,'Data shares'!$C:$FA,23)</f>
        <v>62</v>
      </c>
      <c r="E173" s="145">
        <f>VLOOKUP($A173,'Data shares'!$C:$FA,26)*100</f>
        <v>0.35000000000000003</v>
      </c>
      <c r="F173" s="144">
        <f>VLOOKUP($A173,'Data shares'!$C:$FA,24)</f>
        <v>48</v>
      </c>
      <c r="G173" s="144">
        <f>VLOOKUP($A173,'Data shares'!$C:$FA,25)</f>
        <v>14</v>
      </c>
    </row>
    <row r="174" spans="1:7" x14ac:dyDescent="0.25">
      <c r="A174" s="101" t="str">
        <f>'Data shares'!C170</f>
        <v>PPLPHARMA</v>
      </c>
      <c r="B174" s="144">
        <f>VLOOKUP($A174,'Data shares'!$C:$FA,7)</f>
        <v>194.16</v>
      </c>
      <c r="C174" s="144">
        <f>VLOOKUP($A174,'Data shares'!$C:$FA,3)</f>
        <v>194.15</v>
      </c>
      <c r="D174" s="144">
        <f>VLOOKUP($A174,'Data shares'!$C:$FA,23)</f>
        <v>-0.01</v>
      </c>
      <c r="E174" s="145">
        <f>VLOOKUP($A174,'Data shares'!$C:$FA,26)*100</f>
        <v>-0.01</v>
      </c>
      <c r="F174" s="144">
        <f>VLOOKUP($A174,'Data shares'!$C:$FA,24)</f>
        <v>0.17</v>
      </c>
      <c r="G174" s="144">
        <f>VLOOKUP($A174,'Data shares'!$C:$FA,25)</f>
        <v>-0.18</v>
      </c>
    </row>
    <row r="175" spans="1:7" x14ac:dyDescent="0.25">
      <c r="A175" s="101" t="str">
        <f>'Data shares'!C171</f>
        <v>PRESTIGE</v>
      </c>
      <c r="B175" s="144">
        <f>VLOOKUP($A175,'Data shares'!$C:$FA,7)</f>
        <v>1696.9</v>
      </c>
      <c r="C175" s="144">
        <f>VLOOKUP($A175,'Data shares'!$C:$FA,3)</f>
        <v>1699.8</v>
      </c>
      <c r="D175" s="144">
        <f>VLOOKUP($A175,'Data shares'!$C:$FA,23)</f>
        <v>2.9</v>
      </c>
      <c r="E175" s="145">
        <f>VLOOKUP($A175,'Data shares'!$C:$FA,26)*100</f>
        <v>0.16999999999999998</v>
      </c>
      <c r="F175" s="144">
        <f>VLOOKUP($A175,'Data shares'!$C:$FA,24)</f>
        <v>8</v>
      </c>
      <c r="G175" s="144">
        <f>VLOOKUP($A175,'Data shares'!$C:$FA,25)</f>
        <v>-5.0999999999999996</v>
      </c>
    </row>
    <row r="176" spans="1:7" x14ac:dyDescent="0.25">
      <c r="A176" s="101" t="str">
        <f>'Data shares'!C172</f>
        <v>RBLBANK</v>
      </c>
      <c r="B176" s="144">
        <f>VLOOKUP($A176,'Data shares'!$C:$FA,7)</f>
        <v>306.75</v>
      </c>
      <c r="C176" s="144">
        <f>VLOOKUP($A176,'Data shares'!$C:$FA,3)</f>
        <v>307.89999999999998</v>
      </c>
      <c r="D176" s="144">
        <f>VLOOKUP($A176,'Data shares'!$C:$FA,23)</f>
        <v>1.1499999999999999</v>
      </c>
      <c r="E176" s="145">
        <f>VLOOKUP($A176,'Data shares'!$C:$FA,26)*100</f>
        <v>0.37</v>
      </c>
      <c r="F176" s="144">
        <f>VLOOKUP($A176,'Data shares'!$C:$FA,24)</f>
        <v>1.3</v>
      </c>
      <c r="G176" s="144">
        <f>VLOOKUP($A176,'Data shares'!$C:$FA,25)</f>
        <v>-0.15</v>
      </c>
    </row>
    <row r="177" spans="1:7" x14ac:dyDescent="0.25">
      <c r="A177" s="101" t="str">
        <f>'Data shares'!C173</f>
        <v>RECLTD</v>
      </c>
      <c r="B177" s="144">
        <f>VLOOKUP($A177,'Data shares'!$C:$FA,7)</f>
        <v>377.5</v>
      </c>
      <c r="C177" s="144">
        <f>VLOOKUP($A177,'Data shares'!$C:$FA,3)</f>
        <v>375.45</v>
      </c>
      <c r="D177" s="144">
        <f>VLOOKUP($A177,'Data shares'!$C:$FA,23)</f>
        <v>-2.0499999999999998</v>
      </c>
      <c r="E177" s="145">
        <f>VLOOKUP($A177,'Data shares'!$C:$FA,26)*100</f>
        <v>-0.54</v>
      </c>
      <c r="F177" s="144">
        <f>VLOOKUP($A177,'Data shares'!$C:$FA,24)</f>
        <v>-1</v>
      </c>
      <c r="G177" s="144">
        <f>VLOOKUP($A177,'Data shares'!$C:$FA,25)</f>
        <v>-1.05</v>
      </c>
    </row>
    <row r="178" spans="1:7" x14ac:dyDescent="0.25">
      <c r="A178" s="101" t="str">
        <f>'Data shares'!C174</f>
        <v>RELIANCE</v>
      </c>
      <c r="B178" s="144">
        <f>VLOOKUP($A178,'Data shares'!$C:$FA,7)</f>
        <v>1398.3</v>
      </c>
      <c r="C178" s="144">
        <f>VLOOKUP($A178,'Data shares'!$C:$FA,3)</f>
        <v>1399.8</v>
      </c>
      <c r="D178" s="144">
        <f>VLOOKUP($A178,'Data shares'!$C:$FA,23)</f>
        <v>1.5</v>
      </c>
      <c r="E178" s="145">
        <f>VLOOKUP($A178,'Data shares'!$C:$FA,26)*100</f>
        <v>0.11</v>
      </c>
      <c r="F178" s="144">
        <f>VLOOKUP($A178,'Data shares'!$C:$FA,24)</f>
        <v>5.2</v>
      </c>
      <c r="G178" s="144">
        <f>VLOOKUP($A178,'Data shares'!$C:$FA,25)</f>
        <v>-3.7</v>
      </c>
    </row>
    <row r="179" spans="1:7" x14ac:dyDescent="0.25">
      <c r="A179" s="101" t="str">
        <f>'Data shares'!C175</f>
        <v>RVNL</v>
      </c>
      <c r="B179" s="144">
        <f>VLOOKUP($A179,'Data shares'!$C:$FA,7)</f>
        <v>336.05</v>
      </c>
      <c r="C179" s="144">
        <f>VLOOKUP($A179,'Data shares'!$C:$FA,3)</f>
        <v>337</v>
      </c>
      <c r="D179" s="144">
        <f>VLOOKUP($A179,'Data shares'!$C:$FA,23)</f>
        <v>0.95</v>
      </c>
      <c r="E179" s="145">
        <f>VLOOKUP($A179,'Data shares'!$C:$FA,26)*100</f>
        <v>0.27999999999999997</v>
      </c>
      <c r="F179" s="144">
        <f>VLOOKUP($A179,'Data shares'!$C:$FA,24)</f>
        <v>0.6</v>
      </c>
      <c r="G179" s="144">
        <f>VLOOKUP($A179,'Data shares'!$C:$FA,25)</f>
        <v>0.35</v>
      </c>
    </row>
    <row r="180" spans="1:7" x14ac:dyDescent="0.25">
      <c r="A180" s="101" t="str">
        <f>'Data shares'!C176</f>
        <v>SAIL</v>
      </c>
      <c r="B180" s="144">
        <f>VLOOKUP($A180,'Data shares'!$C:$FA,7)</f>
        <v>131.38</v>
      </c>
      <c r="C180" s="144">
        <f>VLOOKUP($A180,'Data shares'!$C:$FA,3)</f>
        <v>131.69</v>
      </c>
      <c r="D180" s="144">
        <f>VLOOKUP($A180,'Data shares'!$C:$FA,23)</f>
        <v>0.31</v>
      </c>
      <c r="E180" s="145">
        <f>VLOOKUP($A180,'Data shares'!$C:$FA,26)*100</f>
        <v>0.24</v>
      </c>
      <c r="F180" s="144">
        <f>VLOOKUP($A180,'Data shares'!$C:$FA,24)</f>
        <v>0.42</v>
      </c>
      <c r="G180" s="144">
        <f>VLOOKUP($A180,'Data shares'!$C:$FA,25)</f>
        <v>-0.11</v>
      </c>
    </row>
    <row r="181" spans="1:7" x14ac:dyDescent="0.25">
      <c r="A181" s="101" t="str">
        <f>'Data shares'!C177</f>
        <v>SAMMAANCAP</v>
      </c>
      <c r="B181" s="144">
        <f>VLOOKUP($A181,'Data shares'!$C:$FA,7)</f>
        <v>166.89</v>
      </c>
      <c r="C181" s="144">
        <f>VLOOKUP($A181,'Data shares'!$C:$FA,3)</f>
        <v>166.97</v>
      </c>
      <c r="D181" s="144">
        <f>VLOOKUP($A181,'Data shares'!$C:$FA,23)</f>
        <v>0.08</v>
      </c>
      <c r="E181" s="145">
        <f>VLOOKUP($A181,'Data shares'!$C:$FA,26)*100</f>
        <v>0.05</v>
      </c>
      <c r="F181" s="144">
        <f>VLOOKUP($A181,'Data shares'!$C:$FA,24)</f>
        <v>0.16</v>
      </c>
      <c r="G181" s="144">
        <f>VLOOKUP($A181,'Data shares'!$C:$FA,25)</f>
        <v>-0.08</v>
      </c>
    </row>
    <row r="182" spans="1:7" x14ac:dyDescent="0.25">
      <c r="A182" s="101" t="str">
        <f>'Data shares'!C178</f>
        <v>SBICARD</v>
      </c>
      <c r="B182" s="144">
        <f>VLOOKUP($A182,'Data shares'!$C:$FA,7)</f>
        <v>934.85</v>
      </c>
      <c r="C182" s="144">
        <f>VLOOKUP($A182,'Data shares'!$C:$FA,3)</f>
        <v>932.8</v>
      </c>
      <c r="D182" s="144">
        <f>VLOOKUP($A182,'Data shares'!$C:$FA,23)</f>
        <v>-2.0499999999999998</v>
      </c>
      <c r="E182" s="145">
        <f>VLOOKUP($A182,'Data shares'!$C:$FA,26)*100</f>
        <v>-0.22</v>
      </c>
      <c r="F182" s="144">
        <f>VLOOKUP($A182,'Data shares'!$C:$FA,24)</f>
        <v>-4.5</v>
      </c>
      <c r="G182" s="144">
        <f>VLOOKUP($A182,'Data shares'!$C:$FA,25)</f>
        <v>2.4500000000000002</v>
      </c>
    </row>
    <row r="183" spans="1:7" x14ac:dyDescent="0.25">
      <c r="A183" s="101" t="str">
        <f>'Data shares'!C179</f>
        <v>SBILIFE</v>
      </c>
      <c r="B183" s="144">
        <f>VLOOKUP($A183,'Data shares'!$C:$FA,7)</f>
        <v>1835.7</v>
      </c>
      <c r="C183" s="144">
        <f>VLOOKUP($A183,'Data shares'!$C:$FA,3)</f>
        <v>1838.4</v>
      </c>
      <c r="D183" s="144">
        <f>VLOOKUP($A183,'Data shares'!$C:$FA,23)</f>
        <v>2.7</v>
      </c>
      <c r="E183" s="145">
        <f>VLOOKUP($A183,'Data shares'!$C:$FA,26)*100</f>
        <v>0.15</v>
      </c>
      <c r="F183" s="144">
        <f>VLOOKUP($A183,'Data shares'!$C:$FA,24)</f>
        <v>6.6</v>
      </c>
      <c r="G183" s="144">
        <f>VLOOKUP($A183,'Data shares'!$C:$FA,25)</f>
        <v>-3.9</v>
      </c>
    </row>
    <row r="184" spans="1:7" x14ac:dyDescent="0.25">
      <c r="A184" s="101" t="str">
        <f>'Data shares'!C180</f>
        <v>SBIN</v>
      </c>
      <c r="B184" s="144">
        <f>VLOOKUP($A184,'Data shares'!$C:$FA,7)</f>
        <v>886.95</v>
      </c>
      <c r="C184" s="144">
        <f>VLOOKUP($A184,'Data shares'!$C:$FA,3)</f>
        <v>888.3</v>
      </c>
      <c r="D184" s="144">
        <f>VLOOKUP($A184,'Data shares'!$C:$FA,23)</f>
        <v>1.35</v>
      </c>
      <c r="E184" s="145">
        <f>VLOOKUP($A184,'Data shares'!$C:$FA,26)*100</f>
        <v>0.15</v>
      </c>
      <c r="F184" s="144">
        <f>VLOOKUP($A184,'Data shares'!$C:$FA,24)</f>
        <v>1.3</v>
      </c>
      <c r="G184" s="144">
        <f>VLOOKUP($A184,'Data shares'!$C:$FA,25)</f>
        <v>0.05</v>
      </c>
    </row>
    <row r="185" spans="1:7" x14ac:dyDescent="0.25">
      <c r="A185" s="101" t="str">
        <f>'Data shares'!C181</f>
        <v>SHREECEM</v>
      </c>
      <c r="B185" s="144">
        <f>VLOOKUP($A185,'Data shares'!$C:$FA,7)</f>
        <v>30010</v>
      </c>
      <c r="C185" s="144">
        <f>VLOOKUP($A185,'Data shares'!$C:$FA,3)</f>
        <v>30120</v>
      </c>
      <c r="D185" s="144">
        <f>VLOOKUP($A185,'Data shares'!$C:$FA,23)</f>
        <v>110</v>
      </c>
      <c r="E185" s="145">
        <f>VLOOKUP($A185,'Data shares'!$C:$FA,26)*100</f>
        <v>0.37</v>
      </c>
      <c r="F185" s="144">
        <f>VLOOKUP($A185,'Data shares'!$C:$FA,24)</f>
        <v>100</v>
      </c>
      <c r="G185" s="144">
        <f>VLOOKUP($A185,'Data shares'!$C:$FA,25)</f>
        <v>10</v>
      </c>
    </row>
    <row r="186" spans="1:7" x14ac:dyDescent="0.25">
      <c r="A186" s="101" t="str">
        <f>'Data shares'!C182</f>
        <v>SHRIRAMFIN</v>
      </c>
      <c r="B186" s="144">
        <f>VLOOKUP($A186,'Data shares'!$C:$FA,7)</f>
        <v>672.5</v>
      </c>
      <c r="C186" s="144">
        <f>VLOOKUP($A186,'Data shares'!$C:$FA,3)</f>
        <v>673.45</v>
      </c>
      <c r="D186" s="144">
        <f>VLOOKUP($A186,'Data shares'!$C:$FA,23)</f>
        <v>0.95</v>
      </c>
      <c r="E186" s="145">
        <f>VLOOKUP($A186,'Data shares'!$C:$FA,26)*100</f>
        <v>0.13999999999999999</v>
      </c>
      <c r="F186" s="144">
        <f>VLOOKUP($A186,'Data shares'!$C:$FA,24)</f>
        <v>2.5</v>
      </c>
      <c r="G186" s="144">
        <f>VLOOKUP($A186,'Data shares'!$C:$FA,25)</f>
        <v>-1.55</v>
      </c>
    </row>
    <row r="187" spans="1:7" x14ac:dyDescent="0.25">
      <c r="A187" s="101" t="str">
        <f>'Data shares'!C183</f>
        <v>SIEMENS</v>
      </c>
      <c r="B187" s="144">
        <f>VLOOKUP($A187,'Data shares'!$C:$FA,7)</f>
        <v>3119</v>
      </c>
      <c r="C187" s="144">
        <f>VLOOKUP($A187,'Data shares'!$C:$FA,3)</f>
        <v>3118.7</v>
      </c>
      <c r="D187" s="144">
        <f>VLOOKUP($A187,'Data shares'!$C:$FA,23)</f>
        <v>-0.3</v>
      </c>
      <c r="E187" s="145">
        <f>VLOOKUP($A187,'Data shares'!$C:$FA,26)*100</f>
        <v>-0.01</v>
      </c>
      <c r="F187" s="144">
        <f>VLOOKUP($A187,'Data shares'!$C:$FA,24)</f>
        <v>6</v>
      </c>
      <c r="G187" s="144">
        <f>VLOOKUP($A187,'Data shares'!$C:$FA,25)</f>
        <v>-6.3</v>
      </c>
    </row>
    <row r="188" spans="1:7" x14ac:dyDescent="0.25">
      <c r="A188" s="101" t="str">
        <f>'Data shares'!C184</f>
        <v>SOLARINDS</v>
      </c>
      <c r="B188" s="144">
        <f>VLOOKUP($A188,'Data shares'!$C:$FA,7)</f>
        <v>14035</v>
      </c>
      <c r="C188" s="144">
        <f>VLOOKUP($A188,'Data shares'!$C:$FA,3)</f>
        <v>14093</v>
      </c>
      <c r="D188" s="144">
        <f>VLOOKUP($A188,'Data shares'!$C:$FA,23)</f>
        <v>58</v>
      </c>
      <c r="E188" s="145">
        <f>VLOOKUP($A188,'Data shares'!$C:$FA,26)*100</f>
        <v>0.41000000000000003</v>
      </c>
      <c r="F188" s="144">
        <f>VLOOKUP($A188,'Data shares'!$C:$FA,24)</f>
        <v>59</v>
      </c>
      <c r="G188" s="144">
        <f>VLOOKUP($A188,'Data shares'!$C:$FA,25)</f>
        <v>-1</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shares'!C217</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25" activePane="bottomLeft" state="frozen"/>
      <selection pane="bottomLeft" activeCell="A32" sqref="A32"/>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50" t="s">
        <v>371</v>
      </c>
      <c r="C4" s="250"/>
      <c r="D4" s="250"/>
      <c r="E4" s="250"/>
      <c r="F4" s="250"/>
      <c r="G4" s="250"/>
    </row>
    <row r="5" spans="1:7" x14ac:dyDescent="0.25">
      <c r="A5" s="317"/>
      <c r="B5" s="315" t="s">
        <v>372</v>
      </c>
      <c r="C5" s="315"/>
      <c r="D5" s="315"/>
      <c r="E5" s="315" t="s">
        <v>373</v>
      </c>
      <c r="F5" s="315"/>
      <c r="G5" s="315"/>
    </row>
    <row r="6" spans="1:7" x14ac:dyDescent="0.25">
      <c r="A6" s="250"/>
      <c r="B6" s="2" t="s">
        <v>374</v>
      </c>
      <c r="C6" s="2" t="s">
        <v>375</v>
      </c>
      <c r="D6" s="2" t="s">
        <v>376</v>
      </c>
      <c r="E6" s="2" t="s">
        <v>377</v>
      </c>
      <c r="F6" s="2" t="s">
        <v>378</v>
      </c>
      <c r="G6" s="2" t="s">
        <v>379</v>
      </c>
    </row>
    <row r="7" spans="1:7" x14ac:dyDescent="0.25">
      <c r="A7" s="49" t="str">
        <f>'Data shares'!C2</f>
        <v>360ONE</v>
      </c>
      <c r="B7" s="50">
        <f>VLOOKUP($A7,'Data shares'!$C:$FM,102)</f>
        <v>37.200000000000003</v>
      </c>
      <c r="C7" s="50">
        <f>VLOOKUP($A7,'Data shares'!$C:$FM,110)</f>
        <v>37.43</v>
      </c>
      <c r="D7" s="50">
        <f>VLOOKUP($A7,'Data shares'!$C:$FM,114)</f>
        <v>36.630000000000003</v>
      </c>
      <c r="E7" s="50">
        <f>VLOOKUP($A7,'Data shares'!$C:$FM,106)</f>
        <v>46</v>
      </c>
      <c r="F7" s="50">
        <f>VLOOKUP($A7,'Data shares'!$C:$FM,108)</f>
        <v>-8.8000000000000007</v>
      </c>
      <c r="G7" s="50">
        <f t="shared" ref="G7:G38" si="0">B7/E7</f>
        <v>0.80869565217391315</v>
      </c>
    </row>
    <row r="8" spans="1:7" x14ac:dyDescent="0.25">
      <c r="A8" s="49" t="str">
        <f>'Data shares'!C3</f>
        <v>ABB</v>
      </c>
      <c r="B8" s="50">
        <f>VLOOKUP($A8,'Data shares'!$C:$FM,102)</f>
        <v>25.42</v>
      </c>
      <c r="C8" s="50">
        <f>VLOOKUP($A8,'Data shares'!$C:$FM,110)</f>
        <v>25.22</v>
      </c>
      <c r="D8" s="50">
        <f>VLOOKUP($A8,'Data shares'!$C:$FM,114)</f>
        <v>25.72</v>
      </c>
      <c r="E8" s="50">
        <f>VLOOKUP($A8,'Data shares'!$C:$FM,106)</f>
        <v>36.57</v>
      </c>
      <c r="F8" s="50">
        <f>VLOOKUP($A8,'Data shares'!$C:$FM,108)</f>
        <v>-11.15</v>
      </c>
      <c r="G8" s="50">
        <f t="shared" si="0"/>
        <v>0.69510527754990437</v>
      </c>
    </row>
    <row r="9" spans="1:7" x14ac:dyDescent="0.25">
      <c r="A9" s="49" t="str">
        <f>'Data shares'!C4</f>
        <v>ABCAPITAL</v>
      </c>
      <c r="B9" s="50">
        <f>VLOOKUP($A9,'Data shares'!$C:$FM,102)</f>
        <v>30.79</v>
      </c>
      <c r="C9" s="50">
        <f>VLOOKUP($A9,'Data shares'!$C:$FM,110)</f>
        <v>30.97</v>
      </c>
      <c r="D9" s="50">
        <f>VLOOKUP($A9,'Data shares'!$C:$FM,114)</f>
        <v>30.4</v>
      </c>
      <c r="E9" s="50">
        <f>VLOOKUP($A9,'Data shares'!$C:$FM,106)</f>
        <v>40.29</v>
      </c>
      <c r="F9" s="50">
        <f>VLOOKUP($A9,'Data shares'!$C:$FM,108)</f>
        <v>-9.5</v>
      </c>
      <c r="G9" s="50">
        <f t="shared" si="0"/>
        <v>0.76420948126085875</v>
      </c>
    </row>
    <row r="10" spans="1:7" x14ac:dyDescent="0.25">
      <c r="A10" s="49" t="str">
        <f>'Data shares'!C5</f>
        <v>ADANIENSOL</v>
      </c>
      <c r="B10" s="50">
        <f>VLOOKUP($A10,'Data shares'!$C:$FM,102)</f>
        <v>37.36</v>
      </c>
      <c r="C10" s="50">
        <f>VLOOKUP($A10,'Data shares'!$C:$FM,110)</f>
        <v>37.590000000000003</v>
      </c>
      <c r="D10" s="50">
        <f>VLOOKUP($A10,'Data shares'!$C:$FM,114)</f>
        <v>36.74</v>
      </c>
      <c r="E10" s="50">
        <f>VLOOKUP($A10,'Data shares'!$C:$FM,106)</f>
        <v>55.79</v>
      </c>
      <c r="F10" s="50">
        <f>VLOOKUP($A10,'Data shares'!$C:$FM,108)</f>
        <v>-18.43</v>
      </c>
      <c r="G10" s="50">
        <f t="shared" si="0"/>
        <v>0.66965405986735971</v>
      </c>
    </row>
    <row r="11" spans="1:7" x14ac:dyDescent="0.25">
      <c r="A11" s="49" t="str">
        <f>'Data shares'!C6</f>
        <v>ADANIENT</v>
      </c>
      <c r="B11" s="50">
        <f>VLOOKUP($A11,'Data shares'!$C:$FM,102)</f>
        <v>30.02</v>
      </c>
      <c r="C11" s="50">
        <f>VLOOKUP($A11,'Data shares'!$C:$FM,110)</f>
        <v>30</v>
      </c>
      <c r="D11" s="50">
        <f>VLOOKUP($A11,'Data shares'!$C:$FM,114)</f>
        <v>30.09</v>
      </c>
      <c r="E11" s="50">
        <f>VLOOKUP($A11,'Data shares'!$C:$FM,106)</f>
        <v>49.3</v>
      </c>
      <c r="F11" s="50">
        <f>VLOOKUP($A11,'Data shares'!$C:$FM,108)</f>
        <v>-19.28</v>
      </c>
      <c r="G11" s="50">
        <f t="shared" si="0"/>
        <v>0.60892494929006091</v>
      </c>
    </row>
    <row r="12" spans="1:7" x14ac:dyDescent="0.25">
      <c r="A12" s="49" t="str">
        <f>'Data shares'!C7</f>
        <v>ADANIGREEN</v>
      </c>
      <c r="B12" s="50">
        <f>VLOOKUP($A12,'Data shares'!$C:$FM,102)</f>
        <v>42.05</v>
      </c>
      <c r="C12" s="50">
        <f>VLOOKUP($A12,'Data shares'!$C:$FM,110)</f>
        <v>42.38</v>
      </c>
      <c r="D12" s="50">
        <f>VLOOKUP($A12,'Data shares'!$C:$FM,114)</f>
        <v>40.880000000000003</v>
      </c>
      <c r="E12" s="50">
        <f>VLOOKUP($A12,'Data shares'!$C:$FM,106)</f>
        <v>58.42</v>
      </c>
      <c r="F12" s="50">
        <f>VLOOKUP($A12,'Data shares'!$C:$FM,108)</f>
        <v>-16.37</v>
      </c>
      <c r="G12" s="50">
        <f t="shared" si="0"/>
        <v>0.71978774392331391</v>
      </c>
    </row>
    <row r="13" spans="1:7" x14ac:dyDescent="0.25">
      <c r="A13" s="49" t="str">
        <f>'Data shares'!C8</f>
        <v>ADANIPORTS</v>
      </c>
      <c r="B13" s="50">
        <f>VLOOKUP($A13,'Data shares'!$C:$FM,102)</f>
        <v>23.08</v>
      </c>
      <c r="C13" s="50">
        <f>VLOOKUP($A13,'Data shares'!$C:$FM,110)</f>
        <v>22.83</v>
      </c>
      <c r="D13" s="50">
        <f>VLOOKUP($A13,'Data shares'!$C:$FM,114)</f>
        <v>23.72</v>
      </c>
      <c r="E13" s="50">
        <f>VLOOKUP($A13,'Data shares'!$C:$FM,106)</f>
        <v>39.06</v>
      </c>
      <c r="F13" s="50">
        <f>VLOOKUP($A13,'Data shares'!$C:$FM,108)</f>
        <v>-15.98</v>
      </c>
      <c r="G13" s="50">
        <f t="shared" si="0"/>
        <v>0.59088581669226825</v>
      </c>
    </row>
    <row r="14" spans="1:7" x14ac:dyDescent="0.25">
      <c r="A14" s="49" t="str">
        <f>'Data shares'!C9</f>
        <v>ALKEM</v>
      </c>
      <c r="B14" s="50">
        <f>VLOOKUP($A14,'Data shares'!$C:$FM,102)</f>
        <v>22.48</v>
      </c>
      <c r="C14" s="50">
        <f>VLOOKUP($A14,'Data shares'!$C:$FM,110)</f>
        <v>21.34</v>
      </c>
      <c r="D14" s="50">
        <f>VLOOKUP($A14,'Data shares'!$C:$FM,114)</f>
        <v>24.65</v>
      </c>
      <c r="E14" s="50">
        <f>VLOOKUP($A14,'Data shares'!$C:$FM,106)</f>
        <v>27.86</v>
      </c>
      <c r="F14" s="50">
        <f>VLOOKUP($A14,'Data shares'!$C:$FM,108)</f>
        <v>-5.38</v>
      </c>
      <c r="G14" s="50">
        <f t="shared" si="0"/>
        <v>0.80689160086145018</v>
      </c>
    </row>
    <row r="15" spans="1:7" x14ac:dyDescent="0.25">
      <c r="A15" s="49" t="str">
        <f>'Data shares'!C10</f>
        <v>AMBER</v>
      </c>
      <c r="B15" s="50">
        <f>VLOOKUP($A15,'Data shares'!$C:$FM,102)</f>
        <v>38.1</v>
      </c>
      <c r="C15" s="50">
        <f>VLOOKUP($A15,'Data shares'!$C:$FM,110)</f>
        <v>38.31</v>
      </c>
      <c r="D15" s="50">
        <f>VLOOKUP($A15,'Data shares'!$C:$FM,114)</f>
        <v>37.33</v>
      </c>
      <c r="E15" s="50">
        <f>VLOOKUP($A15,'Data shares'!$C:$FM,106)</f>
        <v>54.71</v>
      </c>
      <c r="F15" s="50">
        <f>VLOOKUP($A15,'Data shares'!$C:$FM,108)</f>
        <v>-16.61</v>
      </c>
      <c r="G15" s="50">
        <f t="shared" si="0"/>
        <v>0.69639919575945897</v>
      </c>
    </row>
    <row r="16" spans="1:7" x14ac:dyDescent="0.25">
      <c r="A16" s="49" t="str">
        <f>'Data shares'!C11</f>
        <v>AMBUJACEM</v>
      </c>
      <c r="B16" s="50">
        <f>VLOOKUP($A16,'Data shares'!$C:$FM,102)</f>
        <v>22.12</v>
      </c>
      <c r="C16" s="50">
        <f>VLOOKUP($A16,'Data shares'!$C:$FM,110)</f>
        <v>22.24</v>
      </c>
      <c r="D16" s="50">
        <f>VLOOKUP($A16,'Data shares'!$C:$FM,114)</f>
        <v>21.87</v>
      </c>
      <c r="E16" s="50">
        <f>VLOOKUP($A16,'Data shares'!$C:$FM,106)</f>
        <v>33.92</v>
      </c>
      <c r="F16" s="50">
        <f>VLOOKUP($A16,'Data shares'!$C:$FM,108)</f>
        <v>-11.8</v>
      </c>
      <c r="G16" s="50">
        <f t="shared" si="0"/>
        <v>0.652122641509434</v>
      </c>
    </row>
    <row r="17" spans="1:7" x14ac:dyDescent="0.25">
      <c r="A17" s="49" t="str">
        <f>'Data shares'!C12</f>
        <v>ANGELONE</v>
      </c>
      <c r="B17" s="50">
        <f>VLOOKUP($A17,'Data shares'!$C:$FM,102)</f>
        <v>36.19</v>
      </c>
      <c r="C17" s="50">
        <f>VLOOKUP($A17,'Data shares'!$C:$FM,110)</f>
        <v>35.479999999999997</v>
      </c>
      <c r="D17" s="50">
        <f>VLOOKUP($A17,'Data shares'!$C:$FM,114)</f>
        <v>37.270000000000003</v>
      </c>
      <c r="E17" s="50">
        <f>VLOOKUP($A17,'Data shares'!$C:$FM,106)</f>
        <v>55.64</v>
      </c>
      <c r="F17" s="50">
        <f>VLOOKUP($A17,'Data shares'!$C:$FM,108)</f>
        <v>-19.45</v>
      </c>
      <c r="G17" s="50">
        <f t="shared" si="0"/>
        <v>0.6504313443565779</v>
      </c>
    </row>
    <row r="18" spans="1:7" x14ac:dyDescent="0.25">
      <c r="A18" s="49" t="str">
        <f>'Data shares'!C13</f>
        <v>APLAPOLLO</v>
      </c>
      <c r="B18" s="50">
        <f>VLOOKUP($A18,'Data shares'!$C:$FM,102)</f>
        <v>22.53</v>
      </c>
      <c r="C18" s="50">
        <f>VLOOKUP($A18,'Data shares'!$C:$FM,110)</f>
        <v>22.07</v>
      </c>
      <c r="D18" s="50">
        <f>VLOOKUP($A18,'Data shares'!$C:$FM,114)</f>
        <v>23.92</v>
      </c>
      <c r="E18" s="50">
        <f>VLOOKUP($A18,'Data shares'!$C:$FM,106)</f>
        <v>34.72</v>
      </c>
      <c r="F18" s="50">
        <f>VLOOKUP($A18,'Data shares'!$C:$FM,108)</f>
        <v>-12.19</v>
      </c>
      <c r="G18" s="50">
        <f t="shared" si="0"/>
        <v>0.64890552995391715</v>
      </c>
    </row>
    <row r="19" spans="1:7" x14ac:dyDescent="0.25">
      <c r="A19" s="49" t="str">
        <f>'Data shares'!C14</f>
        <v>APOLLOHOSP</v>
      </c>
      <c r="B19" s="50">
        <f>VLOOKUP($A19,'Data shares'!$C:$FM,102)</f>
        <v>16.34</v>
      </c>
      <c r="C19" s="50">
        <f>VLOOKUP($A19,'Data shares'!$C:$FM,110)</f>
        <v>16.07</v>
      </c>
      <c r="D19" s="50">
        <f>VLOOKUP($A19,'Data shares'!$C:$FM,114)</f>
        <v>16.77</v>
      </c>
      <c r="E19" s="50">
        <f>VLOOKUP($A19,'Data shares'!$C:$FM,106)</f>
        <v>26.45</v>
      </c>
      <c r="F19" s="50">
        <f>VLOOKUP($A19,'Data shares'!$C:$FM,108)</f>
        <v>-10.11</v>
      </c>
      <c r="G19" s="50">
        <f t="shared" si="0"/>
        <v>0.61776937618147454</v>
      </c>
    </row>
    <row r="20" spans="1:7" x14ac:dyDescent="0.25">
      <c r="A20" s="49" t="str">
        <f>'Data shares'!C15</f>
        <v>ASHOKLEY</v>
      </c>
      <c r="B20" s="50">
        <f>VLOOKUP($A20,'Data shares'!$C:$FM,102)</f>
        <v>27.43</v>
      </c>
      <c r="C20" s="50">
        <f>VLOOKUP($A20,'Data shares'!$C:$FM,110)</f>
        <v>28.31</v>
      </c>
      <c r="D20" s="50">
        <f>VLOOKUP($A20,'Data shares'!$C:$FM,114)</f>
        <v>25.22</v>
      </c>
      <c r="E20" s="50">
        <f>VLOOKUP($A20,'Data shares'!$C:$FM,106)</f>
        <v>35.01</v>
      </c>
      <c r="F20" s="50">
        <f>VLOOKUP($A20,'Data shares'!$C:$FM,108)</f>
        <v>-7.58</v>
      </c>
      <c r="G20" s="50">
        <f t="shared" si="0"/>
        <v>0.78349043130534135</v>
      </c>
    </row>
    <row r="21" spans="1:7" x14ac:dyDescent="0.25">
      <c r="A21" s="49" t="str">
        <f>'Data shares'!C16</f>
        <v>ASIANPAINT</v>
      </c>
      <c r="B21" s="50">
        <f>VLOOKUP($A21,'Data shares'!$C:$FM,102)</f>
        <v>20.48</v>
      </c>
      <c r="C21" s="50">
        <f>VLOOKUP($A21,'Data shares'!$C:$FM,110)</f>
        <v>20.239999999999998</v>
      </c>
      <c r="D21" s="50">
        <f>VLOOKUP($A21,'Data shares'!$C:$FM,114)</f>
        <v>20.99</v>
      </c>
      <c r="E21" s="50">
        <f>VLOOKUP($A21,'Data shares'!$C:$FM,106)</f>
        <v>23.57</v>
      </c>
      <c r="F21" s="50">
        <f>VLOOKUP($A21,'Data shares'!$C:$FM,108)</f>
        <v>-3.09</v>
      </c>
      <c r="G21" s="50">
        <f t="shared" si="0"/>
        <v>0.86890114552397113</v>
      </c>
    </row>
    <row r="22" spans="1:7" x14ac:dyDescent="0.25">
      <c r="A22" s="49" t="str">
        <f>'Data shares'!C17</f>
        <v>ASTRAL</v>
      </c>
      <c r="B22" s="50">
        <f>VLOOKUP($A22,'Data shares'!$C:$FM,102)</f>
        <v>25.54</v>
      </c>
      <c r="C22" s="50">
        <f>VLOOKUP($A22,'Data shares'!$C:$FM,110)</f>
        <v>25.36</v>
      </c>
      <c r="D22" s="50">
        <f>VLOOKUP($A22,'Data shares'!$C:$FM,114)</f>
        <v>26</v>
      </c>
      <c r="E22" s="50">
        <f>VLOOKUP($A22,'Data shares'!$C:$FM,106)</f>
        <v>33.47</v>
      </c>
      <c r="F22" s="50">
        <f>VLOOKUP($A22,'Data shares'!$C:$FM,108)</f>
        <v>-7.93</v>
      </c>
      <c r="G22" s="50">
        <f t="shared" si="0"/>
        <v>0.76307140723035549</v>
      </c>
    </row>
    <row r="23" spans="1:7" x14ac:dyDescent="0.25">
      <c r="A23" s="49" t="str">
        <f>'Data shares'!C18</f>
        <v>AUBANK</v>
      </c>
      <c r="B23" s="50">
        <f>VLOOKUP($A23,'Data shares'!$C:$FM,102)</f>
        <v>36.549999999999997</v>
      </c>
      <c r="C23" s="50">
        <f>VLOOKUP($A23,'Data shares'!$C:$FM,110)</f>
        <v>36.14</v>
      </c>
      <c r="D23" s="50">
        <f>VLOOKUP($A23,'Data shares'!$C:$FM,114)</f>
        <v>37.28</v>
      </c>
      <c r="E23" s="50">
        <f>VLOOKUP($A23,'Data shares'!$C:$FM,106)</f>
        <v>36.04</v>
      </c>
      <c r="F23" s="50">
        <f>VLOOKUP($A23,'Data shares'!$C:$FM,108)</f>
        <v>0.51</v>
      </c>
      <c r="G23" s="50">
        <f t="shared" si="0"/>
        <v>1.0141509433962264</v>
      </c>
    </row>
    <row r="24" spans="1:7" x14ac:dyDescent="0.25">
      <c r="A24" s="49" t="str">
        <f>'Data shares'!C19</f>
        <v>AUROPHARMA</v>
      </c>
      <c r="B24" s="50">
        <f>VLOOKUP($A24,'Data shares'!$C:$FM,102)</f>
        <v>28.39</v>
      </c>
      <c r="C24" s="50">
        <f>VLOOKUP($A24,'Data shares'!$C:$FM,110)</f>
        <v>28.47</v>
      </c>
      <c r="D24" s="50">
        <f>VLOOKUP($A24,'Data shares'!$C:$FM,114)</f>
        <v>28.2</v>
      </c>
      <c r="E24" s="50">
        <f>VLOOKUP($A24,'Data shares'!$C:$FM,106)</f>
        <v>34.79</v>
      </c>
      <c r="F24" s="50">
        <f>VLOOKUP($A24,'Data shares'!$C:$FM,108)</f>
        <v>-6.4</v>
      </c>
      <c r="G24" s="50">
        <f t="shared" si="0"/>
        <v>0.81603909169301525</v>
      </c>
    </row>
    <row r="25" spans="1:7" x14ac:dyDescent="0.25">
      <c r="A25" s="49" t="str">
        <f>'Data shares'!C20</f>
        <v>AXISBANK</v>
      </c>
      <c r="B25" s="50">
        <f>VLOOKUP($A25,'Data shares'!$C:$FM,102)</f>
        <v>19.309999999999999</v>
      </c>
      <c r="C25" s="50">
        <f>VLOOKUP($A25,'Data shares'!$C:$FM,110)</f>
        <v>18.38</v>
      </c>
      <c r="D25" s="50">
        <f>VLOOKUP($A25,'Data shares'!$C:$FM,114)</f>
        <v>20.6</v>
      </c>
      <c r="E25" s="50">
        <f>VLOOKUP($A25,'Data shares'!$C:$FM,106)</f>
        <v>26.99</v>
      </c>
      <c r="F25" s="50">
        <f>VLOOKUP($A25,'Data shares'!$C:$FM,108)</f>
        <v>-7.68</v>
      </c>
      <c r="G25" s="50">
        <f t="shared" si="0"/>
        <v>0.71545016672841788</v>
      </c>
    </row>
    <row r="26" spans="1:7" x14ac:dyDescent="0.25">
      <c r="A26" s="49" t="str">
        <f>'Data shares'!C21</f>
        <v>BAJAJ-AUTO</v>
      </c>
      <c r="B26" s="50">
        <f>VLOOKUP($A26,'Data shares'!$C:$FM,102)</f>
        <v>21.52</v>
      </c>
      <c r="C26" s="50">
        <f>VLOOKUP($A26,'Data shares'!$C:$FM,110)</f>
        <v>21.37</v>
      </c>
      <c r="D26" s="50">
        <f>VLOOKUP($A26,'Data shares'!$C:$FM,114)</f>
        <v>21.88</v>
      </c>
      <c r="E26" s="50">
        <f>VLOOKUP($A26,'Data shares'!$C:$FM,106)</f>
        <v>30.52</v>
      </c>
      <c r="F26" s="50">
        <f>VLOOKUP($A26,'Data shares'!$C:$FM,108)</f>
        <v>-9</v>
      </c>
      <c r="G26" s="50">
        <f t="shared" si="0"/>
        <v>0.70511140235910874</v>
      </c>
    </row>
    <row r="27" spans="1:7" x14ac:dyDescent="0.25">
      <c r="A27" s="49" t="str">
        <f>'Data shares'!C22</f>
        <v>BAJAJFINSV</v>
      </c>
      <c r="B27" s="50">
        <f>VLOOKUP($A27,'Data shares'!$C:$FM,102)</f>
        <v>19.29</v>
      </c>
      <c r="C27" s="50">
        <f>VLOOKUP($A27,'Data shares'!$C:$FM,110)</f>
        <v>17.940000000000001</v>
      </c>
      <c r="D27" s="50">
        <f>VLOOKUP($A27,'Data shares'!$C:$FM,114)</f>
        <v>21.89</v>
      </c>
      <c r="E27" s="50">
        <f>VLOOKUP($A27,'Data shares'!$C:$FM,106)</f>
        <v>28.19</v>
      </c>
      <c r="F27" s="50">
        <f>VLOOKUP($A27,'Data shares'!$C:$FM,108)</f>
        <v>-8.9</v>
      </c>
      <c r="G27" s="50">
        <f t="shared" si="0"/>
        <v>0.68428520752039723</v>
      </c>
    </row>
    <row r="28" spans="1:7" x14ac:dyDescent="0.25">
      <c r="A28" s="49" t="str">
        <f>'Data shares'!C23</f>
        <v>BAJFINANCE</v>
      </c>
      <c r="B28" s="50">
        <f>VLOOKUP($A28,'Data shares'!$C:$FM,102)</f>
        <v>22.56</v>
      </c>
      <c r="C28" s="50">
        <f>VLOOKUP($A28,'Data shares'!$C:$FM,110)</f>
        <v>21.68</v>
      </c>
      <c r="D28" s="50">
        <f>VLOOKUP($A28,'Data shares'!$C:$FM,114)</f>
        <v>23.96</v>
      </c>
      <c r="E28" s="50">
        <f>VLOOKUP($A28,'Data shares'!$C:$FM,106)</f>
        <v>31.39</v>
      </c>
      <c r="F28" s="50">
        <f>VLOOKUP($A28,'Data shares'!$C:$FM,108)</f>
        <v>-8.83</v>
      </c>
      <c r="G28" s="50">
        <f t="shared" si="0"/>
        <v>0.71870022300095571</v>
      </c>
    </row>
    <row r="29" spans="1:7" x14ac:dyDescent="0.25">
      <c r="A29" s="49" t="str">
        <f>'Data shares'!C24</f>
        <v>BANDHANBNK</v>
      </c>
      <c r="B29" s="50">
        <f>VLOOKUP($A29,'Data shares'!$C:$FM,102)</f>
        <v>34.79</v>
      </c>
      <c r="C29" s="50">
        <f>VLOOKUP($A29,'Data shares'!$C:$FM,110)</f>
        <v>35.07</v>
      </c>
      <c r="D29" s="50">
        <f>VLOOKUP($A29,'Data shares'!$C:$FM,114)</f>
        <v>34.200000000000003</v>
      </c>
      <c r="E29" s="50">
        <f>VLOOKUP($A29,'Data shares'!$C:$FM,106)</f>
        <v>42.03</v>
      </c>
      <c r="F29" s="50">
        <f>VLOOKUP($A29,'Data shares'!$C:$FM,108)</f>
        <v>-7.24</v>
      </c>
      <c r="G29" s="50">
        <f t="shared" si="0"/>
        <v>0.82774208898405899</v>
      </c>
    </row>
    <row r="30" spans="1:7" x14ac:dyDescent="0.25">
      <c r="A30" s="49" t="str">
        <f>'Data shares'!C25</f>
        <v>BANKBARODA</v>
      </c>
      <c r="B30" s="50">
        <f>VLOOKUP($A30,'Data shares'!$C:$FM,102)</f>
        <v>28.27</v>
      </c>
      <c r="C30" s="50">
        <f>VLOOKUP($A30,'Data shares'!$C:$FM,110)</f>
        <v>28.48</v>
      </c>
      <c r="D30" s="50">
        <f>VLOOKUP($A30,'Data shares'!$C:$FM,114)</f>
        <v>27.86</v>
      </c>
      <c r="E30" s="50">
        <f>VLOOKUP($A30,'Data shares'!$C:$FM,106)</f>
        <v>35.36</v>
      </c>
      <c r="F30" s="50">
        <f>VLOOKUP($A30,'Data shares'!$C:$FM,108)</f>
        <v>-7.09</v>
      </c>
      <c r="G30" s="50">
        <f t="shared" si="0"/>
        <v>0.79949095022624439</v>
      </c>
    </row>
    <row r="31" spans="1:7" x14ac:dyDescent="0.25">
      <c r="A31" s="49" t="str">
        <f>'Data shares'!C26</f>
        <v>BANKINDIA</v>
      </c>
      <c r="B31" s="50">
        <f>VLOOKUP($A31,'Data shares'!$C:$FM,102)</f>
        <v>33.68</v>
      </c>
      <c r="C31" s="50">
        <f>VLOOKUP($A31,'Data shares'!$C:$FM,110)</f>
        <v>33.82</v>
      </c>
      <c r="D31" s="50">
        <f>VLOOKUP($A31,'Data shares'!$C:$FM,114)</f>
        <v>33.22</v>
      </c>
      <c r="E31" s="50">
        <f>VLOOKUP($A31,'Data shares'!$C:$FM,106)</f>
        <v>39.33</v>
      </c>
      <c r="F31" s="50">
        <f>VLOOKUP($A31,'Data shares'!$C:$FM,108)</f>
        <v>-5.65</v>
      </c>
      <c r="G31" s="50">
        <f t="shared" si="0"/>
        <v>0.85634375794558859</v>
      </c>
    </row>
    <row r="32" spans="1:7" x14ac:dyDescent="0.25">
      <c r="A32" s="49" t="str">
        <f>'Data shares'!C27</f>
        <v>BANKNIFTY</v>
      </c>
      <c r="B32" s="50">
        <f>VLOOKUP($A32,'Data shares'!$C:$FM,102)</f>
        <v>12.81</v>
      </c>
      <c r="C32" s="50">
        <f>VLOOKUP($A32,'Data shares'!$C:$FM,110)</f>
        <v>11.31</v>
      </c>
      <c r="D32" s="50">
        <f>VLOOKUP($A32,'Data shares'!$C:$FM,114)</f>
        <v>14.53</v>
      </c>
      <c r="E32" s="50">
        <f>VLOOKUP($A32,'Data shares'!$C:$FM,106)</f>
        <v>17.23</v>
      </c>
      <c r="F32" s="50">
        <f>VLOOKUP($A32,'Data shares'!$C:$FM,108)</f>
        <v>-4.42</v>
      </c>
      <c r="G32" s="50">
        <f t="shared" si="0"/>
        <v>0.74347069065583282</v>
      </c>
    </row>
    <row r="33" spans="1:7" x14ac:dyDescent="0.25">
      <c r="A33" s="49" t="str">
        <f>'Data shares'!C28</f>
        <v>BDL</v>
      </c>
      <c r="B33" s="50">
        <f>VLOOKUP($A33,'Data shares'!$C:$FM,102)</f>
        <v>32.380000000000003</v>
      </c>
      <c r="C33" s="50">
        <f>VLOOKUP($A33,'Data shares'!$C:$FM,110)</f>
        <v>32.729999999999997</v>
      </c>
      <c r="D33" s="50">
        <f>VLOOKUP($A33,'Data shares'!$C:$FM,114)</f>
        <v>30.95</v>
      </c>
      <c r="E33" s="50">
        <f>VLOOKUP($A33,'Data shares'!$C:$FM,106)</f>
        <v>52.91</v>
      </c>
      <c r="F33" s="50">
        <f>VLOOKUP($A33,'Data shares'!$C:$FM,108)</f>
        <v>-20.53</v>
      </c>
      <c r="G33" s="50">
        <f t="shared" si="0"/>
        <v>0.61198261198261206</v>
      </c>
    </row>
    <row r="34" spans="1:7" x14ac:dyDescent="0.25">
      <c r="A34" s="49" t="str">
        <f>'Data shares'!C29</f>
        <v>BEL</v>
      </c>
      <c r="B34" s="50">
        <f>VLOOKUP($A34,'Data shares'!$C:$FM,102)</f>
        <v>23.36</v>
      </c>
      <c r="C34" s="50">
        <f>VLOOKUP($A34,'Data shares'!$C:$FM,110)</f>
        <v>23.21</v>
      </c>
      <c r="D34" s="50">
        <f>VLOOKUP($A34,'Data shares'!$C:$FM,114)</f>
        <v>23.62</v>
      </c>
      <c r="E34" s="50">
        <f>VLOOKUP($A34,'Data shares'!$C:$FM,106)</f>
        <v>37.65</v>
      </c>
      <c r="F34" s="50">
        <f>VLOOKUP($A34,'Data shares'!$C:$FM,108)</f>
        <v>-14.29</v>
      </c>
      <c r="G34" s="50">
        <f t="shared" si="0"/>
        <v>0.62045152722443564</v>
      </c>
    </row>
    <row r="35" spans="1:7" x14ac:dyDescent="0.25">
      <c r="A35" s="49" t="str">
        <f>'Data shares'!C30</f>
        <v>BHARATFORG</v>
      </c>
      <c r="B35" s="50">
        <f>VLOOKUP($A35,'Data shares'!$C:$FM,102)</f>
        <v>27.49</v>
      </c>
      <c r="C35" s="50">
        <f>VLOOKUP($A35,'Data shares'!$C:$FM,110)</f>
        <v>27.13</v>
      </c>
      <c r="D35" s="50">
        <f>VLOOKUP($A35,'Data shares'!$C:$FM,114)</f>
        <v>28.76</v>
      </c>
      <c r="E35" s="50">
        <f>VLOOKUP($A35,'Data shares'!$C:$FM,106)</f>
        <v>38.56</v>
      </c>
      <c r="F35" s="50">
        <f>VLOOKUP($A35,'Data shares'!$C:$FM,108)</f>
        <v>-11.07</v>
      </c>
      <c r="G35" s="50">
        <f t="shared" si="0"/>
        <v>0.71291493775933601</v>
      </c>
    </row>
    <row r="36" spans="1:7" x14ac:dyDescent="0.25">
      <c r="A36" s="49" t="str">
        <f>'Data shares'!C31</f>
        <v>BHARTIARTL</v>
      </c>
      <c r="B36" s="50">
        <f>VLOOKUP($A36,'Data shares'!$C:$FM,102)</f>
        <v>14.89</v>
      </c>
      <c r="C36" s="50">
        <f>VLOOKUP($A36,'Data shares'!$C:$FM,110)</f>
        <v>14.76</v>
      </c>
      <c r="D36" s="50">
        <f>VLOOKUP($A36,'Data shares'!$C:$FM,114)</f>
        <v>15.12</v>
      </c>
      <c r="E36" s="50">
        <f>VLOOKUP($A36,'Data shares'!$C:$FM,106)</f>
        <v>24.59</v>
      </c>
      <c r="F36" s="50">
        <f>VLOOKUP($A36,'Data shares'!$C:$FM,108)</f>
        <v>-9.6999999999999993</v>
      </c>
      <c r="G36" s="50">
        <f t="shared" si="0"/>
        <v>0.60553070353802363</v>
      </c>
    </row>
    <row r="37" spans="1:7" x14ac:dyDescent="0.25">
      <c r="A37" s="49" t="str">
        <f>'Data shares'!C32</f>
        <v>BHEL</v>
      </c>
      <c r="B37" s="50">
        <f>VLOOKUP($A37,'Data shares'!$C:$FM,102)</f>
        <v>27.79</v>
      </c>
      <c r="C37" s="50">
        <f>VLOOKUP($A37,'Data shares'!$C:$FM,110)</f>
        <v>28.1</v>
      </c>
      <c r="D37" s="50">
        <f>VLOOKUP($A37,'Data shares'!$C:$FM,114)</f>
        <v>27.09</v>
      </c>
      <c r="E37" s="50">
        <f>VLOOKUP($A37,'Data shares'!$C:$FM,106)</f>
        <v>45.82</v>
      </c>
      <c r="F37" s="50">
        <f>VLOOKUP($A37,'Data shares'!$C:$FM,108)</f>
        <v>-18.03</v>
      </c>
      <c r="G37" s="50">
        <f t="shared" si="0"/>
        <v>0.6065037101702313</v>
      </c>
    </row>
    <row r="38" spans="1:7" x14ac:dyDescent="0.25">
      <c r="A38" s="49" t="str">
        <f>'Data shares'!C33</f>
        <v>BIOCON</v>
      </c>
      <c r="B38" s="50">
        <f>VLOOKUP($A38,'Data shares'!$C:$FM,102)</f>
        <v>24.11</v>
      </c>
      <c r="C38" s="50">
        <f>VLOOKUP($A38,'Data shares'!$C:$FM,110)</f>
        <v>23.66</v>
      </c>
      <c r="D38" s="50">
        <f>VLOOKUP($A38,'Data shares'!$C:$FM,114)</f>
        <v>24.93</v>
      </c>
      <c r="E38" s="50">
        <f>VLOOKUP($A38,'Data shares'!$C:$FM,106)</f>
        <v>39.229999999999997</v>
      </c>
      <c r="F38" s="50">
        <f>VLOOKUP($A38,'Data shares'!$C:$FM,108)</f>
        <v>-15.12</v>
      </c>
      <c r="G38" s="50">
        <f t="shared" si="0"/>
        <v>0.61458067805251082</v>
      </c>
    </row>
    <row r="39" spans="1:7" x14ac:dyDescent="0.25">
      <c r="A39" s="49" t="str">
        <f>'Data shares'!C34</f>
        <v>BLUESTARCO</v>
      </c>
      <c r="B39" s="50">
        <f>VLOOKUP($A39,'Data shares'!$C:$FM,102)</f>
        <v>26.74</v>
      </c>
      <c r="C39" s="50">
        <f>VLOOKUP($A39,'Data shares'!$C:$FM,110)</f>
        <v>26.23</v>
      </c>
      <c r="D39" s="50">
        <f>VLOOKUP($A39,'Data shares'!$C:$FM,114)</f>
        <v>28.08</v>
      </c>
      <c r="E39" s="50">
        <f>VLOOKUP($A39,'Data shares'!$C:$FM,106)</f>
        <v>42.07</v>
      </c>
      <c r="F39" s="50">
        <f>VLOOKUP($A39,'Data shares'!$C:$FM,108)</f>
        <v>-15.33</v>
      </c>
      <c r="G39" s="50">
        <f t="shared" ref="G39:G70" si="1">B39/E39</f>
        <v>0.63560732113144758</v>
      </c>
    </row>
    <row r="40" spans="1:7" x14ac:dyDescent="0.25">
      <c r="A40" s="49" t="str">
        <f>'Data shares'!C35</f>
        <v>BOSCHLTD</v>
      </c>
      <c r="B40" s="50">
        <f>VLOOKUP($A40,'Data shares'!$C:$FM,102)</f>
        <v>22.14</v>
      </c>
      <c r="C40" s="50">
        <f>VLOOKUP($A40,'Data shares'!$C:$FM,110)</f>
        <v>22.64</v>
      </c>
      <c r="D40" s="50">
        <f>VLOOKUP($A40,'Data shares'!$C:$FM,114)</f>
        <v>20.93</v>
      </c>
      <c r="E40" s="50">
        <f>VLOOKUP($A40,'Data shares'!$C:$FM,106)</f>
        <v>28.89</v>
      </c>
      <c r="F40" s="50">
        <f>VLOOKUP($A40,'Data shares'!$C:$FM,108)</f>
        <v>-6.75</v>
      </c>
      <c r="G40" s="50">
        <f t="shared" si="1"/>
        <v>0.76635514018691586</v>
      </c>
    </row>
    <row r="41" spans="1:7" x14ac:dyDescent="0.25">
      <c r="A41" s="49" t="str">
        <f>'Data shares'!C36</f>
        <v>BPCL</v>
      </c>
      <c r="B41" s="50">
        <f>VLOOKUP($A41,'Data shares'!$C:$FM,102)</f>
        <v>27.69</v>
      </c>
      <c r="C41" s="50">
        <f>VLOOKUP($A41,'Data shares'!$C:$FM,110)</f>
        <v>28.04</v>
      </c>
      <c r="D41" s="50">
        <f>VLOOKUP($A41,'Data shares'!$C:$FM,114)</f>
        <v>26.88</v>
      </c>
      <c r="E41" s="50">
        <f>VLOOKUP($A41,'Data shares'!$C:$FM,106)</f>
        <v>33.42</v>
      </c>
      <c r="F41" s="50">
        <f>VLOOKUP($A41,'Data shares'!$C:$FM,108)</f>
        <v>-5.73</v>
      </c>
      <c r="G41" s="50">
        <f t="shared" si="1"/>
        <v>0.8285457809694794</v>
      </c>
    </row>
    <row r="42" spans="1:7" x14ac:dyDescent="0.25">
      <c r="A42" s="49" t="str">
        <f>'Data shares'!C37</f>
        <v>BRITANNIA</v>
      </c>
      <c r="B42" s="50">
        <f>VLOOKUP($A42,'Data shares'!$C:$FM,102)</f>
        <v>21.06</v>
      </c>
      <c r="C42" s="50">
        <f>VLOOKUP($A42,'Data shares'!$C:$FM,110)</f>
        <v>20.98</v>
      </c>
      <c r="D42" s="50">
        <f>VLOOKUP($A42,'Data shares'!$C:$FM,114)</f>
        <v>21.37</v>
      </c>
      <c r="E42" s="50">
        <f>VLOOKUP($A42,'Data shares'!$C:$FM,106)</f>
        <v>24.89</v>
      </c>
      <c r="F42" s="50">
        <f>VLOOKUP($A42,'Data shares'!$C:$FM,108)</f>
        <v>-3.83</v>
      </c>
      <c r="G42" s="50">
        <f t="shared" si="1"/>
        <v>0.84612294094013651</v>
      </c>
    </row>
    <row r="43" spans="1:7" x14ac:dyDescent="0.25">
      <c r="A43" s="49" t="str">
        <f>'Data shares'!C38</f>
        <v>BSE</v>
      </c>
      <c r="B43" s="50">
        <f>VLOOKUP($A43,'Data shares'!$C:$FM,102)</f>
        <v>39.11</v>
      </c>
      <c r="C43" s="50">
        <f>VLOOKUP($A43,'Data shares'!$C:$FM,110)</f>
        <v>38.299999999999997</v>
      </c>
      <c r="D43" s="50">
        <f>VLOOKUP($A43,'Data shares'!$C:$FM,114)</f>
        <v>40.86</v>
      </c>
      <c r="E43" s="50">
        <f>VLOOKUP($A43,'Data shares'!$C:$FM,106)</f>
        <v>63.43</v>
      </c>
      <c r="F43" s="50">
        <f>VLOOKUP($A43,'Data shares'!$C:$FM,108)</f>
        <v>-24.32</v>
      </c>
      <c r="G43" s="50">
        <f t="shared" si="1"/>
        <v>0.61658521204477379</v>
      </c>
    </row>
    <row r="44" spans="1:7" x14ac:dyDescent="0.25">
      <c r="A44" s="49" t="str">
        <f>'Data shares'!C39</f>
        <v>CAMS</v>
      </c>
      <c r="B44" s="50">
        <f>VLOOKUP($A44,'Data shares'!$C:$FM,102)</f>
        <v>31.27</v>
      </c>
      <c r="C44" s="50">
        <f>VLOOKUP($A44,'Data shares'!$C:$FM,110)</f>
        <v>31.63</v>
      </c>
      <c r="D44" s="50">
        <f>VLOOKUP($A44,'Data shares'!$C:$FM,114)</f>
        <v>30.18</v>
      </c>
      <c r="E44" s="50">
        <f>VLOOKUP($A44,'Data shares'!$C:$FM,106)</f>
        <v>42.52</v>
      </c>
      <c r="F44" s="50">
        <f>VLOOKUP($A44,'Data shares'!$C:$FM,108)</f>
        <v>-11.25</v>
      </c>
      <c r="G44" s="50">
        <f t="shared" si="1"/>
        <v>0.73541862652869228</v>
      </c>
    </row>
    <row r="45" spans="1:7" x14ac:dyDescent="0.25">
      <c r="A45" s="49" t="str">
        <f>'Data shares'!C40</f>
        <v>CANBK</v>
      </c>
      <c r="B45" s="50">
        <f>VLOOKUP($A45,'Data shares'!$C:$FM,102)</f>
        <v>30.51</v>
      </c>
      <c r="C45" s="50">
        <f>VLOOKUP($A45,'Data shares'!$C:$FM,110)</f>
        <v>30.65</v>
      </c>
      <c r="D45" s="50">
        <f>VLOOKUP($A45,'Data shares'!$C:$FM,114)</f>
        <v>30.28</v>
      </c>
      <c r="E45" s="50">
        <f>VLOOKUP($A45,'Data shares'!$C:$FM,106)</f>
        <v>37.56</v>
      </c>
      <c r="F45" s="50">
        <f>VLOOKUP($A45,'Data shares'!$C:$FM,108)</f>
        <v>-7.05</v>
      </c>
      <c r="G45" s="50">
        <f t="shared" si="1"/>
        <v>0.81230031948881787</v>
      </c>
    </row>
    <row r="46" spans="1:7" x14ac:dyDescent="0.25">
      <c r="A46" s="49" t="str">
        <f>'Data shares'!C41</f>
        <v>CDSL</v>
      </c>
      <c r="B46" s="50">
        <f>VLOOKUP($A46,'Data shares'!$C:$FM,102)</f>
        <v>31.84</v>
      </c>
      <c r="C46" s="50">
        <f>VLOOKUP($A46,'Data shares'!$C:$FM,110)</f>
        <v>31.68</v>
      </c>
      <c r="D46" s="50">
        <f>VLOOKUP($A46,'Data shares'!$C:$FM,114)</f>
        <v>32.200000000000003</v>
      </c>
      <c r="E46" s="50">
        <f>VLOOKUP($A46,'Data shares'!$C:$FM,106)</f>
        <v>47.64</v>
      </c>
      <c r="F46" s="50">
        <f>VLOOKUP($A46,'Data shares'!$C:$FM,108)</f>
        <v>-15.8</v>
      </c>
      <c r="G46" s="50">
        <f t="shared" si="1"/>
        <v>0.6683459277917716</v>
      </c>
    </row>
    <row r="47" spans="1:7" x14ac:dyDescent="0.25">
      <c r="A47" s="49" t="str">
        <f>'Data shares'!C42</f>
        <v>CGPOWER</v>
      </c>
      <c r="B47" s="50">
        <f>VLOOKUP($A47,'Data shares'!$C:$FM,102)</f>
        <v>33.700000000000003</v>
      </c>
      <c r="C47" s="50">
        <f>VLOOKUP($A47,'Data shares'!$C:$FM,110)</f>
        <v>33.549999999999997</v>
      </c>
      <c r="D47" s="50">
        <f>VLOOKUP($A47,'Data shares'!$C:$FM,114)</f>
        <v>34.119999999999997</v>
      </c>
      <c r="E47" s="50">
        <f>VLOOKUP($A47,'Data shares'!$C:$FM,106)</f>
        <v>41.59</v>
      </c>
      <c r="F47" s="50">
        <f>VLOOKUP($A47,'Data shares'!$C:$FM,108)</f>
        <v>-7.89</v>
      </c>
      <c r="G47" s="50">
        <f t="shared" si="1"/>
        <v>0.81029093532099061</v>
      </c>
    </row>
    <row r="48" spans="1:7" x14ac:dyDescent="0.25">
      <c r="A48" s="49" t="str">
        <f>'Data shares'!C43</f>
        <v>CHOLAFIN</v>
      </c>
      <c r="B48" s="50">
        <f>VLOOKUP($A48,'Data shares'!$C:$FM,102)</f>
        <v>26.96</v>
      </c>
      <c r="C48" s="50">
        <f>VLOOKUP($A48,'Data shares'!$C:$FM,110)</f>
        <v>26.88</v>
      </c>
      <c r="D48" s="50">
        <f>VLOOKUP($A48,'Data shares'!$C:$FM,114)</f>
        <v>27.18</v>
      </c>
      <c r="E48" s="50">
        <f>VLOOKUP($A48,'Data shares'!$C:$FM,106)</f>
        <v>38.799999999999997</v>
      </c>
      <c r="F48" s="50">
        <f>VLOOKUP($A48,'Data shares'!$C:$FM,108)</f>
        <v>-11.84</v>
      </c>
      <c r="G48" s="50">
        <f t="shared" si="1"/>
        <v>0.69484536082474235</v>
      </c>
    </row>
    <row r="49" spans="1:7" x14ac:dyDescent="0.25">
      <c r="A49" s="49" t="str">
        <f>'Data shares'!C44</f>
        <v>CIPLA</v>
      </c>
      <c r="B49" s="50">
        <f>VLOOKUP($A49,'Data shares'!$C:$FM,102)</f>
        <v>22.12</v>
      </c>
      <c r="C49" s="50">
        <f>VLOOKUP($A49,'Data shares'!$C:$FM,110)</f>
        <v>22.22</v>
      </c>
      <c r="D49" s="50">
        <f>VLOOKUP($A49,'Data shares'!$C:$FM,114)</f>
        <v>21.72</v>
      </c>
      <c r="E49" s="50">
        <f>VLOOKUP($A49,'Data shares'!$C:$FM,106)</f>
        <v>26.27</v>
      </c>
      <c r="F49" s="50">
        <f>VLOOKUP($A49,'Data shares'!$C:$FM,108)</f>
        <v>-4.1500000000000004</v>
      </c>
      <c r="G49" s="50">
        <f t="shared" si="1"/>
        <v>0.84202512371526461</v>
      </c>
    </row>
    <row r="50" spans="1:7" x14ac:dyDescent="0.25">
      <c r="A50" s="49" t="str">
        <f>'Data shares'!C45</f>
        <v>COALINDIA</v>
      </c>
      <c r="B50" s="50">
        <f>VLOOKUP($A50,'Data shares'!$C:$FM,102)</f>
        <v>16.82</v>
      </c>
      <c r="C50" s="50">
        <f>VLOOKUP($A50,'Data shares'!$C:$FM,110)</f>
        <v>16.649999999999999</v>
      </c>
      <c r="D50" s="50">
        <f>VLOOKUP($A50,'Data shares'!$C:$FM,114)</f>
        <v>17.07</v>
      </c>
      <c r="E50" s="50">
        <f>VLOOKUP($A50,'Data shares'!$C:$FM,106)</f>
        <v>28.82</v>
      </c>
      <c r="F50" s="50">
        <f>VLOOKUP($A50,'Data shares'!$C:$FM,108)</f>
        <v>-12</v>
      </c>
      <c r="G50" s="50">
        <f t="shared" si="1"/>
        <v>0.58362248438584319</v>
      </c>
    </row>
    <row r="51" spans="1:7" x14ac:dyDescent="0.25">
      <c r="A51" s="49" t="str">
        <f>'Data shares'!C46</f>
        <v>COFORGE</v>
      </c>
      <c r="B51" s="50">
        <f>VLOOKUP($A51,'Data shares'!$C:$FM,102)</f>
        <v>39.42</v>
      </c>
      <c r="C51" s="50">
        <f>VLOOKUP($A51,'Data shares'!$C:$FM,110)</f>
        <v>39</v>
      </c>
      <c r="D51" s="50">
        <f>VLOOKUP($A51,'Data shares'!$C:$FM,114)</f>
        <v>40.33</v>
      </c>
      <c r="E51" s="50">
        <f>VLOOKUP($A51,'Data shares'!$C:$FM,106)</f>
        <v>43.05</v>
      </c>
      <c r="F51" s="50">
        <f>VLOOKUP($A51,'Data shares'!$C:$FM,108)</f>
        <v>-3.63</v>
      </c>
      <c r="G51" s="50">
        <f t="shared" si="1"/>
        <v>0.91567944250871092</v>
      </c>
    </row>
    <row r="52" spans="1:7" x14ac:dyDescent="0.25">
      <c r="A52" s="49" t="str">
        <f>'Data shares'!C47</f>
        <v>COLPAL</v>
      </c>
      <c r="B52" s="50">
        <f>VLOOKUP($A52,'Data shares'!$C:$FM,102)</f>
        <v>25.82</v>
      </c>
      <c r="C52" s="50">
        <f>VLOOKUP($A52,'Data shares'!$C:$FM,110)</f>
        <v>25.5</v>
      </c>
      <c r="D52" s="50">
        <f>VLOOKUP($A52,'Data shares'!$C:$FM,114)</f>
        <v>26.86</v>
      </c>
      <c r="E52" s="50">
        <f>VLOOKUP($A52,'Data shares'!$C:$FM,106)</f>
        <v>28.37</v>
      </c>
      <c r="F52" s="50">
        <f>VLOOKUP($A52,'Data shares'!$C:$FM,108)</f>
        <v>-2.5499999999999998</v>
      </c>
      <c r="G52" s="50">
        <f t="shared" si="1"/>
        <v>0.91011632005639753</v>
      </c>
    </row>
    <row r="53" spans="1:7" x14ac:dyDescent="0.25">
      <c r="A53" s="49" t="str">
        <f>'Data shares'!C48</f>
        <v>CONCOR</v>
      </c>
      <c r="B53" s="50">
        <f>VLOOKUP($A53,'Data shares'!$C:$FM,102)</f>
        <v>22.53</v>
      </c>
      <c r="C53" s="50">
        <f>VLOOKUP($A53,'Data shares'!$C:$FM,110)</f>
        <v>22.43</v>
      </c>
      <c r="D53" s="50">
        <f>VLOOKUP($A53,'Data shares'!$C:$FM,114)</f>
        <v>22.83</v>
      </c>
      <c r="E53" s="50">
        <f>VLOOKUP($A53,'Data shares'!$C:$FM,106)</f>
        <v>36.35</v>
      </c>
      <c r="F53" s="50">
        <f>VLOOKUP($A53,'Data shares'!$C:$FM,108)</f>
        <v>-13.82</v>
      </c>
      <c r="G53" s="50">
        <f t="shared" si="1"/>
        <v>0.61980742778541953</v>
      </c>
    </row>
    <row r="54" spans="1:7" x14ac:dyDescent="0.25">
      <c r="A54" s="49" t="str">
        <f>'Data shares'!C49</f>
        <v>CROMPTON</v>
      </c>
      <c r="B54" s="50">
        <f>VLOOKUP($A54,'Data shares'!$C:$FM,102)</f>
        <v>29.14</v>
      </c>
      <c r="C54" s="50">
        <f>VLOOKUP($A54,'Data shares'!$C:$FM,110)</f>
        <v>29.48</v>
      </c>
      <c r="D54" s="50">
        <f>VLOOKUP($A54,'Data shares'!$C:$FM,114)</f>
        <v>27.87</v>
      </c>
      <c r="E54" s="50">
        <f>VLOOKUP($A54,'Data shares'!$C:$FM,106)</f>
        <v>32.71</v>
      </c>
      <c r="F54" s="50">
        <f>VLOOKUP($A54,'Data shares'!$C:$FM,108)</f>
        <v>-3.57</v>
      </c>
      <c r="G54" s="50">
        <f t="shared" si="1"/>
        <v>0.89085906450626717</v>
      </c>
    </row>
    <row r="55" spans="1:7" x14ac:dyDescent="0.25">
      <c r="A55" s="49" t="str">
        <f>'Data shares'!C50</f>
        <v>CUMMINSIND</v>
      </c>
      <c r="B55" s="50">
        <f>VLOOKUP($A55,'Data shares'!$C:$FM,102)</f>
        <v>23.51</v>
      </c>
      <c r="C55" s="50">
        <f>VLOOKUP($A55,'Data shares'!$C:$FM,110)</f>
        <v>23.47</v>
      </c>
      <c r="D55" s="50">
        <f>VLOOKUP($A55,'Data shares'!$C:$FM,114)</f>
        <v>23.65</v>
      </c>
      <c r="E55" s="50">
        <f>VLOOKUP($A55,'Data shares'!$C:$FM,106)</f>
        <v>35.07</v>
      </c>
      <c r="F55" s="50">
        <f>VLOOKUP($A55,'Data shares'!$C:$FM,108)</f>
        <v>-11.56</v>
      </c>
      <c r="G55" s="50">
        <f t="shared" si="1"/>
        <v>0.67037353863701177</v>
      </c>
    </row>
    <row r="56" spans="1:7" x14ac:dyDescent="0.25">
      <c r="A56" s="49" t="str">
        <f>'Data shares'!C51</f>
        <v>CYIENT</v>
      </c>
      <c r="B56" s="50">
        <f>VLOOKUP($A56,'Data shares'!$C:$FM,102)</f>
        <v>54.97</v>
      </c>
      <c r="C56" s="50">
        <f>VLOOKUP($A56,'Data shares'!$C:$FM,110)</f>
        <v>54.9</v>
      </c>
      <c r="D56" s="50">
        <f>VLOOKUP($A56,'Data shares'!$C:$FM,114)</f>
        <v>55.07</v>
      </c>
      <c r="E56" s="50">
        <f>VLOOKUP($A56,'Data shares'!$C:$FM,106)</f>
        <v>44.59</v>
      </c>
      <c r="F56" s="50">
        <f>VLOOKUP($A56,'Data shares'!$C:$FM,108)</f>
        <v>10.38</v>
      </c>
      <c r="G56" s="50">
        <f t="shared" si="1"/>
        <v>1.2327876205427224</v>
      </c>
    </row>
    <row r="57" spans="1:7" x14ac:dyDescent="0.25">
      <c r="A57" s="49" t="str">
        <f>'Data shares'!C52</f>
        <v>DABUR</v>
      </c>
      <c r="B57" s="50">
        <f>VLOOKUP($A57,'Data shares'!$C:$FM,102)</f>
        <v>19.98</v>
      </c>
      <c r="C57" s="50">
        <f>VLOOKUP($A57,'Data shares'!$C:$FM,110)</f>
        <v>19.38</v>
      </c>
      <c r="D57" s="50">
        <f>VLOOKUP($A57,'Data shares'!$C:$FM,114)</f>
        <v>21.32</v>
      </c>
      <c r="E57" s="50">
        <f>VLOOKUP($A57,'Data shares'!$C:$FM,106)</f>
        <v>25.51</v>
      </c>
      <c r="F57" s="50">
        <f>VLOOKUP($A57,'Data shares'!$C:$FM,108)</f>
        <v>-5.53</v>
      </c>
      <c r="G57" s="50">
        <f t="shared" si="1"/>
        <v>0.78322226577812615</v>
      </c>
    </row>
    <row r="58" spans="1:7" x14ac:dyDescent="0.25">
      <c r="A58" s="49" t="str">
        <f>'Data shares'!C53</f>
        <v>DALBHARAT</v>
      </c>
      <c r="B58" s="50">
        <f>VLOOKUP($A58,'Data shares'!$C:$FM,102)</f>
        <v>30.45</v>
      </c>
      <c r="C58" s="50">
        <f>VLOOKUP($A58,'Data shares'!$C:$FM,110)</f>
        <v>30.31</v>
      </c>
      <c r="D58" s="50">
        <f>VLOOKUP($A58,'Data shares'!$C:$FM,114)</f>
        <v>30.79</v>
      </c>
      <c r="E58" s="50">
        <f>VLOOKUP($A58,'Data shares'!$C:$FM,106)</f>
        <v>30.14</v>
      </c>
      <c r="F58" s="50">
        <f>VLOOKUP($A58,'Data shares'!$C:$FM,108)</f>
        <v>0.31</v>
      </c>
      <c r="G58" s="50">
        <f t="shared" si="1"/>
        <v>1.0102853351028533</v>
      </c>
    </row>
    <row r="59" spans="1:7" x14ac:dyDescent="0.25">
      <c r="A59" s="49" t="str">
        <f>'Data shares'!C54</f>
        <v>DELHIVERY</v>
      </c>
      <c r="B59" s="50">
        <f>VLOOKUP($A59,'Data shares'!$C:$FM,102)</f>
        <v>30.28</v>
      </c>
      <c r="C59" s="50">
        <f>VLOOKUP($A59,'Data shares'!$C:$FM,110)</f>
        <v>31.13</v>
      </c>
      <c r="D59" s="50">
        <f>VLOOKUP($A59,'Data shares'!$C:$FM,114)</f>
        <v>28.29</v>
      </c>
      <c r="E59" s="50">
        <f>VLOOKUP($A59,'Data shares'!$C:$FM,106)</f>
        <v>40.76</v>
      </c>
      <c r="F59" s="50">
        <f>VLOOKUP($A59,'Data shares'!$C:$FM,108)</f>
        <v>-10.48</v>
      </c>
      <c r="G59" s="50">
        <f t="shared" si="1"/>
        <v>0.74288518155053984</v>
      </c>
    </row>
    <row r="60" spans="1:7" x14ac:dyDescent="0.25">
      <c r="A60" s="49" t="str">
        <f>'Data shares'!C55</f>
        <v>DIVISLAB</v>
      </c>
      <c r="B60" s="50">
        <f>VLOOKUP($A60,'Data shares'!$C:$FM,102)</f>
        <v>26.78</v>
      </c>
      <c r="C60" s="50">
        <f>VLOOKUP($A60,'Data shares'!$C:$FM,110)</f>
        <v>25.29</v>
      </c>
      <c r="D60" s="50">
        <f>VLOOKUP($A60,'Data shares'!$C:$FM,114)</f>
        <v>29.29</v>
      </c>
      <c r="E60" s="50">
        <f>VLOOKUP($A60,'Data shares'!$C:$FM,106)</f>
        <v>32.17</v>
      </c>
      <c r="F60" s="50">
        <f>VLOOKUP($A60,'Data shares'!$C:$FM,108)</f>
        <v>-5.39</v>
      </c>
      <c r="G60" s="50">
        <f t="shared" si="1"/>
        <v>0.83245259558594964</v>
      </c>
    </row>
    <row r="61" spans="1:7" x14ac:dyDescent="0.25">
      <c r="A61" s="49" t="str">
        <f>'Data shares'!C56</f>
        <v>DIXON</v>
      </c>
      <c r="B61" s="50">
        <f>VLOOKUP($A61,'Data shares'!$C:$FM,102)</f>
        <v>38.03</v>
      </c>
      <c r="C61" s="50">
        <f>VLOOKUP($A61,'Data shares'!$C:$FM,110)</f>
        <v>37.4</v>
      </c>
      <c r="D61" s="50">
        <f>VLOOKUP($A61,'Data shares'!$C:$FM,114)</f>
        <v>39.18</v>
      </c>
      <c r="E61" s="50">
        <f>VLOOKUP($A61,'Data shares'!$C:$FM,106)</f>
        <v>45.1</v>
      </c>
      <c r="F61" s="50">
        <f>VLOOKUP($A61,'Data shares'!$C:$FM,108)</f>
        <v>-7.07</v>
      </c>
      <c r="G61" s="50">
        <f t="shared" si="1"/>
        <v>0.84323725055432375</v>
      </c>
    </row>
    <row r="62" spans="1:7" x14ac:dyDescent="0.25">
      <c r="A62" s="49" t="str">
        <f>'Data shares'!C57</f>
        <v>DLF</v>
      </c>
      <c r="B62" s="50">
        <f>VLOOKUP($A62,'Data shares'!$C:$FM,102)</f>
        <v>24.99</v>
      </c>
      <c r="C62" s="50">
        <f>VLOOKUP($A62,'Data shares'!$C:$FM,110)</f>
        <v>24.43</v>
      </c>
      <c r="D62" s="50">
        <f>VLOOKUP($A62,'Data shares'!$C:$FM,114)</f>
        <v>26.34</v>
      </c>
      <c r="E62" s="50">
        <f>VLOOKUP($A62,'Data shares'!$C:$FM,106)</f>
        <v>36.99</v>
      </c>
      <c r="F62" s="50">
        <f>VLOOKUP($A62,'Data shares'!$C:$FM,108)</f>
        <v>-12</v>
      </c>
      <c r="G62" s="50">
        <f t="shared" si="1"/>
        <v>0.67558799675587988</v>
      </c>
    </row>
    <row r="63" spans="1:7" x14ac:dyDescent="0.25">
      <c r="A63" s="49" t="str">
        <f>'Data shares'!C58</f>
        <v>DMART</v>
      </c>
      <c r="B63" s="50">
        <f>VLOOKUP($A63,'Data shares'!$C:$FM,102)</f>
        <v>25.25</v>
      </c>
      <c r="C63" s="50">
        <f>VLOOKUP($A63,'Data shares'!$C:$FM,110)</f>
        <v>25.64</v>
      </c>
      <c r="D63" s="50">
        <f>VLOOKUP($A63,'Data shares'!$C:$FM,114)</f>
        <v>24.11</v>
      </c>
      <c r="E63" s="50">
        <f>VLOOKUP($A63,'Data shares'!$C:$FM,106)</f>
        <v>32.840000000000003</v>
      </c>
      <c r="F63" s="50">
        <f>VLOOKUP($A63,'Data shares'!$C:$FM,108)</f>
        <v>-7.59</v>
      </c>
      <c r="G63" s="50">
        <f t="shared" si="1"/>
        <v>0.76887941534713755</v>
      </c>
    </row>
    <row r="64" spans="1:7" x14ac:dyDescent="0.25">
      <c r="A64" s="49" t="str">
        <f>'Data shares'!C59</f>
        <v>DRREDDY</v>
      </c>
      <c r="B64" s="50">
        <f>VLOOKUP($A64,'Data shares'!$C:$FM,102)</f>
        <v>24.55</v>
      </c>
      <c r="C64" s="50">
        <f>VLOOKUP($A64,'Data shares'!$C:$FM,110)</f>
        <v>24.21</v>
      </c>
      <c r="D64" s="50">
        <f>VLOOKUP($A64,'Data shares'!$C:$FM,114)</f>
        <v>25.34</v>
      </c>
      <c r="E64" s="50">
        <f>VLOOKUP($A64,'Data shares'!$C:$FM,106)</f>
        <v>24.77</v>
      </c>
      <c r="F64" s="50">
        <f>VLOOKUP($A64,'Data shares'!$C:$FM,108)</f>
        <v>-0.22</v>
      </c>
      <c r="G64" s="50">
        <f t="shared" si="1"/>
        <v>0.99111828825191772</v>
      </c>
    </row>
    <row r="65" spans="1:7" x14ac:dyDescent="0.25">
      <c r="A65" s="49" t="str">
        <f>'Data shares'!C60</f>
        <v>EICHERMOT</v>
      </c>
      <c r="B65" s="50">
        <f>VLOOKUP($A65,'Data shares'!$C:$FM,102)</f>
        <v>20.52</v>
      </c>
      <c r="C65" s="50">
        <f>VLOOKUP($A65,'Data shares'!$C:$FM,110)</f>
        <v>20.21</v>
      </c>
      <c r="D65" s="50">
        <f>VLOOKUP($A65,'Data shares'!$C:$FM,114)</f>
        <v>21.36</v>
      </c>
      <c r="E65" s="50">
        <f>VLOOKUP($A65,'Data shares'!$C:$FM,106)</f>
        <v>28.02</v>
      </c>
      <c r="F65" s="50">
        <f>VLOOKUP($A65,'Data shares'!$C:$FM,108)</f>
        <v>-7.5</v>
      </c>
      <c r="G65" s="50">
        <f t="shared" si="1"/>
        <v>0.73233404710920769</v>
      </c>
    </row>
    <row r="66" spans="1:7" x14ac:dyDescent="0.25">
      <c r="A66" s="49" t="str">
        <f>'Data shares'!C61</f>
        <v>ETERNAL</v>
      </c>
      <c r="B66" s="50">
        <f>VLOOKUP($A66,'Data shares'!$C:$FM,102)</f>
        <v>46.3</v>
      </c>
      <c r="C66" s="50">
        <f>VLOOKUP($A66,'Data shares'!$C:$FM,110)</f>
        <v>45.42</v>
      </c>
      <c r="D66" s="50">
        <f>VLOOKUP($A66,'Data shares'!$C:$FM,114)</f>
        <v>47.74</v>
      </c>
      <c r="E66" s="50">
        <f>VLOOKUP($A66,'Data shares'!$C:$FM,106)</f>
        <v>45.7</v>
      </c>
      <c r="F66" s="50">
        <f>VLOOKUP($A66,'Data shares'!$C:$FM,108)</f>
        <v>0.6</v>
      </c>
      <c r="G66" s="50">
        <f t="shared" si="1"/>
        <v>1.0131291028446388</v>
      </c>
    </row>
    <row r="67" spans="1:7" x14ac:dyDescent="0.25">
      <c r="A67" s="49" t="str">
        <f>'Data shares'!C62</f>
        <v>EXIDEIND</v>
      </c>
      <c r="B67" s="50">
        <f>VLOOKUP($A67,'Data shares'!$C:$FM,102)</f>
        <v>22.25</v>
      </c>
      <c r="C67" s="50">
        <f>VLOOKUP($A67,'Data shares'!$C:$FM,110)</f>
        <v>22.1</v>
      </c>
      <c r="D67" s="50">
        <f>VLOOKUP($A67,'Data shares'!$C:$FM,114)</f>
        <v>22.54</v>
      </c>
      <c r="E67" s="50">
        <f>VLOOKUP($A67,'Data shares'!$C:$FM,106)</f>
        <v>35.729999999999997</v>
      </c>
      <c r="F67" s="50">
        <f>VLOOKUP($A67,'Data shares'!$C:$FM,108)</f>
        <v>-13.48</v>
      </c>
      <c r="G67" s="50">
        <f t="shared" si="1"/>
        <v>0.6227260005597538</v>
      </c>
    </row>
    <row r="68" spans="1:7" x14ac:dyDescent="0.25">
      <c r="A68" s="49" t="str">
        <f>'Data shares'!C63</f>
        <v>FEDERALBNK</v>
      </c>
      <c r="B68" s="50">
        <f>VLOOKUP($A68,'Data shares'!$C:$FM,102)</f>
        <v>31.71</v>
      </c>
      <c r="C68" s="50">
        <f>VLOOKUP($A68,'Data shares'!$C:$FM,110)</f>
        <v>31.74</v>
      </c>
      <c r="D68" s="50">
        <f>VLOOKUP($A68,'Data shares'!$C:$FM,114)</f>
        <v>31.62</v>
      </c>
      <c r="E68" s="50">
        <f>VLOOKUP($A68,'Data shares'!$C:$FM,106)</f>
        <v>28.65</v>
      </c>
      <c r="F68" s="50">
        <f>VLOOKUP($A68,'Data shares'!$C:$FM,108)</f>
        <v>3.06</v>
      </c>
      <c r="G68" s="50">
        <f t="shared" si="1"/>
        <v>1.1068062827225131</v>
      </c>
    </row>
    <row r="69" spans="1:7" x14ac:dyDescent="0.25">
      <c r="A69" s="49" t="str">
        <f>'Data shares'!C64</f>
        <v>FINNIFTY</v>
      </c>
      <c r="B69" s="50">
        <f>VLOOKUP($A69,'Data shares'!$C:$FM,102)</f>
        <v>12.62</v>
      </c>
      <c r="C69" s="50">
        <f>VLOOKUP($A69,'Data shares'!$C:$FM,110)</f>
        <v>11.92</v>
      </c>
      <c r="D69" s="50">
        <f>VLOOKUP($A69,'Data shares'!$C:$FM,114)</f>
        <v>13.78</v>
      </c>
      <c r="E69" s="50">
        <f>VLOOKUP($A69,'Data shares'!$C:$FM,106)</f>
        <v>17.71</v>
      </c>
      <c r="F69" s="50">
        <f>VLOOKUP($A69,'Data shares'!$C:$FM,108)</f>
        <v>-5.09</v>
      </c>
      <c r="G69" s="50">
        <f t="shared" si="1"/>
        <v>0.7125917560700169</v>
      </c>
    </row>
    <row r="70" spans="1:7" x14ac:dyDescent="0.25">
      <c r="A70" s="49" t="str">
        <f>'Data shares'!C65</f>
        <v>FORTIS</v>
      </c>
      <c r="B70" s="50">
        <f>VLOOKUP($A70,'Data shares'!$C:$FM,102)</f>
        <v>25.81</v>
      </c>
      <c r="C70" s="50">
        <f>VLOOKUP($A70,'Data shares'!$C:$FM,110)</f>
        <v>24.98</v>
      </c>
      <c r="D70" s="50">
        <f>VLOOKUP($A70,'Data shares'!$C:$FM,114)</f>
        <v>27.51</v>
      </c>
      <c r="E70" s="50">
        <f>VLOOKUP($A70,'Data shares'!$C:$FM,106)</f>
        <v>36.85</v>
      </c>
      <c r="F70" s="50">
        <f>VLOOKUP($A70,'Data shares'!$C:$FM,108)</f>
        <v>-11.04</v>
      </c>
      <c r="G70" s="50">
        <f t="shared" si="1"/>
        <v>0.70040705563093619</v>
      </c>
    </row>
    <row r="71" spans="1:7" x14ac:dyDescent="0.25">
      <c r="A71" s="49" t="str">
        <f>'Data shares'!C66</f>
        <v>GAIL</v>
      </c>
      <c r="B71" s="50">
        <f>VLOOKUP($A71,'Data shares'!$C:$FM,102)</f>
        <v>24.5</v>
      </c>
      <c r="C71" s="50">
        <f>VLOOKUP($A71,'Data shares'!$C:$FM,110)</f>
        <v>24.38</v>
      </c>
      <c r="D71" s="50">
        <f>VLOOKUP($A71,'Data shares'!$C:$FM,114)</f>
        <v>24.7</v>
      </c>
      <c r="E71" s="50">
        <f>VLOOKUP($A71,'Data shares'!$C:$FM,106)</f>
        <v>36.450000000000003</v>
      </c>
      <c r="F71" s="50">
        <f>VLOOKUP($A71,'Data shares'!$C:$FM,108)</f>
        <v>-11.95</v>
      </c>
      <c r="G71" s="50">
        <f t="shared" ref="G71:G102" si="2">B71/E71</f>
        <v>0.67215363511659798</v>
      </c>
    </row>
    <row r="72" spans="1:7" x14ac:dyDescent="0.25">
      <c r="A72" s="49" t="str">
        <f>'Data shares'!C67</f>
        <v>GLENMARK</v>
      </c>
      <c r="B72" s="50">
        <f>VLOOKUP($A72,'Data shares'!$C:$FM,102)</f>
        <v>27.88</v>
      </c>
      <c r="C72" s="50">
        <f>VLOOKUP($A72,'Data shares'!$C:$FM,110)</f>
        <v>28.95</v>
      </c>
      <c r="D72" s="50">
        <f>VLOOKUP($A72,'Data shares'!$C:$FM,114)</f>
        <v>25.5</v>
      </c>
      <c r="E72" s="50">
        <f>VLOOKUP($A72,'Data shares'!$C:$FM,106)</f>
        <v>38.229999999999997</v>
      </c>
      <c r="F72" s="50">
        <f>VLOOKUP($A72,'Data shares'!$C:$FM,108)</f>
        <v>-10.35</v>
      </c>
      <c r="G72" s="50">
        <f t="shared" si="2"/>
        <v>0.72927020664399689</v>
      </c>
    </row>
    <row r="73" spans="1:7" x14ac:dyDescent="0.25">
      <c r="A73" s="49" t="str">
        <f>'Data shares'!C68</f>
        <v>GMRAIRPORT</v>
      </c>
      <c r="B73" s="50">
        <f>VLOOKUP($A73,'Data shares'!$C:$FM,102)</f>
        <v>26.48</v>
      </c>
      <c r="C73" s="50">
        <f>VLOOKUP($A73,'Data shares'!$C:$FM,110)</f>
        <v>25.66</v>
      </c>
      <c r="D73" s="50">
        <f>VLOOKUP($A73,'Data shares'!$C:$FM,114)</f>
        <v>28.01</v>
      </c>
      <c r="E73" s="50">
        <f>VLOOKUP($A73,'Data shares'!$C:$FM,106)</f>
        <v>37.340000000000003</v>
      </c>
      <c r="F73" s="50">
        <f>VLOOKUP($A73,'Data shares'!$C:$FM,108)</f>
        <v>-10.86</v>
      </c>
      <c r="G73" s="50">
        <f t="shared" si="2"/>
        <v>0.70915907873593997</v>
      </c>
    </row>
    <row r="74" spans="1:7" x14ac:dyDescent="0.25">
      <c r="A74" s="49" t="str">
        <f>'Data shares'!C69</f>
        <v>GODREJCP</v>
      </c>
      <c r="B74" s="50">
        <f>VLOOKUP($A74,'Data shares'!$C:$FM,102)</f>
        <v>26.58</v>
      </c>
      <c r="C74" s="50">
        <f>VLOOKUP($A74,'Data shares'!$C:$FM,110)</f>
        <v>26.86</v>
      </c>
      <c r="D74" s="50">
        <f>VLOOKUP($A74,'Data shares'!$C:$FM,114)</f>
        <v>25.23</v>
      </c>
      <c r="E74" s="50">
        <f>VLOOKUP($A74,'Data shares'!$C:$FM,106)</f>
        <v>29.91</v>
      </c>
      <c r="F74" s="50">
        <f>VLOOKUP($A74,'Data shares'!$C:$FM,108)</f>
        <v>-3.33</v>
      </c>
      <c r="G74" s="50">
        <f t="shared" si="2"/>
        <v>0.88866599799398194</v>
      </c>
    </row>
    <row r="75" spans="1:7" x14ac:dyDescent="0.25">
      <c r="A75" s="49" t="str">
        <f>'Data shares'!C70</f>
        <v>GODREJPROP</v>
      </c>
      <c r="B75" s="50">
        <f>VLOOKUP($A75,'Data shares'!$C:$FM,102)</f>
        <v>29.57</v>
      </c>
      <c r="C75" s="50">
        <f>VLOOKUP($A75,'Data shares'!$C:$FM,110)</f>
        <v>28.85</v>
      </c>
      <c r="D75" s="50">
        <f>VLOOKUP($A75,'Data shares'!$C:$FM,114)</f>
        <v>31.12</v>
      </c>
      <c r="E75" s="50">
        <f>VLOOKUP($A75,'Data shares'!$C:$FM,106)</f>
        <v>44.42</v>
      </c>
      <c r="F75" s="50">
        <f>VLOOKUP($A75,'Data shares'!$C:$FM,108)</f>
        <v>-14.85</v>
      </c>
      <c r="G75" s="50">
        <f t="shared" si="2"/>
        <v>0.66569113012156689</v>
      </c>
    </row>
    <row r="76" spans="1:7" x14ac:dyDescent="0.25">
      <c r="A76" s="49" t="str">
        <f>'Data shares'!C71</f>
        <v>GRASIM</v>
      </c>
      <c r="B76" s="50">
        <f>VLOOKUP($A76,'Data shares'!$C:$FM,102)</f>
        <v>18.690000000000001</v>
      </c>
      <c r="C76" s="50">
        <f>VLOOKUP($A76,'Data shares'!$C:$FM,110)</f>
        <v>18.64</v>
      </c>
      <c r="D76" s="50">
        <f>VLOOKUP($A76,'Data shares'!$C:$FM,114)</f>
        <v>18.79</v>
      </c>
      <c r="E76" s="50">
        <f>VLOOKUP($A76,'Data shares'!$C:$FM,106)</f>
        <v>25.54</v>
      </c>
      <c r="F76" s="50">
        <f>VLOOKUP($A76,'Data shares'!$C:$FM,108)</f>
        <v>-6.85</v>
      </c>
      <c r="G76" s="50">
        <f t="shared" si="2"/>
        <v>0.73179326546593582</v>
      </c>
    </row>
    <row r="77" spans="1:7" x14ac:dyDescent="0.25">
      <c r="A77" s="49" t="str">
        <f>'Data shares'!C72</f>
        <v>HAL</v>
      </c>
      <c r="B77" s="50">
        <f>VLOOKUP($A77,'Data shares'!$C:$FM,102)</f>
        <v>25.8</v>
      </c>
      <c r="C77" s="50">
        <f>VLOOKUP($A77,'Data shares'!$C:$FM,110)</f>
        <v>25.81</v>
      </c>
      <c r="D77" s="50">
        <f>VLOOKUP($A77,'Data shares'!$C:$FM,114)</f>
        <v>25.77</v>
      </c>
      <c r="E77" s="50">
        <f>VLOOKUP($A77,'Data shares'!$C:$FM,106)</f>
        <v>39.840000000000003</v>
      </c>
      <c r="F77" s="50">
        <f>VLOOKUP($A77,'Data shares'!$C:$FM,108)</f>
        <v>-14.04</v>
      </c>
      <c r="G77" s="50">
        <f t="shared" si="2"/>
        <v>0.64759036144578308</v>
      </c>
    </row>
    <row r="78" spans="1:7" x14ac:dyDescent="0.25">
      <c r="A78" s="49" t="str">
        <f>'Data shares'!C73</f>
        <v>HAVELLS</v>
      </c>
      <c r="B78" s="50">
        <f>VLOOKUP($A78,'Data shares'!$C:$FM,102)</f>
        <v>28.64</v>
      </c>
      <c r="C78" s="50">
        <f>VLOOKUP($A78,'Data shares'!$C:$FM,110)</f>
        <v>28.69</v>
      </c>
      <c r="D78" s="50">
        <f>VLOOKUP($A78,'Data shares'!$C:$FM,114)</f>
        <v>28.49</v>
      </c>
      <c r="E78" s="50">
        <f>VLOOKUP($A78,'Data shares'!$C:$FM,106)</f>
        <v>28.59</v>
      </c>
      <c r="F78" s="50">
        <f>VLOOKUP($A78,'Data shares'!$C:$FM,108)</f>
        <v>0.05</v>
      </c>
      <c r="G78" s="50">
        <f t="shared" si="2"/>
        <v>1.0017488632388947</v>
      </c>
    </row>
    <row r="79" spans="1:7" x14ac:dyDescent="0.25">
      <c r="A79" s="49" t="str">
        <f>'Data shares'!C74</f>
        <v>HCLTECH</v>
      </c>
      <c r="B79" s="50">
        <f>VLOOKUP($A79,'Data shares'!$C:$FM,102)</f>
        <v>21.67</v>
      </c>
      <c r="C79" s="50">
        <f>VLOOKUP($A79,'Data shares'!$C:$FM,110)</f>
        <v>21.28</v>
      </c>
      <c r="D79" s="50">
        <f>VLOOKUP($A79,'Data shares'!$C:$FM,114)</f>
        <v>22.37</v>
      </c>
      <c r="E79" s="50">
        <f>VLOOKUP($A79,'Data shares'!$C:$FM,106)</f>
        <v>28.93</v>
      </c>
      <c r="F79" s="50">
        <f>VLOOKUP($A79,'Data shares'!$C:$FM,108)</f>
        <v>-7.26</v>
      </c>
      <c r="G79" s="50">
        <f t="shared" si="2"/>
        <v>0.74904942965779475</v>
      </c>
    </row>
    <row r="80" spans="1:7" x14ac:dyDescent="0.25">
      <c r="A80" s="49" t="str">
        <f>'Data shares'!C75</f>
        <v>HDFCAMC</v>
      </c>
      <c r="B80" s="50">
        <f>VLOOKUP($A80,'Data shares'!$C:$FM,102)</f>
        <v>23.6</v>
      </c>
      <c r="C80" s="50">
        <f>VLOOKUP($A80,'Data shares'!$C:$FM,110)</f>
        <v>23.15</v>
      </c>
      <c r="D80" s="50">
        <f>VLOOKUP($A80,'Data shares'!$C:$FM,114)</f>
        <v>24.71</v>
      </c>
      <c r="E80" s="50">
        <f>VLOOKUP($A80,'Data shares'!$C:$FM,106)</f>
        <v>35.07</v>
      </c>
      <c r="F80" s="50">
        <f>VLOOKUP($A80,'Data shares'!$C:$FM,108)</f>
        <v>-11.47</v>
      </c>
      <c r="G80" s="50">
        <f t="shared" si="2"/>
        <v>0.67293983461648132</v>
      </c>
    </row>
    <row r="81" spans="1:7" x14ac:dyDescent="0.25">
      <c r="A81" s="49" t="str">
        <f>'Data shares'!C76</f>
        <v>HDFCBANK</v>
      </c>
      <c r="B81" s="50">
        <f>VLOOKUP($A81,'Data shares'!$C:$FM,102)</f>
        <v>21.19</v>
      </c>
      <c r="C81" s="50">
        <f>VLOOKUP($A81,'Data shares'!$C:$FM,110)</f>
        <v>20.54</v>
      </c>
      <c r="D81" s="50">
        <f>VLOOKUP($A81,'Data shares'!$C:$FM,114)</f>
        <v>22.21</v>
      </c>
      <c r="E81" s="50">
        <f>VLOOKUP($A81,'Data shares'!$C:$FM,106)</f>
        <v>21.2</v>
      </c>
      <c r="F81" s="50">
        <f>VLOOKUP($A81,'Data shares'!$C:$FM,108)</f>
        <v>-0.01</v>
      </c>
      <c r="G81" s="50">
        <f t="shared" si="2"/>
        <v>0.99952830188679254</v>
      </c>
    </row>
    <row r="82" spans="1:7" x14ac:dyDescent="0.25">
      <c r="A82" s="49" t="str">
        <f>'Data shares'!C77</f>
        <v>HDFCLIFE</v>
      </c>
      <c r="B82" s="50">
        <f>VLOOKUP($A82,'Data shares'!$C:$FM,102)</f>
        <v>21.49</v>
      </c>
      <c r="C82" s="50">
        <f>VLOOKUP($A82,'Data shares'!$C:$FM,110)</f>
        <v>22.08</v>
      </c>
      <c r="D82" s="50">
        <f>VLOOKUP($A82,'Data shares'!$C:$FM,114)</f>
        <v>20.13</v>
      </c>
      <c r="E82" s="50">
        <f>VLOOKUP($A82,'Data shares'!$C:$FM,106)</f>
        <v>26.11</v>
      </c>
      <c r="F82" s="50">
        <f>VLOOKUP($A82,'Data shares'!$C:$FM,108)</f>
        <v>-4.62</v>
      </c>
      <c r="G82" s="50">
        <f t="shared" si="2"/>
        <v>0.82305630026809651</v>
      </c>
    </row>
    <row r="83" spans="1:7" x14ac:dyDescent="0.25">
      <c r="A83" s="49" t="str">
        <f>'Data shares'!C78</f>
        <v>HEROMOTOCO</v>
      </c>
      <c r="B83" s="50">
        <f>VLOOKUP($A83,'Data shares'!$C:$FM,102)</f>
        <v>23.79</v>
      </c>
      <c r="C83" s="50">
        <f>VLOOKUP($A83,'Data shares'!$C:$FM,110)</f>
        <v>23.46</v>
      </c>
      <c r="D83" s="50">
        <f>VLOOKUP($A83,'Data shares'!$C:$FM,114)</f>
        <v>24.38</v>
      </c>
      <c r="E83" s="50">
        <f>VLOOKUP($A83,'Data shares'!$C:$FM,106)</f>
        <v>30.71</v>
      </c>
      <c r="F83" s="50">
        <f>VLOOKUP($A83,'Data shares'!$C:$FM,108)</f>
        <v>-6.92</v>
      </c>
      <c r="G83" s="50">
        <f t="shared" si="2"/>
        <v>0.77466623249755773</v>
      </c>
    </row>
    <row r="84" spans="1:7" x14ac:dyDescent="0.25">
      <c r="A84" s="49" t="str">
        <f>'Data shares'!C79</f>
        <v>HFCL</v>
      </c>
      <c r="B84" s="50">
        <f>VLOOKUP($A84,'Data shares'!$C:$FM,102)</f>
        <v>49.88</v>
      </c>
      <c r="C84" s="50">
        <f>VLOOKUP($A84,'Data shares'!$C:$FM,110)</f>
        <v>50.04</v>
      </c>
      <c r="D84" s="50">
        <f>VLOOKUP($A84,'Data shares'!$C:$FM,114)</f>
        <v>49.5</v>
      </c>
      <c r="E84" s="50">
        <f>VLOOKUP($A84,'Data shares'!$C:$FM,106)</f>
        <v>54.71</v>
      </c>
      <c r="F84" s="50">
        <f>VLOOKUP($A84,'Data shares'!$C:$FM,108)</f>
        <v>-4.83</v>
      </c>
      <c r="G84" s="50">
        <f t="shared" si="2"/>
        <v>0.91171632242734424</v>
      </c>
    </row>
    <row r="85" spans="1:7" x14ac:dyDescent="0.25">
      <c r="A85" s="49" t="str">
        <f>'Data shares'!C80</f>
        <v>HINDALCO</v>
      </c>
      <c r="B85" s="50">
        <f>VLOOKUP($A85,'Data shares'!$C:$FM,102)</f>
        <v>22.76</v>
      </c>
      <c r="C85" s="50">
        <f>VLOOKUP($A85,'Data shares'!$C:$FM,110)</f>
        <v>22.2</v>
      </c>
      <c r="D85" s="50">
        <f>VLOOKUP($A85,'Data shares'!$C:$FM,114)</f>
        <v>23.71</v>
      </c>
      <c r="E85" s="50">
        <f>VLOOKUP($A85,'Data shares'!$C:$FM,106)</f>
        <v>33.11</v>
      </c>
      <c r="F85" s="50">
        <f>VLOOKUP($A85,'Data shares'!$C:$FM,108)</f>
        <v>-10.35</v>
      </c>
      <c r="G85" s="50">
        <f t="shared" si="2"/>
        <v>0.68740561763817587</v>
      </c>
    </row>
    <row r="86" spans="1:7" x14ac:dyDescent="0.25">
      <c r="A86" s="49" t="str">
        <f>'Data shares'!C81</f>
        <v>HINDPETRO</v>
      </c>
      <c r="B86" s="50">
        <f>VLOOKUP($A86,'Data shares'!$C:$FM,102)</f>
        <v>31.82</v>
      </c>
      <c r="C86" s="50">
        <f>VLOOKUP($A86,'Data shares'!$C:$FM,110)</f>
        <v>31.7</v>
      </c>
      <c r="D86" s="50">
        <f>VLOOKUP($A86,'Data shares'!$C:$FM,114)</f>
        <v>32.06</v>
      </c>
      <c r="E86" s="50">
        <f>VLOOKUP($A86,'Data shares'!$C:$FM,106)</f>
        <v>40.729999999999997</v>
      </c>
      <c r="F86" s="50">
        <f>VLOOKUP($A86,'Data shares'!$C:$FM,108)</f>
        <v>-8.91</v>
      </c>
      <c r="G86" s="50">
        <f t="shared" si="2"/>
        <v>0.78124232752271061</v>
      </c>
    </row>
    <row r="87" spans="1:7" x14ac:dyDescent="0.25">
      <c r="A87" s="49" t="str">
        <f>'Data shares'!C82</f>
        <v>HINDUNILVR</v>
      </c>
      <c r="B87" s="50">
        <f>VLOOKUP($A87,'Data shares'!$C:$FM,102)</f>
        <v>20.97</v>
      </c>
      <c r="C87" s="50">
        <f>VLOOKUP($A87,'Data shares'!$C:$FM,110)</f>
        <v>20.63</v>
      </c>
      <c r="D87" s="50">
        <f>VLOOKUP($A87,'Data shares'!$C:$FM,114)</f>
        <v>21.62</v>
      </c>
      <c r="E87" s="50">
        <f>VLOOKUP($A87,'Data shares'!$C:$FM,106)</f>
        <v>22.66</v>
      </c>
      <c r="F87" s="50">
        <f>VLOOKUP($A87,'Data shares'!$C:$FM,108)</f>
        <v>-1.69</v>
      </c>
      <c r="G87" s="50">
        <f t="shared" si="2"/>
        <v>0.92541924095322148</v>
      </c>
    </row>
    <row r="88" spans="1:7" x14ac:dyDescent="0.25">
      <c r="A88" s="49" t="str">
        <f>'Data shares'!C83</f>
        <v>HINDZINC</v>
      </c>
      <c r="B88" s="50">
        <f>VLOOKUP($A88,'Data shares'!$C:$FM,102)</f>
        <v>36.85</v>
      </c>
      <c r="C88" s="50">
        <f>VLOOKUP($A88,'Data shares'!$C:$FM,110)</f>
        <v>37.229999999999997</v>
      </c>
      <c r="D88" s="50">
        <f>VLOOKUP($A88,'Data shares'!$C:$FM,114)</f>
        <v>35.76</v>
      </c>
      <c r="E88" s="50">
        <f>VLOOKUP($A88,'Data shares'!$C:$FM,106)</f>
        <v>44.56</v>
      </c>
      <c r="F88" s="50">
        <f>VLOOKUP($A88,'Data shares'!$C:$FM,108)</f>
        <v>-7.71</v>
      </c>
      <c r="G88" s="50">
        <f t="shared" si="2"/>
        <v>0.82697486535008979</v>
      </c>
    </row>
    <row r="89" spans="1:7" x14ac:dyDescent="0.25">
      <c r="A89" s="49" t="str">
        <f>'Data shares'!C84</f>
        <v>HUDCO</v>
      </c>
      <c r="B89" s="50">
        <f>VLOOKUP($A89,'Data shares'!$C:$FM,102)</f>
        <v>31.71</v>
      </c>
      <c r="C89" s="50">
        <f>VLOOKUP($A89,'Data shares'!$C:$FM,110)</f>
        <v>32.24</v>
      </c>
      <c r="D89" s="50">
        <f>VLOOKUP($A89,'Data shares'!$C:$FM,114)</f>
        <v>30.1</v>
      </c>
      <c r="E89" s="50">
        <f>VLOOKUP($A89,'Data shares'!$C:$FM,106)</f>
        <v>53.49</v>
      </c>
      <c r="F89" s="50">
        <f>VLOOKUP($A89,'Data shares'!$C:$FM,108)</f>
        <v>-21.78</v>
      </c>
      <c r="G89" s="50">
        <f t="shared" si="2"/>
        <v>0.59282108805384182</v>
      </c>
    </row>
    <row r="90" spans="1:7" x14ac:dyDescent="0.25">
      <c r="A90" s="49" t="str">
        <f>'Data shares'!C85</f>
        <v>ICICIBANK</v>
      </c>
      <c r="B90" s="50">
        <f>VLOOKUP($A90,'Data shares'!$C:$FM,102)</f>
        <v>20.89</v>
      </c>
      <c r="C90" s="50">
        <f>VLOOKUP($A90,'Data shares'!$C:$FM,110)</f>
        <v>20.43</v>
      </c>
      <c r="D90" s="50">
        <f>VLOOKUP($A90,'Data shares'!$C:$FM,114)</f>
        <v>21.79</v>
      </c>
      <c r="E90" s="50">
        <f>VLOOKUP($A90,'Data shares'!$C:$FM,106)</f>
        <v>20.89</v>
      </c>
      <c r="F90" s="50">
        <f>VLOOKUP($A90,'Data shares'!$C:$FM,108)</f>
        <v>0</v>
      </c>
      <c r="G90" s="50">
        <f t="shared" si="2"/>
        <v>1</v>
      </c>
    </row>
    <row r="91" spans="1:7" x14ac:dyDescent="0.25">
      <c r="A91" s="49" t="str">
        <f>'Data shares'!C86</f>
        <v>ICICIGI</v>
      </c>
      <c r="B91" s="50">
        <f>VLOOKUP($A91,'Data shares'!$C:$FM,102)</f>
        <v>24.46</v>
      </c>
      <c r="C91" s="50">
        <f>VLOOKUP($A91,'Data shares'!$C:$FM,110)</f>
        <v>23.91</v>
      </c>
      <c r="D91" s="50">
        <f>VLOOKUP($A91,'Data shares'!$C:$FM,114)</f>
        <v>25.14</v>
      </c>
      <c r="E91" s="50">
        <f>VLOOKUP($A91,'Data shares'!$C:$FM,106)</f>
        <v>30.27</v>
      </c>
      <c r="F91" s="50">
        <f>VLOOKUP($A91,'Data shares'!$C:$FM,108)</f>
        <v>-5.81</v>
      </c>
      <c r="G91" s="50">
        <f t="shared" si="2"/>
        <v>0.80806078625702016</v>
      </c>
    </row>
    <row r="92" spans="1:7" x14ac:dyDescent="0.25">
      <c r="A92" s="49" t="str">
        <f>'Data shares'!C87</f>
        <v>ICICIPRULI</v>
      </c>
      <c r="B92" s="50">
        <f>VLOOKUP($A92,'Data shares'!$C:$FM,102)</f>
        <v>23.44</v>
      </c>
      <c r="C92" s="50">
        <f>VLOOKUP($A92,'Data shares'!$C:$FM,110)</f>
        <v>23.72</v>
      </c>
      <c r="D92" s="50">
        <f>VLOOKUP($A92,'Data shares'!$C:$FM,114)</f>
        <v>22.66</v>
      </c>
      <c r="E92" s="50">
        <f>VLOOKUP($A92,'Data shares'!$C:$FM,106)</f>
        <v>28.13</v>
      </c>
      <c r="F92" s="50">
        <f>VLOOKUP($A92,'Data shares'!$C:$FM,108)</f>
        <v>-4.6900000000000004</v>
      </c>
      <c r="G92" s="50">
        <f t="shared" si="2"/>
        <v>0.833274084607181</v>
      </c>
    </row>
    <row r="93" spans="1:7" x14ac:dyDescent="0.25">
      <c r="A93" s="49" t="str">
        <f>'Data shares'!C88</f>
        <v>IDEA</v>
      </c>
      <c r="B93" s="50">
        <f>VLOOKUP($A93,'Data shares'!$C:$FM,102)</f>
        <v>66.680000000000007</v>
      </c>
      <c r="C93" s="50">
        <f>VLOOKUP($A93,'Data shares'!$C:$FM,110)</f>
        <v>67.62</v>
      </c>
      <c r="D93" s="50">
        <f>VLOOKUP($A93,'Data shares'!$C:$FM,114)</f>
        <v>64.400000000000006</v>
      </c>
      <c r="E93" s="50">
        <f>VLOOKUP($A93,'Data shares'!$C:$FM,106)</f>
        <v>68.38</v>
      </c>
      <c r="F93" s="50">
        <f>VLOOKUP($A93,'Data shares'!$C:$FM,108)</f>
        <v>-1.7</v>
      </c>
      <c r="G93" s="50">
        <f t="shared" si="2"/>
        <v>0.97513892951155323</v>
      </c>
    </row>
    <row r="94" spans="1:7" x14ac:dyDescent="0.25">
      <c r="A94" s="49" t="str">
        <f>'Data shares'!C89</f>
        <v>IDFCFIRSTB</v>
      </c>
      <c r="B94" s="50">
        <f>VLOOKUP($A94,'Data shares'!$C:$FM,102)</f>
        <v>36.31</v>
      </c>
      <c r="C94" s="50">
        <f>VLOOKUP($A94,'Data shares'!$C:$FM,110)</f>
        <v>36.89</v>
      </c>
      <c r="D94" s="50">
        <f>VLOOKUP($A94,'Data shares'!$C:$FM,114)</f>
        <v>35.25</v>
      </c>
      <c r="E94" s="50">
        <f>VLOOKUP($A94,'Data shares'!$C:$FM,106)</f>
        <v>33.700000000000003</v>
      </c>
      <c r="F94" s="50">
        <f>VLOOKUP($A94,'Data shares'!$C:$FM,108)</f>
        <v>2.61</v>
      </c>
      <c r="G94" s="50">
        <f t="shared" si="2"/>
        <v>1.0774480712166172</v>
      </c>
    </row>
    <row r="95" spans="1:7" x14ac:dyDescent="0.25">
      <c r="A95" s="49" t="str">
        <f>'Data shares'!C90</f>
        <v>IEX</v>
      </c>
      <c r="B95" s="50">
        <f>VLOOKUP($A95,'Data shares'!$C:$FM,102)</f>
        <v>37.21</v>
      </c>
      <c r="C95" s="50">
        <f>VLOOKUP($A95,'Data shares'!$C:$FM,110)</f>
        <v>37.520000000000003</v>
      </c>
      <c r="D95" s="50">
        <f>VLOOKUP($A95,'Data shares'!$C:$FM,114)</f>
        <v>36.69</v>
      </c>
      <c r="E95" s="50">
        <f>VLOOKUP($A95,'Data shares'!$C:$FM,106)</f>
        <v>57.15</v>
      </c>
      <c r="F95" s="50">
        <f>VLOOKUP($A95,'Data shares'!$C:$FM,108)</f>
        <v>-19.940000000000001</v>
      </c>
      <c r="G95" s="50">
        <f t="shared" si="2"/>
        <v>0.6510936132983377</v>
      </c>
    </row>
    <row r="96" spans="1:7" x14ac:dyDescent="0.25">
      <c r="A96" s="49" t="str">
        <f>'Data shares'!C91</f>
        <v>IGL</v>
      </c>
      <c r="B96" s="50">
        <f>VLOOKUP($A96,'Data shares'!$C:$FM,102)</f>
        <v>30.85</v>
      </c>
      <c r="C96" s="50">
        <f>VLOOKUP($A96,'Data shares'!$C:$FM,110)</f>
        <v>31.15</v>
      </c>
      <c r="D96" s="50">
        <f>VLOOKUP($A96,'Data shares'!$C:$FM,114)</f>
        <v>30.1</v>
      </c>
      <c r="E96" s="50">
        <f>VLOOKUP($A96,'Data shares'!$C:$FM,106)</f>
        <v>41.95</v>
      </c>
      <c r="F96" s="50">
        <f>VLOOKUP($A96,'Data shares'!$C:$FM,108)</f>
        <v>-11.1</v>
      </c>
      <c r="G96" s="50">
        <f t="shared" si="2"/>
        <v>0.73539928486293205</v>
      </c>
    </row>
    <row r="97" spans="1:7" x14ac:dyDescent="0.25">
      <c r="A97" s="49" t="str">
        <f>'Data shares'!C92</f>
        <v>IIFL</v>
      </c>
      <c r="B97" s="50">
        <f>VLOOKUP($A97,'Data shares'!$C:$FM,102)</f>
        <v>32.25</v>
      </c>
      <c r="C97" s="50">
        <f>VLOOKUP($A97,'Data shares'!$C:$FM,110)</f>
        <v>32.090000000000003</v>
      </c>
      <c r="D97" s="50">
        <f>VLOOKUP($A97,'Data shares'!$C:$FM,114)</f>
        <v>32.590000000000003</v>
      </c>
      <c r="E97" s="50">
        <f>VLOOKUP($A97,'Data shares'!$C:$FM,106)</f>
        <v>52.47</v>
      </c>
      <c r="F97" s="50">
        <f>VLOOKUP($A97,'Data shares'!$C:$FM,108)</f>
        <v>-20.22</v>
      </c>
      <c r="G97" s="50">
        <f t="shared" si="2"/>
        <v>0.61463693539165243</v>
      </c>
    </row>
    <row r="98" spans="1:7" x14ac:dyDescent="0.25">
      <c r="A98" s="49" t="str">
        <f>'Data shares'!C93</f>
        <v>INDHOTEL</v>
      </c>
      <c r="B98" s="50">
        <f>VLOOKUP($A98,'Data shares'!$C:$FM,102)</f>
        <v>23.16</v>
      </c>
      <c r="C98" s="50">
        <f>VLOOKUP($A98,'Data shares'!$C:$FM,110)</f>
        <v>23.2</v>
      </c>
      <c r="D98" s="50">
        <f>VLOOKUP($A98,'Data shares'!$C:$FM,114)</f>
        <v>23.06</v>
      </c>
      <c r="E98" s="50">
        <f>VLOOKUP($A98,'Data shares'!$C:$FM,106)</f>
        <v>35.54</v>
      </c>
      <c r="F98" s="50">
        <f>VLOOKUP($A98,'Data shares'!$C:$FM,108)</f>
        <v>-12.38</v>
      </c>
      <c r="G98" s="50">
        <f t="shared" si="2"/>
        <v>0.65166010129431629</v>
      </c>
    </row>
    <row r="99" spans="1:7" x14ac:dyDescent="0.25">
      <c r="A99" s="49" t="str">
        <f>'Data shares'!C94</f>
        <v>INDIANB</v>
      </c>
      <c r="B99" s="50">
        <f>VLOOKUP($A99,'Data shares'!$C:$FM,102)</f>
        <v>28.71</v>
      </c>
      <c r="C99" s="50">
        <f>VLOOKUP($A99,'Data shares'!$C:$FM,110)</f>
        <v>29.12</v>
      </c>
      <c r="D99" s="50">
        <f>VLOOKUP($A99,'Data shares'!$C:$FM,114)</f>
        <v>27.77</v>
      </c>
      <c r="E99" s="50">
        <f>VLOOKUP($A99,'Data shares'!$C:$FM,106)</f>
        <v>38.229999999999997</v>
      </c>
      <c r="F99" s="50">
        <f>VLOOKUP($A99,'Data shares'!$C:$FM,108)</f>
        <v>-9.52</v>
      </c>
      <c r="G99" s="50">
        <f t="shared" si="2"/>
        <v>0.75098090504839143</v>
      </c>
    </row>
    <row r="100" spans="1:7" x14ac:dyDescent="0.25">
      <c r="A100" s="49" t="str">
        <f>'Data shares'!C95</f>
        <v>INDIAVIX</v>
      </c>
      <c r="B100" s="50">
        <f>VLOOKUP($A100,'Data shares'!$C:$FM,102)</f>
        <v>0</v>
      </c>
      <c r="C100" s="50">
        <f>VLOOKUP($A100,'Data shares'!$C:$FM,110)</f>
        <v>0</v>
      </c>
      <c r="D100" s="50">
        <f>VLOOKUP($A100,'Data shares'!$C:$FM,114)</f>
        <v>0</v>
      </c>
      <c r="E100" s="50">
        <f>VLOOKUP($A100,'Data shares'!$C:$FM,106)</f>
        <v>0</v>
      </c>
      <c r="F100" s="50">
        <f>VLOOKUP($A100,'Data shares'!$C:$FM,108)</f>
        <v>0</v>
      </c>
      <c r="G100" s="50" t="e">
        <f t="shared" si="2"/>
        <v>#DIV/0!</v>
      </c>
    </row>
    <row r="101" spans="1:7" x14ac:dyDescent="0.25">
      <c r="A101" s="49" t="str">
        <f>'Data shares'!C96</f>
        <v>INDIGO</v>
      </c>
      <c r="B101" s="50">
        <f>VLOOKUP($A101,'Data shares'!$C:$FM,102)</f>
        <v>20.47</v>
      </c>
      <c r="C101" s="50">
        <f>VLOOKUP($A101,'Data shares'!$C:$FM,110)</f>
        <v>19.600000000000001</v>
      </c>
      <c r="D101" s="50">
        <f>VLOOKUP($A101,'Data shares'!$C:$FM,114)</f>
        <v>22.23</v>
      </c>
      <c r="E101" s="50">
        <f>VLOOKUP($A101,'Data shares'!$C:$FM,106)</f>
        <v>32.700000000000003</v>
      </c>
      <c r="F101" s="50">
        <f>VLOOKUP($A101,'Data shares'!$C:$FM,108)</f>
        <v>-12.23</v>
      </c>
      <c r="G101" s="50">
        <f t="shared" si="2"/>
        <v>0.62599388379204879</v>
      </c>
    </row>
    <row r="102" spans="1:7" x14ac:dyDescent="0.25">
      <c r="A102" s="49" t="str">
        <f>'Data shares'!C97</f>
        <v>INDUSINDBK</v>
      </c>
      <c r="B102" s="50">
        <f>VLOOKUP($A102,'Data shares'!$C:$FM,102)</f>
        <v>39.340000000000003</v>
      </c>
      <c r="C102" s="50">
        <f>VLOOKUP($A102,'Data shares'!$C:$FM,110)</f>
        <v>39.380000000000003</v>
      </c>
      <c r="D102" s="50">
        <f>VLOOKUP($A102,'Data shares'!$C:$FM,114)</f>
        <v>39.26</v>
      </c>
      <c r="E102" s="50">
        <f>VLOOKUP($A102,'Data shares'!$C:$FM,106)</f>
        <v>47.2</v>
      </c>
      <c r="F102" s="50">
        <f>VLOOKUP($A102,'Data shares'!$C:$FM,108)</f>
        <v>-7.86</v>
      </c>
      <c r="G102" s="50">
        <f t="shared" si="2"/>
        <v>0.83347457627118648</v>
      </c>
    </row>
    <row r="103" spans="1:7" x14ac:dyDescent="0.25">
      <c r="A103" s="49" t="str">
        <f>'Data shares'!C98</f>
        <v>INDUSTOWER</v>
      </c>
      <c r="B103" s="50">
        <f>VLOOKUP($A103,'Data shares'!$C:$FM,102)</f>
        <v>31.1</v>
      </c>
      <c r="C103" s="50">
        <f>VLOOKUP($A103,'Data shares'!$C:$FM,110)</f>
        <v>31.39</v>
      </c>
      <c r="D103" s="50">
        <f>VLOOKUP($A103,'Data shares'!$C:$FM,114)</f>
        <v>30.54</v>
      </c>
      <c r="E103" s="50">
        <f>VLOOKUP($A103,'Data shares'!$C:$FM,106)</f>
        <v>39.81</v>
      </c>
      <c r="F103" s="50">
        <f>VLOOKUP($A103,'Data shares'!$C:$FM,108)</f>
        <v>-8.7100000000000009</v>
      </c>
      <c r="G103" s="50">
        <f t="shared" ref="G103:G134" si="3">B103/E103</f>
        <v>0.78121075106757099</v>
      </c>
    </row>
    <row r="104" spans="1:7" x14ac:dyDescent="0.25">
      <c r="A104" s="49" t="str">
        <f>'Data shares'!C99</f>
        <v>INFY</v>
      </c>
      <c r="B104" s="50">
        <f>VLOOKUP($A104,'Data shares'!$C:$FM,102)</f>
        <v>34.9</v>
      </c>
      <c r="C104" s="50">
        <f>VLOOKUP($A104,'Data shares'!$C:$FM,110)</f>
        <v>35.840000000000003</v>
      </c>
      <c r="D104" s="50">
        <f>VLOOKUP($A104,'Data shares'!$C:$FM,114)</f>
        <v>32.82</v>
      </c>
      <c r="E104" s="50">
        <f>VLOOKUP($A104,'Data shares'!$C:$FM,106)</f>
        <v>29.29</v>
      </c>
      <c r="F104" s="50">
        <f>VLOOKUP($A104,'Data shares'!$C:$FM,108)</f>
        <v>5.61</v>
      </c>
      <c r="G104" s="50">
        <f t="shared" si="3"/>
        <v>1.1915329463980882</v>
      </c>
    </row>
    <row r="105" spans="1:7" x14ac:dyDescent="0.25">
      <c r="A105" s="49" t="str">
        <f>'Data shares'!C100</f>
        <v>INOXWIND</v>
      </c>
      <c r="B105" s="50">
        <f>VLOOKUP($A105,'Data shares'!$C:$FM,102)</f>
        <v>35.33</v>
      </c>
      <c r="C105" s="50">
        <f>VLOOKUP($A105,'Data shares'!$C:$FM,110)</f>
        <v>35.06</v>
      </c>
      <c r="D105" s="50">
        <f>VLOOKUP($A105,'Data shares'!$C:$FM,114)</f>
        <v>36.22</v>
      </c>
      <c r="E105" s="50">
        <f>VLOOKUP($A105,'Data shares'!$C:$FM,106)</f>
        <v>56.76</v>
      </c>
      <c r="F105" s="50">
        <f>VLOOKUP($A105,'Data shares'!$C:$FM,108)</f>
        <v>-21.43</v>
      </c>
      <c r="G105" s="50">
        <f t="shared" si="3"/>
        <v>0.62244538407329109</v>
      </c>
    </row>
    <row r="106" spans="1:7" x14ac:dyDescent="0.25">
      <c r="A106" s="49" t="str">
        <f>'Data shares'!C101</f>
        <v>IOC</v>
      </c>
      <c r="B106" s="50">
        <f>VLOOKUP($A106,'Data shares'!$C:$FM,102)</f>
        <v>24.59</v>
      </c>
      <c r="C106" s="50">
        <f>VLOOKUP($A106,'Data shares'!$C:$FM,110)</f>
        <v>24.87</v>
      </c>
      <c r="D106" s="50">
        <f>VLOOKUP($A106,'Data shares'!$C:$FM,114)</f>
        <v>24.11</v>
      </c>
      <c r="E106" s="50">
        <f>VLOOKUP($A106,'Data shares'!$C:$FM,106)</f>
        <v>31.99</v>
      </c>
      <c r="F106" s="50">
        <f>VLOOKUP($A106,'Data shares'!$C:$FM,108)</f>
        <v>-7.4</v>
      </c>
      <c r="G106" s="50">
        <f t="shared" si="3"/>
        <v>0.76867771178493283</v>
      </c>
    </row>
    <row r="107" spans="1:7" x14ac:dyDescent="0.25">
      <c r="A107" s="49" t="str">
        <f>'Data shares'!C102</f>
        <v>IRCTC</v>
      </c>
      <c r="B107" s="50">
        <f>VLOOKUP($A107,'Data shares'!$C:$FM,102)</f>
        <v>20.6</v>
      </c>
      <c r="C107" s="50">
        <f>VLOOKUP($A107,'Data shares'!$C:$FM,110)</f>
        <v>20.8</v>
      </c>
      <c r="D107" s="50">
        <f>VLOOKUP($A107,'Data shares'!$C:$FM,114)</f>
        <v>19.920000000000002</v>
      </c>
      <c r="E107" s="50">
        <f>VLOOKUP($A107,'Data shares'!$C:$FM,106)</f>
        <v>31.2</v>
      </c>
      <c r="F107" s="50">
        <f>VLOOKUP($A107,'Data shares'!$C:$FM,108)</f>
        <v>-10.6</v>
      </c>
      <c r="G107" s="50">
        <f t="shared" si="3"/>
        <v>0.66025641025641035</v>
      </c>
    </row>
    <row r="108" spans="1:7" x14ac:dyDescent="0.25">
      <c r="A108" s="49" t="str">
        <f>'Data shares'!C103</f>
        <v>IREDA</v>
      </c>
      <c r="B108" s="50">
        <f>VLOOKUP($A108,'Data shares'!$C:$FM,102)</f>
        <v>35.71</v>
      </c>
      <c r="C108" s="50">
        <f>VLOOKUP($A108,'Data shares'!$C:$FM,110)</f>
        <v>36.32</v>
      </c>
      <c r="D108" s="50">
        <f>VLOOKUP($A108,'Data shares'!$C:$FM,114)</f>
        <v>33.56</v>
      </c>
      <c r="E108" s="50">
        <f>VLOOKUP($A108,'Data shares'!$C:$FM,106)</f>
        <v>52.42</v>
      </c>
      <c r="F108" s="50">
        <f>VLOOKUP($A108,'Data shares'!$C:$FM,108)</f>
        <v>-16.71</v>
      </c>
      <c r="G108" s="50">
        <f t="shared" si="3"/>
        <v>0.68122853872567724</v>
      </c>
    </row>
    <row r="109" spans="1:7" x14ac:dyDescent="0.25">
      <c r="A109" s="49" t="str">
        <f>'Data shares'!C104</f>
        <v>IRFC</v>
      </c>
      <c r="B109" s="50">
        <f>VLOOKUP($A109,'Data shares'!$C:$FM,102)</f>
        <v>29.07</v>
      </c>
      <c r="C109" s="50">
        <f>VLOOKUP($A109,'Data shares'!$C:$FM,110)</f>
        <v>29.38</v>
      </c>
      <c r="D109" s="50">
        <f>VLOOKUP($A109,'Data shares'!$C:$FM,114)</f>
        <v>27.92</v>
      </c>
      <c r="E109" s="50">
        <f>VLOOKUP($A109,'Data shares'!$C:$FM,106)</f>
        <v>47.62</v>
      </c>
      <c r="F109" s="50">
        <f>VLOOKUP($A109,'Data shares'!$C:$FM,108)</f>
        <v>-18.55</v>
      </c>
      <c r="G109" s="50">
        <f t="shared" si="3"/>
        <v>0.61045779084418317</v>
      </c>
    </row>
    <row r="110" spans="1:7" x14ac:dyDescent="0.25">
      <c r="A110" s="49" t="str">
        <f>'Data shares'!C105</f>
        <v>ITC</v>
      </c>
      <c r="B110" s="50">
        <f>VLOOKUP($A110,'Data shares'!$C:$FM,102)</f>
        <v>15.06</v>
      </c>
      <c r="C110" s="50">
        <f>VLOOKUP($A110,'Data shares'!$C:$FM,110)</f>
        <v>14.77</v>
      </c>
      <c r="D110" s="50">
        <f>VLOOKUP($A110,'Data shares'!$C:$FM,114)</f>
        <v>15.58</v>
      </c>
      <c r="E110" s="50">
        <f>VLOOKUP($A110,'Data shares'!$C:$FM,106)</f>
        <v>19.649999999999999</v>
      </c>
      <c r="F110" s="50">
        <f>VLOOKUP($A110,'Data shares'!$C:$FM,108)</f>
        <v>-4.59</v>
      </c>
      <c r="G110" s="50">
        <f t="shared" si="3"/>
        <v>0.76641221374045809</v>
      </c>
    </row>
    <row r="111" spans="1:7" x14ac:dyDescent="0.25">
      <c r="A111" s="49" t="str">
        <f>'Data shares'!C106</f>
        <v>JINDALSTEL</v>
      </c>
      <c r="B111" s="50">
        <f>VLOOKUP($A111,'Data shares'!$C:$FM,102)</f>
        <v>26.63</v>
      </c>
      <c r="C111" s="50">
        <f>VLOOKUP($A111,'Data shares'!$C:$FM,110)</f>
        <v>26.51</v>
      </c>
      <c r="D111" s="50">
        <f>VLOOKUP($A111,'Data shares'!$C:$FM,114)</f>
        <v>26.94</v>
      </c>
      <c r="E111" s="50">
        <f>VLOOKUP($A111,'Data shares'!$C:$FM,106)</f>
        <v>36.159999999999997</v>
      </c>
      <c r="F111" s="50">
        <f>VLOOKUP($A111,'Data shares'!$C:$FM,108)</f>
        <v>-9.5299999999999994</v>
      </c>
      <c r="G111" s="50">
        <f t="shared" si="3"/>
        <v>0.73644911504424782</v>
      </c>
    </row>
    <row r="112" spans="1:7" x14ac:dyDescent="0.25">
      <c r="A112" s="49" t="str">
        <f>'Data shares'!C107</f>
        <v>JIOFIN</v>
      </c>
      <c r="B112" s="50">
        <f>VLOOKUP($A112,'Data shares'!$C:$FM,102)</f>
        <v>30.06</v>
      </c>
      <c r="C112" s="50">
        <f>VLOOKUP($A112,'Data shares'!$C:$FM,110)</f>
        <v>30.16</v>
      </c>
      <c r="D112" s="50">
        <f>VLOOKUP($A112,'Data shares'!$C:$FM,114)</f>
        <v>29.85</v>
      </c>
      <c r="E112" s="50">
        <f>VLOOKUP($A112,'Data shares'!$C:$FM,106)</f>
        <v>36.159999999999997</v>
      </c>
      <c r="F112" s="50">
        <f>VLOOKUP($A112,'Data shares'!$C:$FM,108)</f>
        <v>-6.1</v>
      </c>
      <c r="G112" s="50">
        <f t="shared" si="3"/>
        <v>0.83130530973451333</v>
      </c>
    </row>
    <row r="113" spans="1:7" x14ac:dyDescent="0.25">
      <c r="A113" s="49" t="str">
        <f>'Data shares'!C108</f>
        <v>JSWENERGY</v>
      </c>
      <c r="B113" s="50">
        <f>VLOOKUP($A113,'Data shares'!$C:$FM,102)</f>
        <v>36.700000000000003</v>
      </c>
      <c r="C113" s="50">
        <f>VLOOKUP($A113,'Data shares'!$C:$FM,110)</f>
        <v>36.86</v>
      </c>
      <c r="D113" s="50">
        <f>VLOOKUP($A113,'Data shares'!$C:$FM,114)</f>
        <v>36.01</v>
      </c>
      <c r="E113" s="50">
        <f>VLOOKUP($A113,'Data shares'!$C:$FM,106)</f>
        <v>45.27</v>
      </c>
      <c r="F113" s="50">
        <f>VLOOKUP($A113,'Data shares'!$C:$FM,108)</f>
        <v>-8.57</v>
      </c>
      <c r="G113" s="50">
        <f t="shared" si="3"/>
        <v>0.81069140711287824</v>
      </c>
    </row>
    <row r="114" spans="1:7" x14ac:dyDescent="0.25">
      <c r="A114" s="49" t="str">
        <f>'Data shares'!C109</f>
        <v>JSWSTEEL</v>
      </c>
      <c r="B114" s="50">
        <f>VLOOKUP($A114,'Data shares'!$C:$FM,102)</f>
        <v>25.73</v>
      </c>
      <c r="C114" s="50">
        <f>VLOOKUP($A114,'Data shares'!$C:$FM,110)</f>
        <v>25.54</v>
      </c>
      <c r="D114" s="50">
        <f>VLOOKUP($A114,'Data shares'!$C:$FM,114)</f>
        <v>26.13</v>
      </c>
      <c r="E114" s="50">
        <f>VLOOKUP($A114,'Data shares'!$C:$FM,106)</f>
        <v>29.52</v>
      </c>
      <c r="F114" s="50">
        <f>VLOOKUP($A114,'Data shares'!$C:$FM,108)</f>
        <v>-3.79</v>
      </c>
      <c r="G114" s="50">
        <f t="shared" si="3"/>
        <v>0.87161246612466126</v>
      </c>
    </row>
    <row r="115" spans="1:7" x14ac:dyDescent="0.25">
      <c r="A115" s="49" t="str">
        <f>'Data shares'!C110</f>
        <v>JUBLFOOD</v>
      </c>
      <c r="B115" s="50">
        <f>VLOOKUP($A115,'Data shares'!$C:$FM,102)</f>
        <v>26.81</v>
      </c>
      <c r="C115" s="50">
        <f>VLOOKUP($A115,'Data shares'!$C:$FM,110)</f>
        <v>27.13</v>
      </c>
      <c r="D115" s="50">
        <f>VLOOKUP($A115,'Data shares'!$C:$FM,114)</f>
        <v>25.59</v>
      </c>
      <c r="E115" s="50">
        <f>VLOOKUP($A115,'Data shares'!$C:$FM,106)</f>
        <v>34.01</v>
      </c>
      <c r="F115" s="50">
        <f>VLOOKUP($A115,'Data shares'!$C:$FM,108)</f>
        <v>-7.2</v>
      </c>
      <c r="G115" s="50">
        <f t="shared" si="3"/>
        <v>0.78829755954131142</v>
      </c>
    </row>
    <row r="116" spans="1:7" x14ac:dyDescent="0.25">
      <c r="A116" s="49" t="str">
        <f>'Data shares'!C111</f>
        <v>KALYANKJIL</v>
      </c>
      <c r="B116" s="50">
        <f>VLOOKUP($A116,'Data shares'!$C:$FM,102)</f>
        <v>33.369999999999997</v>
      </c>
      <c r="C116" s="50">
        <f>VLOOKUP($A116,'Data shares'!$C:$FM,110)</f>
        <v>33.75</v>
      </c>
      <c r="D116" s="50">
        <f>VLOOKUP($A116,'Data shares'!$C:$FM,114)</f>
        <v>32.36</v>
      </c>
      <c r="E116" s="50">
        <f>VLOOKUP($A116,'Data shares'!$C:$FM,106)</f>
        <v>51.78</v>
      </c>
      <c r="F116" s="50">
        <f>VLOOKUP($A116,'Data shares'!$C:$FM,108)</f>
        <v>-18.41</v>
      </c>
      <c r="G116" s="50">
        <f t="shared" si="3"/>
        <v>0.64445731942835061</v>
      </c>
    </row>
    <row r="117" spans="1:7" x14ac:dyDescent="0.25">
      <c r="A117" s="49" t="str">
        <f>'Data shares'!C112</f>
        <v>KAYNES</v>
      </c>
      <c r="B117" s="50">
        <f>VLOOKUP($A117,'Data shares'!$C:$FM,102)</f>
        <v>41.15</v>
      </c>
      <c r="C117" s="50">
        <f>VLOOKUP($A117,'Data shares'!$C:$FM,110)</f>
        <v>41.33</v>
      </c>
      <c r="D117" s="50">
        <f>VLOOKUP($A117,'Data shares'!$C:$FM,114)</f>
        <v>40.520000000000003</v>
      </c>
      <c r="E117" s="50">
        <f>VLOOKUP($A117,'Data shares'!$C:$FM,106)</f>
        <v>55.71</v>
      </c>
      <c r="F117" s="50">
        <f>VLOOKUP($A117,'Data shares'!$C:$FM,108)</f>
        <v>-14.56</v>
      </c>
      <c r="G117" s="50">
        <f t="shared" si="3"/>
        <v>0.73864656255609407</v>
      </c>
    </row>
    <row r="118" spans="1:7" x14ac:dyDescent="0.25">
      <c r="A118" s="49" t="str">
        <f>'Data shares'!C113</f>
        <v>KEI</v>
      </c>
      <c r="B118" s="50">
        <f>VLOOKUP($A118,'Data shares'!$C:$FM,102)</f>
        <v>34.15</v>
      </c>
      <c r="C118" s="50">
        <f>VLOOKUP($A118,'Data shares'!$C:$FM,110)</f>
        <v>34.39</v>
      </c>
      <c r="D118" s="50">
        <f>VLOOKUP($A118,'Data shares'!$C:$FM,114)</f>
        <v>33.549999999999997</v>
      </c>
      <c r="E118" s="50">
        <f>VLOOKUP($A118,'Data shares'!$C:$FM,106)</f>
        <v>48.88</v>
      </c>
      <c r="F118" s="50">
        <f>VLOOKUP($A118,'Data shares'!$C:$FM,108)</f>
        <v>-14.73</v>
      </c>
      <c r="G118" s="50">
        <f t="shared" si="3"/>
        <v>0.69864975450081823</v>
      </c>
    </row>
    <row r="119" spans="1:7" x14ac:dyDescent="0.25">
      <c r="A119" s="49" t="str">
        <f>'Data shares'!C114</f>
        <v>KFINTECH</v>
      </c>
      <c r="B119" s="50">
        <f>VLOOKUP($A119,'Data shares'!$C:$FM,102)</f>
        <v>35.58</v>
      </c>
      <c r="C119" s="50">
        <f>VLOOKUP($A119,'Data shares'!$C:$FM,110)</f>
        <v>35.32</v>
      </c>
      <c r="D119" s="50">
        <f>VLOOKUP($A119,'Data shares'!$C:$FM,114)</f>
        <v>36.11</v>
      </c>
      <c r="E119" s="50">
        <f>VLOOKUP($A119,'Data shares'!$C:$FM,106)</f>
        <v>56.15</v>
      </c>
      <c r="F119" s="50">
        <f>VLOOKUP($A119,'Data shares'!$C:$FM,108)</f>
        <v>-20.57</v>
      </c>
      <c r="G119" s="50">
        <f t="shared" si="3"/>
        <v>0.63365983971504891</v>
      </c>
    </row>
    <row r="120" spans="1:7" x14ac:dyDescent="0.25">
      <c r="A120" s="49" t="str">
        <f>'Data shares'!C115</f>
        <v>KOTAKBANK</v>
      </c>
      <c r="B120" s="50">
        <f>VLOOKUP($A120,'Data shares'!$C:$FM,102)</f>
        <v>24.81</v>
      </c>
      <c r="C120" s="50">
        <f>VLOOKUP($A120,'Data shares'!$C:$FM,110)</f>
        <v>22.94</v>
      </c>
      <c r="D120" s="50">
        <f>VLOOKUP($A120,'Data shares'!$C:$FM,114)</f>
        <v>27.67</v>
      </c>
      <c r="E120" s="50">
        <f>VLOOKUP($A120,'Data shares'!$C:$FM,106)</f>
        <v>27.62</v>
      </c>
      <c r="F120" s="50">
        <f>VLOOKUP($A120,'Data shares'!$C:$FM,108)</f>
        <v>-2.81</v>
      </c>
      <c r="G120" s="50">
        <f t="shared" si="3"/>
        <v>0.8982621288921071</v>
      </c>
    </row>
    <row r="121" spans="1:7" x14ac:dyDescent="0.25">
      <c r="A121" s="49" t="str">
        <f>'Data shares'!C116</f>
        <v>KPITTECH</v>
      </c>
      <c r="B121" s="50">
        <f>VLOOKUP($A121,'Data shares'!$C:$FM,102)</f>
        <v>33.229999999999997</v>
      </c>
      <c r="C121" s="50">
        <f>VLOOKUP($A121,'Data shares'!$C:$FM,110)</f>
        <v>33</v>
      </c>
      <c r="D121" s="50">
        <f>VLOOKUP($A121,'Data shares'!$C:$FM,114)</f>
        <v>33.76</v>
      </c>
      <c r="E121" s="50">
        <f>VLOOKUP($A121,'Data shares'!$C:$FM,106)</f>
        <v>44.88</v>
      </c>
      <c r="F121" s="50">
        <f>VLOOKUP($A121,'Data shares'!$C:$FM,108)</f>
        <v>-11.65</v>
      </c>
      <c r="G121" s="50">
        <f t="shared" si="3"/>
        <v>0.74041889483065948</v>
      </c>
    </row>
    <row r="122" spans="1:7" x14ac:dyDescent="0.25">
      <c r="A122" s="49" t="str">
        <f>'Data shares'!C117</f>
        <v>LAURUSLABS</v>
      </c>
      <c r="B122" s="50">
        <f>VLOOKUP($A122,'Data shares'!$C:$FM,102)</f>
        <v>39.11</v>
      </c>
      <c r="C122" s="50">
        <f>VLOOKUP($A122,'Data shares'!$C:$FM,110)</f>
        <v>39.549999999999997</v>
      </c>
      <c r="D122" s="50">
        <f>VLOOKUP($A122,'Data shares'!$C:$FM,114)</f>
        <v>37.97</v>
      </c>
      <c r="E122" s="50">
        <f>VLOOKUP($A122,'Data shares'!$C:$FM,106)</f>
        <v>40.81</v>
      </c>
      <c r="F122" s="50">
        <f>VLOOKUP($A122,'Data shares'!$C:$FM,108)</f>
        <v>-1.7</v>
      </c>
      <c r="G122" s="50">
        <f t="shared" si="3"/>
        <v>0.95834354324920357</v>
      </c>
    </row>
    <row r="123" spans="1:7" x14ac:dyDescent="0.25">
      <c r="A123" s="49" t="str">
        <f>'Data shares'!C118</f>
        <v>LICHSGFIN</v>
      </c>
      <c r="B123" s="50">
        <f>VLOOKUP($A123,'Data shares'!$C:$FM,102)</f>
        <v>20.61</v>
      </c>
      <c r="C123" s="50">
        <f>VLOOKUP($A123,'Data shares'!$C:$FM,110)</f>
        <v>20.94</v>
      </c>
      <c r="D123" s="50">
        <f>VLOOKUP($A123,'Data shares'!$C:$FM,114)</f>
        <v>19.71</v>
      </c>
      <c r="E123" s="50">
        <f>VLOOKUP($A123,'Data shares'!$C:$FM,106)</f>
        <v>34.58</v>
      </c>
      <c r="F123" s="50">
        <f>VLOOKUP($A123,'Data shares'!$C:$FM,108)</f>
        <v>-13.97</v>
      </c>
      <c r="G123" s="50">
        <f t="shared" si="3"/>
        <v>0.59600925390399073</v>
      </c>
    </row>
    <row r="124" spans="1:7" x14ac:dyDescent="0.25">
      <c r="A124" s="49" t="str">
        <f>'Data shares'!C119</f>
        <v>LICI</v>
      </c>
      <c r="B124" s="50">
        <f>VLOOKUP($A124,'Data shares'!$C:$FM,102)</f>
        <v>22.9</v>
      </c>
      <c r="C124" s="50">
        <f>VLOOKUP($A124,'Data shares'!$C:$FM,110)</f>
        <v>23.42</v>
      </c>
      <c r="D124" s="50">
        <f>VLOOKUP($A124,'Data shares'!$C:$FM,114)</f>
        <v>21.74</v>
      </c>
      <c r="E124" s="50">
        <f>VLOOKUP($A124,'Data shares'!$C:$FM,106)</f>
        <v>32.17</v>
      </c>
      <c r="F124" s="50">
        <f>VLOOKUP($A124,'Data shares'!$C:$FM,108)</f>
        <v>-9.27</v>
      </c>
      <c r="G124" s="50">
        <f t="shared" si="3"/>
        <v>0.71184333229717123</v>
      </c>
    </row>
    <row r="125" spans="1:7" x14ac:dyDescent="0.25">
      <c r="A125" s="49" t="str">
        <f>'Data shares'!C120</f>
        <v>LODHA</v>
      </c>
      <c r="B125" s="50">
        <f>VLOOKUP($A125,'Data shares'!$C:$FM,102)</f>
        <v>29.63</v>
      </c>
      <c r="C125" s="50">
        <f>VLOOKUP($A125,'Data shares'!$C:$FM,110)</f>
        <v>29.5</v>
      </c>
      <c r="D125" s="50">
        <f>VLOOKUP($A125,'Data shares'!$C:$FM,114)</f>
        <v>30.16</v>
      </c>
      <c r="E125" s="50">
        <f>VLOOKUP($A125,'Data shares'!$C:$FM,106)</f>
        <v>47.58</v>
      </c>
      <c r="F125" s="50">
        <f>VLOOKUP($A125,'Data shares'!$C:$FM,108)</f>
        <v>-17.95</v>
      </c>
      <c r="G125" s="50">
        <f t="shared" si="3"/>
        <v>0.62274064733081125</v>
      </c>
    </row>
    <row r="126" spans="1:7" x14ac:dyDescent="0.25">
      <c r="A126" s="49" t="str">
        <f>'Data shares'!C121</f>
        <v>LT</v>
      </c>
      <c r="B126" s="50">
        <f>VLOOKUP($A126,'Data shares'!$C:$FM,102)</f>
        <v>14.38</v>
      </c>
      <c r="C126" s="50">
        <f>VLOOKUP($A126,'Data shares'!$C:$FM,110)</f>
        <v>14.07</v>
      </c>
      <c r="D126" s="50">
        <f>VLOOKUP($A126,'Data shares'!$C:$FM,114)</f>
        <v>14.91</v>
      </c>
      <c r="E126" s="50">
        <f>VLOOKUP($A126,'Data shares'!$C:$FM,106)</f>
        <v>28.01</v>
      </c>
      <c r="F126" s="50">
        <f>VLOOKUP($A126,'Data shares'!$C:$FM,108)</f>
        <v>-13.63</v>
      </c>
      <c r="G126" s="50">
        <f t="shared" si="3"/>
        <v>0.51338807568725453</v>
      </c>
    </row>
    <row r="127" spans="1:7" x14ac:dyDescent="0.25">
      <c r="A127" s="49" t="str">
        <f>'Data shares'!C122</f>
        <v>LTF</v>
      </c>
      <c r="B127" s="50">
        <f>VLOOKUP($A127,'Data shares'!$C:$FM,102)</f>
        <v>29.43</v>
      </c>
      <c r="C127" s="50">
        <f>VLOOKUP($A127,'Data shares'!$C:$FM,110)</f>
        <v>28.55</v>
      </c>
      <c r="D127" s="50">
        <f>VLOOKUP($A127,'Data shares'!$C:$FM,114)</f>
        <v>30.78</v>
      </c>
      <c r="E127" s="50">
        <f>VLOOKUP($A127,'Data shares'!$C:$FM,106)</f>
        <v>38.9</v>
      </c>
      <c r="F127" s="50">
        <f>VLOOKUP($A127,'Data shares'!$C:$FM,108)</f>
        <v>-9.4700000000000006</v>
      </c>
      <c r="G127" s="50">
        <f t="shared" si="3"/>
        <v>0.75655526992287925</v>
      </c>
    </row>
    <row r="128" spans="1:7" x14ac:dyDescent="0.25">
      <c r="A128" s="49" t="str">
        <f>'Data shares'!C123</f>
        <v>LTIM</v>
      </c>
      <c r="B128" s="50">
        <f>VLOOKUP($A128,'Data shares'!$C:$FM,102)</f>
        <v>36.159999999999997</v>
      </c>
      <c r="C128" s="50">
        <f>VLOOKUP($A128,'Data shares'!$C:$FM,110)</f>
        <v>36.31</v>
      </c>
      <c r="D128" s="50">
        <f>VLOOKUP($A128,'Data shares'!$C:$FM,114)</f>
        <v>35.840000000000003</v>
      </c>
      <c r="E128" s="50">
        <f>VLOOKUP($A128,'Data shares'!$C:$FM,106)</f>
        <v>33.86</v>
      </c>
      <c r="F128" s="50">
        <f>VLOOKUP($A128,'Data shares'!$C:$FM,108)</f>
        <v>2.2999999999999998</v>
      </c>
      <c r="G128" s="50">
        <f t="shared" si="3"/>
        <v>1.0679267572356763</v>
      </c>
    </row>
    <row r="129" spans="1:7" x14ac:dyDescent="0.25">
      <c r="A129" s="49" t="str">
        <f>'Data shares'!C124</f>
        <v>LUPIN</v>
      </c>
      <c r="B129" s="50">
        <f>VLOOKUP($A129,'Data shares'!$C:$FM,102)</f>
        <v>24.47</v>
      </c>
      <c r="C129" s="50">
        <f>VLOOKUP($A129,'Data shares'!$C:$FM,110)</f>
        <v>24.49</v>
      </c>
      <c r="D129" s="50">
        <f>VLOOKUP($A129,'Data shares'!$C:$FM,114)</f>
        <v>24.4</v>
      </c>
      <c r="E129" s="50">
        <f>VLOOKUP($A129,'Data shares'!$C:$FM,106)</f>
        <v>32.409999999999997</v>
      </c>
      <c r="F129" s="50">
        <f>VLOOKUP($A129,'Data shares'!$C:$FM,108)</f>
        <v>-7.94</v>
      </c>
      <c r="G129" s="50">
        <f t="shared" si="3"/>
        <v>0.75501388460351748</v>
      </c>
    </row>
    <row r="130" spans="1:7" x14ac:dyDescent="0.25">
      <c r="A130" s="49" t="str">
        <f>'Data shares'!C125</f>
        <v>M&amp;M</v>
      </c>
      <c r="B130" s="50">
        <f>VLOOKUP($A130,'Data shares'!$C:$FM,102)</f>
        <v>22.45</v>
      </c>
      <c r="C130" s="50">
        <f>VLOOKUP($A130,'Data shares'!$C:$FM,110)</f>
        <v>22.18</v>
      </c>
      <c r="D130" s="50">
        <f>VLOOKUP($A130,'Data shares'!$C:$FM,114)</f>
        <v>23.13</v>
      </c>
      <c r="E130" s="50">
        <f>VLOOKUP($A130,'Data shares'!$C:$FM,106)</f>
        <v>34.229999999999997</v>
      </c>
      <c r="F130" s="50">
        <f>VLOOKUP($A130,'Data shares'!$C:$FM,108)</f>
        <v>-11.78</v>
      </c>
      <c r="G130" s="50">
        <f t="shared" si="3"/>
        <v>0.65585743499853932</v>
      </c>
    </row>
    <row r="131" spans="1:7" x14ac:dyDescent="0.25">
      <c r="A131" s="49" t="str">
        <f>'Data shares'!C126</f>
        <v>MANAPPURAM</v>
      </c>
      <c r="B131" s="50">
        <f>VLOOKUP($A131,'Data shares'!$C:$FM,102)</f>
        <v>28.28</v>
      </c>
      <c r="C131" s="50">
        <f>VLOOKUP($A131,'Data shares'!$C:$FM,110)</f>
        <v>28.54</v>
      </c>
      <c r="D131" s="50">
        <f>VLOOKUP($A131,'Data shares'!$C:$FM,114)</f>
        <v>27.41</v>
      </c>
      <c r="E131" s="50">
        <f>VLOOKUP($A131,'Data shares'!$C:$FM,106)</f>
        <v>43.26</v>
      </c>
      <c r="F131" s="50">
        <f>VLOOKUP($A131,'Data shares'!$C:$FM,108)</f>
        <v>-14.98</v>
      </c>
      <c r="G131" s="50">
        <f t="shared" si="3"/>
        <v>0.65372168284789645</v>
      </c>
    </row>
    <row r="132" spans="1:7" x14ac:dyDescent="0.25">
      <c r="A132" s="49" t="str">
        <f>'Data shares'!C127</f>
        <v>MANKIND</v>
      </c>
      <c r="B132" s="50">
        <f>VLOOKUP($A132,'Data shares'!$C:$FM,102)</f>
        <v>29.17</v>
      </c>
      <c r="C132" s="50">
        <f>VLOOKUP($A132,'Data shares'!$C:$FM,110)</f>
        <v>29.31</v>
      </c>
      <c r="D132" s="50">
        <f>VLOOKUP($A132,'Data shares'!$C:$FM,114)</f>
        <v>28.63</v>
      </c>
      <c r="E132" s="50">
        <f>VLOOKUP($A132,'Data shares'!$C:$FM,106)</f>
        <v>34.450000000000003</v>
      </c>
      <c r="F132" s="50">
        <f>VLOOKUP($A132,'Data shares'!$C:$FM,108)</f>
        <v>-5.28</v>
      </c>
      <c r="G132" s="50">
        <f t="shared" si="3"/>
        <v>0.8467343976777939</v>
      </c>
    </row>
    <row r="133" spans="1:7" x14ac:dyDescent="0.25">
      <c r="A133" s="49" t="str">
        <f>'Data shares'!C128</f>
        <v>MARICO</v>
      </c>
      <c r="B133" s="50">
        <f>VLOOKUP($A133,'Data shares'!$C:$FM,102)</f>
        <v>19.579999999999998</v>
      </c>
      <c r="C133" s="50">
        <f>VLOOKUP($A133,'Data shares'!$C:$FM,110)</f>
        <v>19.3</v>
      </c>
      <c r="D133" s="50">
        <f>VLOOKUP($A133,'Data shares'!$C:$FM,114)</f>
        <v>20.53</v>
      </c>
      <c r="E133" s="50">
        <f>VLOOKUP($A133,'Data shares'!$C:$FM,106)</f>
        <v>25.84</v>
      </c>
      <c r="F133" s="50">
        <f>VLOOKUP($A133,'Data shares'!$C:$FM,108)</f>
        <v>-6.26</v>
      </c>
      <c r="G133" s="50">
        <f t="shared" si="3"/>
        <v>0.75773993808049533</v>
      </c>
    </row>
    <row r="134" spans="1:7" x14ac:dyDescent="0.25">
      <c r="A134" s="49" t="str">
        <f>'Data shares'!C129</f>
        <v>MARUTI</v>
      </c>
      <c r="B134" s="50">
        <f>VLOOKUP($A134,'Data shares'!$C:$FM,102)</f>
        <v>18.899999999999999</v>
      </c>
      <c r="C134" s="50">
        <f>VLOOKUP($A134,'Data shares'!$C:$FM,110)</f>
        <v>18.600000000000001</v>
      </c>
      <c r="D134" s="50">
        <f>VLOOKUP($A134,'Data shares'!$C:$FM,114)</f>
        <v>19.47</v>
      </c>
      <c r="E134" s="50">
        <f>VLOOKUP($A134,'Data shares'!$C:$FM,106)</f>
        <v>25.73</v>
      </c>
      <c r="F134" s="50">
        <f>VLOOKUP($A134,'Data shares'!$C:$FM,108)</f>
        <v>-6.83</v>
      </c>
      <c r="G134" s="50">
        <f t="shared" si="3"/>
        <v>0.73455110765643217</v>
      </c>
    </row>
    <row r="135" spans="1:7" x14ac:dyDescent="0.25">
      <c r="A135" s="49" t="str">
        <f>'Data shares'!C130</f>
        <v>MAXHEALTH</v>
      </c>
      <c r="B135" s="50">
        <f>VLOOKUP($A135,'Data shares'!$C:$FM,102)</f>
        <v>28.27</v>
      </c>
      <c r="C135" s="50">
        <f>VLOOKUP($A135,'Data shares'!$C:$FM,110)</f>
        <v>27.92</v>
      </c>
      <c r="D135" s="50">
        <f>VLOOKUP($A135,'Data shares'!$C:$FM,114)</f>
        <v>29.3</v>
      </c>
      <c r="E135" s="50">
        <f>VLOOKUP($A135,'Data shares'!$C:$FM,106)</f>
        <v>41.16</v>
      </c>
      <c r="F135" s="50">
        <f>VLOOKUP($A135,'Data shares'!$C:$FM,108)</f>
        <v>-12.89</v>
      </c>
      <c r="G135" s="50">
        <f t="shared" ref="G135:G166" si="4">B135/E135</f>
        <v>0.6868318756073859</v>
      </c>
    </row>
    <row r="136" spans="1:7" x14ac:dyDescent="0.25">
      <c r="A136" s="49" t="str">
        <f>'Data shares'!C131</f>
        <v>MAZDOCK</v>
      </c>
      <c r="B136" s="50">
        <f>VLOOKUP($A136,'Data shares'!$C:$FM,102)</f>
        <v>36.409999999999997</v>
      </c>
      <c r="C136" s="50">
        <f>VLOOKUP($A136,'Data shares'!$C:$FM,110)</f>
        <v>37.020000000000003</v>
      </c>
      <c r="D136" s="50">
        <f>VLOOKUP($A136,'Data shares'!$C:$FM,114)</f>
        <v>34.630000000000003</v>
      </c>
      <c r="E136" s="50">
        <f>VLOOKUP($A136,'Data shares'!$C:$FM,106)</f>
        <v>59.84</v>
      </c>
      <c r="F136" s="50">
        <f>VLOOKUP($A136,'Data shares'!$C:$FM,108)</f>
        <v>-23.43</v>
      </c>
      <c r="G136" s="50">
        <f t="shared" si="4"/>
        <v>0.60845588235294112</v>
      </c>
    </row>
    <row r="137" spans="1:7" x14ac:dyDescent="0.25">
      <c r="A137" s="49" t="str">
        <f>'Data shares'!C132</f>
        <v>MCX</v>
      </c>
      <c r="B137" s="50">
        <f>VLOOKUP($A137,'Data shares'!$C:$FM,102)</f>
        <v>37.28</v>
      </c>
      <c r="C137" s="50">
        <f>VLOOKUP($A137,'Data shares'!$C:$FM,110)</f>
        <v>36.700000000000003</v>
      </c>
      <c r="D137" s="50">
        <f>VLOOKUP($A137,'Data shares'!$C:$FM,114)</f>
        <v>37.94</v>
      </c>
      <c r="E137" s="50">
        <f>VLOOKUP($A137,'Data shares'!$C:$FM,106)</f>
        <v>47.55</v>
      </c>
      <c r="F137" s="50">
        <f>VLOOKUP($A137,'Data shares'!$C:$FM,108)</f>
        <v>-10.27</v>
      </c>
      <c r="G137" s="50">
        <f t="shared" si="4"/>
        <v>0.78401682439537335</v>
      </c>
    </row>
    <row r="138" spans="1:7" x14ac:dyDescent="0.25">
      <c r="A138" s="49" t="str">
        <f>'Data shares'!C133</f>
        <v>MFSL</v>
      </c>
      <c r="B138" s="50">
        <f>VLOOKUP($A138,'Data shares'!$C:$FM,102)</f>
        <v>26.19</v>
      </c>
      <c r="C138" s="50">
        <f>VLOOKUP($A138,'Data shares'!$C:$FM,110)</f>
        <v>26.72</v>
      </c>
      <c r="D138" s="50">
        <f>VLOOKUP($A138,'Data shares'!$C:$FM,114)</f>
        <v>25.04</v>
      </c>
      <c r="E138" s="50">
        <f>VLOOKUP($A138,'Data shares'!$C:$FM,106)</f>
        <v>30.73</v>
      </c>
      <c r="F138" s="50">
        <f>VLOOKUP($A138,'Data shares'!$C:$FM,108)</f>
        <v>-4.54</v>
      </c>
      <c r="G138" s="50">
        <f t="shared" si="4"/>
        <v>0.85226163358281815</v>
      </c>
    </row>
    <row r="139" spans="1:7" x14ac:dyDescent="0.25">
      <c r="A139" s="49" t="str">
        <f>'Data shares'!C134</f>
        <v>MIDCPNIFTY</v>
      </c>
      <c r="B139" s="50">
        <f>VLOOKUP($A139,'Data shares'!$C:$FM,102)</f>
        <v>15.15</v>
      </c>
      <c r="C139" s="50">
        <f>VLOOKUP($A139,'Data shares'!$C:$FM,110)</f>
        <v>13.03</v>
      </c>
      <c r="D139" s="50">
        <f>VLOOKUP($A139,'Data shares'!$C:$FM,114)</f>
        <v>17.329999999999998</v>
      </c>
      <c r="E139" s="50">
        <f>VLOOKUP($A139,'Data shares'!$C:$FM,106)</f>
        <v>22.89</v>
      </c>
      <c r="F139" s="50">
        <f>VLOOKUP($A139,'Data shares'!$C:$FM,108)</f>
        <v>-7.74</v>
      </c>
      <c r="G139" s="50">
        <f t="shared" si="4"/>
        <v>0.66186107470511135</v>
      </c>
    </row>
    <row r="140" spans="1:7" x14ac:dyDescent="0.25">
      <c r="A140" s="49" t="str">
        <f>'Data shares'!C135</f>
        <v>MOTHERSON</v>
      </c>
      <c r="B140" s="50">
        <f>VLOOKUP($A140,'Data shares'!$C:$FM,102)</f>
        <v>30.68</v>
      </c>
      <c r="C140" s="50">
        <f>VLOOKUP($A140,'Data shares'!$C:$FM,110)</f>
        <v>30.78</v>
      </c>
      <c r="D140" s="50">
        <f>VLOOKUP($A140,'Data shares'!$C:$FM,114)</f>
        <v>30.44</v>
      </c>
      <c r="E140" s="50">
        <f>VLOOKUP($A140,'Data shares'!$C:$FM,106)</f>
        <v>41.04</v>
      </c>
      <c r="F140" s="50">
        <f>VLOOKUP($A140,'Data shares'!$C:$FM,108)</f>
        <v>-10.36</v>
      </c>
      <c r="G140" s="50">
        <f t="shared" si="4"/>
        <v>0.74756335282651076</v>
      </c>
    </row>
    <row r="141" spans="1:7" x14ac:dyDescent="0.25">
      <c r="A141" s="49" t="str">
        <f>'Data shares'!C136</f>
        <v>MPHASIS</v>
      </c>
      <c r="B141" s="50">
        <f>VLOOKUP($A141,'Data shares'!$C:$FM,102)</f>
        <v>29.7</v>
      </c>
      <c r="C141" s="50">
        <f>VLOOKUP($A141,'Data shares'!$C:$FM,110)</f>
        <v>29.69</v>
      </c>
      <c r="D141" s="50">
        <f>VLOOKUP($A141,'Data shares'!$C:$FM,114)</f>
        <v>29.7</v>
      </c>
      <c r="E141" s="50">
        <f>VLOOKUP($A141,'Data shares'!$C:$FM,106)</f>
        <v>37.520000000000003</v>
      </c>
      <c r="F141" s="50">
        <f>VLOOKUP($A141,'Data shares'!$C:$FM,108)</f>
        <v>-7.82</v>
      </c>
      <c r="G141" s="50">
        <f t="shared" si="4"/>
        <v>0.79157782515991459</v>
      </c>
    </row>
    <row r="142" spans="1:7" x14ac:dyDescent="0.25">
      <c r="A142" s="49" t="str">
        <f>'Data shares'!C137</f>
        <v>MUTHOOTFIN</v>
      </c>
      <c r="B142" s="50">
        <f>VLOOKUP($A142,'Data shares'!$C:$FM,102)</f>
        <v>28.51</v>
      </c>
      <c r="C142" s="50">
        <f>VLOOKUP($A142,'Data shares'!$C:$FM,110)</f>
        <v>27.65</v>
      </c>
      <c r="D142" s="50">
        <f>VLOOKUP($A142,'Data shares'!$C:$FM,114)</f>
        <v>30.03</v>
      </c>
      <c r="E142" s="50">
        <f>VLOOKUP($A142,'Data shares'!$C:$FM,106)</f>
        <v>36.04</v>
      </c>
      <c r="F142" s="50">
        <f>VLOOKUP($A142,'Data shares'!$C:$FM,108)</f>
        <v>-7.53</v>
      </c>
      <c r="G142" s="50">
        <f t="shared" si="4"/>
        <v>0.79106548279689237</v>
      </c>
    </row>
    <row r="143" spans="1:7" x14ac:dyDescent="0.25">
      <c r="A143" s="49" t="str">
        <f>'Data shares'!C138</f>
        <v>NATIONALUM</v>
      </c>
      <c r="B143" s="50">
        <f>VLOOKUP($A143,'Data shares'!$C:$FM,102)</f>
        <v>30.74</v>
      </c>
      <c r="C143" s="50">
        <f>VLOOKUP($A143,'Data shares'!$C:$FM,110)</f>
        <v>30.62</v>
      </c>
      <c r="D143" s="50">
        <f>VLOOKUP($A143,'Data shares'!$C:$FM,114)</f>
        <v>30.97</v>
      </c>
      <c r="E143" s="50">
        <f>VLOOKUP($A143,'Data shares'!$C:$FM,106)</f>
        <v>47.63</v>
      </c>
      <c r="F143" s="50">
        <f>VLOOKUP($A143,'Data shares'!$C:$FM,108)</f>
        <v>-16.89</v>
      </c>
      <c r="G143" s="50">
        <f t="shared" si="4"/>
        <v>0.64539155994121344</v>
      </c>
    </row>
    <row r="144" spans="1:7" x14ac:dyDescent="0.25">
      <c r="A144" s="49" t="str">
        <f>'Data shares'!C139</f>
        <v>NAUKRI</v>
      </c>
      <c r="B144" s="50">
        <f>VLOOKUP($A144,'Data shares'!$C:$FM,102)</f>
        <v>28.17</v>
      </c>
      <c r="C144" s="50">
        <f>VLOOKUP($A144,'Data shares'!$C:$FM,110)</f>
        <v>28.49</v>
      </c>
      <c r="D144" s="50">
        <f>VLOOKUP($A144,'Data shares'!$C:$FM,114)</f>
        <v>27.26</v>
      </c>
      <c r="E144" s="50">
        <f>VLOOKUP($A144,'Data shares'!$C:$FM,106)</f>
        <v>38.1</v>
      </c>
      <c r="F144" s="50">
        <f>VLOOKUP($A144,'Data shares'!$C:$FM,108)</f>
        <v>-9.93</v>
      </c>
      <c r="G144" s="50">
        <f t="shared" si="4"/>
        <v>0.73937007874015748</v>
      </c>
    </row>
    <row r="145" spans="1:7" x14ac:dyDescent="0.25">
      <c r="A145" s="49" t="str">
        <f>'Data shares'!C140</f>
        <v>NBCC</v>
      </c>
      <c r="B145" s="50">
        <f>VLOOKUP($A145,'Data shares'!$C:$FM,102)</f>
        <v>33.630000000000003</v>
      </c>
      <c r="C145" s="50">
        <f>VLOOKUP($A145,'Data shares'!$C:$FM,110)</f>
        <v>34.1</v>
      </c>
      <c r="D145" s="50">
        <f>VLOOKUP($A145,'Data shares'!$C:$FM,114)</f>
        <v>32.409999999999997</v>
      </c>
      <c r="E145" s="50">
        <f>VLOOKUP($A145,'Data shares'!$C:$FM,106)</f>
        <v>52.75</v>
      </c>
      <c r="F145" s="50">
        <f>VLOOKUP($A145,'Data shares'!$C:$FM,108)</f>
        <v>-19.12</v>
      </c>
      <c r="G145" s="50">
        <f t="shared" si="4"/>
        <v>0.63753554502369669</v>
      </c>
    </row>
    <row r="146" spans="1:7" x14ac:dyDescent="0.25">
      <c r="A146" s="49" t="str">
        <f>'Data shares'!C141</f>
        <v>NCC</v>
      </c>
      <c r="B146" s="50">
        <f>VLOOKUP($A146,'Data shares'!$C:$FM,102)</f>
        <v>27.7</v>
      </c>
      <c r="C146" s="50">
        <f>VLOOKUP($A146,'Data shares'!$C:$FM,110)</f>
        <v>27.88</v>
      </c>
      <c r="D146" s="50">
        <f>VLOOKUP($A146,'Data shares'!$C:$FM,114)</f>
        <v>27.31</v>
      </c>
      <c r="E146" s="50">
        <f>VLOOKUP($A146,'Data shares'!$C:$FM,106)</f>
        <v>47.44</v>
      </c>
      <c r="F146" s="50">
        <f>VLOOKUP($A146,'Data shares'!$C:$FM,108)</f>
        <v>-19.739999999999998</v>
      </c>
      <c r="G146" s="50">
        <f t="shared" si="4"/>
        <v>0.58389544688026984</v>
      </c>
    </row>
    <row r="147" spans="1:7" x14ac:dyDescent="0.25">
      <c r="A147" s="49" t="str">
        <f>'Data shares'!C142</f>
        <v>NESTLEIND</v>
      </c>
      <c r="B147" s="50">
        <f>VLOOKUP($A147,'Data shares'!$C:$FM,102)</f>
        <v>23.28</v>
      </c>
      <c r="C147" s="50">
        <f>VLOOKUP($A147,'Data shares'!$C:$FM,110)</f>
        <v>22.17</v>
      </c>
      <c r="D147" s="50">
        <f>VLOOKUP($A147,'Data shares'!$C:$FM,114)</f>
        <v>24.88</v>
      </c>
      <c r="E147" s="50">
        <f>VLOOKUP($A147,'Data shares'!$C:$FM,106)</f>
        <v>24.56</v>
      </c>
      <c r="F147" s="50">
        <f>VLOOKUP($A147,'Data shares'!$C:$FM,108)</f>
        <v>-1.28</v>
      </c>
      <c r="G147" s="50">
        <f t="shared" si="4"/>
        <v>0.94788273615635188</v>
      </c>
    </row>
    <row r="148" spans="1:7" x14ac:dyDescent="0.25">
      <c r="A148" s="49" t="str">
        <f>'Data shares'!C143</f>
        <v>NHPC</v>
      </c>
      <c r="B148" s="50">
        <f>VLOOKUP($A148,'Data shares'!$C:$FM,102)</f>
        <v>25.59</v>
      </c>
      <c r="C148" s="50">
        <f>VLOOKUP($A148,'Data shares'!$C:$FM,110)</f>
        <v>25.7</v>
      </c>
      <c r="D148" s="50">
        <f>VLOOKUP($A148,'Data shares'!$C:$FM,114)</f>
        <v>25.36</v>
      </c>
      <c r="E148" s="50">
        <f>VLOOKUP($A148,'Data shares'!$C:$FM,106)</f>
        <v>39.700000000000003</v>
      </c>
      <c r="F148" s="50">
        <f>VLOOKUP($A148,'Data shares'!$C:$FM,108)</f>
        <v>-14.11</v>
      </c>
      <c r="G148" s="50">
        <f t="shared" si="4"/>
        <v>0.64458438287153652</v>
      </c>
    </row>
    <row r="149" spans="1:7" x14ac:dyDescent="0.25">
      <c r="A149" s="49" t="str">
        <f>'Data shares'!C144</f>
        <v>NIFTY</v>
      </c>
      <c r="B149" s="50">
        <f>VLOOKUP($A149,'Data shares'!$C:$FM,102)</f>
        <v>10.85</v>
      </c>
      <c r="C149" s="50">
        <f>VLOOKUP($A149,'Data shares'!$C:$FM,110)</f>
        <v>9.44</v>
      </c>
      <c r="D149" s="50">
        <f>VLOOKUP($A149,'Data shares'!$C:$FM,114)</f>
        <v>12.36</v>
      </c>
      <c r="E149" s="50">
        <f>VLOOKUP($A149,'Data shares'!$C:$FM,106)</f>
        <v>15.08</v>
      </c>
      <c r="F149" s="50">
        <f>VLOOKUP($A149,'Data shares'!$C:$FM,108)</f>
        <v>-4.2300000000000004</v>
      </c>
      <c r="G149" s="50">
        <f t="shared" si="4"/>
        <v>0.7194960212201591</v>
      </c>
    </row>
    <row r="150" spans="1:7" x14ac:dyDescent="0.25">
      <c r="A150" s="49" t="str">
        <f>'Data shares'!C145</f>
        <v>NIFTYNXT50</v>
      </c>
      <c r="B150" s="50">
        <f>VLOOKUP($A150,'Data shares'!$C:$FM,102)</f>
        <v>12.56</v>
      </c>
      <c r="C150" s="50">
        <f>VLOOKUP($A150,'Data shares'!$C:$FM,110)</f>
        <v>12.13</v>
      </c>
      <c r="D150" s="50">
        <f>VLOOKUP($A150,'Data shares'!$C:$FM,114)</f>
        <v>14.04</v>
      </c>
      <c r="E150" s="50">
        <f>VLOOKUP($A150,'Data shares'!$C:$FM,106)</f>
        <v>21.27</v>
      </c>
      <c r="F150" s="50">
        <f>VLOOKUP($A150,'Data shares'!$C:$FM,108)</f>
        <v>-8.7100000000000009</v>
      </c>
      <c r="G150" s="50">
        <f t="shared" si="4"/>
        <v>0.59050305594734376</v>
      </c>
    </row>
    <row r="151" spans="1:7" x14ac:dyDescent="0.25">
      <c r="A151" s="49" t="str">
        <f>'Data shares'!C146</f>
        <v>NMDC</v>
      </c>
      <c r="B151" s="50">
        <f>VLOOKUP($A151,'Data shares'!$C:$FM,102)</f>
        <v>29.59</v>
      </c>
      <c r="C151" s="50">
        <f>VLOOKUP($A151,'Data shares'!$C:$FM,110)</f>
        <v>30.03</v>
      </c>
      <c r="D151" s="50">
        <f>VLOOKUP($A151,'Data shares'!$C:$FM,114)</f>
        <v>28.45</v>
      </c>
      <c r="E151" s="50">
        <f>VLOOKUP($A151,'Data shares'!$C:$FM,106)</f>
        <v>39.57</v>
      </c>
      <c r="F151" s="50">
        <f>VLOOKUP($A151,'Data shares'!$C:$FM,108)</f>
        <v>-9.98</v>
      </c>
      <c r="G151" s="50">
        <f t="shared" si="4"/>
        <v>0.74778872883497594</v>
      </c>
    </row>
    <row r="152" spans="1:7" x14ac:dyDescent="0.25">
      <c r="A152" s="49" t="str">
        <f>'Data shares'!C147</f>
        <v>NTPC</v>
      </c>
      <c r="B152" s="50">
        <f>VLOOKUP($A152,'Data shares'!$C:$FM,102)</f>
        <v>15.96</v>
      </c>
      <c r="C152" s="50">
        <f>VLOOKUP($A152,'Data shares'!$C:$FM,110)</f>
        <v>15.6</v>
      </c>
      <c r="D152" s="50">
        <f>VLOOKUP($A152,'Data shares'!$C:$FM,114)</f>
        <v>16.7</v>
      </c>
      <c r="E152" s="50">
        <f>VLOOKUP($A152,'Data shares'!$C:$FM,106)</f>
        <v>28.72</v>
      </c>
      <c r="F152" s="50">
        <f>VLOOKUP($A152,'Data shares'!$C:$FM,108)</f>
        <v>-12.76</v>
      </c>
      <c r="G152" s="50">
        <f t="shared" si="4"/>
        <v>0.55571030640668528</v>
      </c>
    </row>
    <row r="153" spans="1:7" x14ac:dyDescent="0.25">
      <c r="A153" s="49" t="str">
        <f>'Data shares'!C148</f>
        <v>NUVAMA</v>
      </c>
      <c r="B153" s="50">
        <f>VLOOKUP($A153,'Data shares'!$C:$FM,102)</f>
        <v>31.01</v>
      </c>
      <c r="C153" s="50">
        <f>VLOOKUP($A153,'Data shares'!$C:$FM,110)</f>
        <v>30.98</v>
      </c>
      <c r="D153" s="50">
        <f>VLOOKUP($A153,'Data shares'!$C:$FM,114)</f>
        <v>31.04</v>
      </c>
      <c r="E153" s="50">
        <f>VLOOKUP($A153,'Data shares'!$C:$FM,106)</f>
        <v>52.04</v>
      </c>
      <c r="F153" s="50">
        <f>VLOOKUP($A153,'Data shares'!$C:$FM,108)</f>
        <v>-21.03</v>
      </c>
      <c r="G153" s="50">
        <f t="shared" si="4"/>
        <v>0.59588777863182174</v>
      </c>
    </row>
    <row r="154" spans="1:7" x14ac:dyDescent="0.25">
      <c r="A154" s="49" t="str">
        <f>'Data shares'!C149</f>
        <v>NYKAA</v>
      </c>
      <c r="B154" s="50">
        <f>VLOOKUP($A154,'Data shares'!$C:$FM,102)</f>
        <v>25.83</v>
      </c>
      <c r="C154" s="50">
        <f>VLOOKUP($A154,'Data shares'!$C:$FM,110)</f>
        <v>25.87</v>
      </c>
      <c r="D154" s="50">
        <f>VLOOKUP($A154,'Data shares'!$C:$FM,114)</f>
        <v>25.75</v>
      </c>
      <c r="E154" s="50">
        <f>VLOOKUP($A154,'Data shares'!$C:$FM,106)</f>
        <v>37.47</v>
      </c>
      <c r="F154" s="50">
        <f>VLOOKUP($A154,'Data shares'!$C:$FM,108)</f>
        <v>-11.64</v>
      </c>
      <c r="G154" s="50">
        <f t="shared" si="4"/>
        <v>0.68935148118494793</v>
      </c>
    </row>
    <row r="155" spans="1:7" x14ac:dyDescent="0.25">
      <c r="A155" s="49" t="str">
        <f>'Data shares'!C150</f>
        <v>OBEROIRLTY</v>
      </c>
      <c r="B155" s="50">
        <f>VLOOKUP($A155,'Data shares'!$C:$FM,102)</f>
        <v>26.25</v>
      </c>
      <c r="C155" s="50">
        <f>VLOOKUP($A155,'Data shares'!$C:$FM,110)</f>
        <v>25.79</v>
      </c>
      <c r="D155" s="50">
        <f>VLOOKUP($A155,'Data shares'!$C:$FM,114)</f>
        <v>27.46</v>
      </c>
      <c r="E155" s="50">
        <f>VLOOKUP($A155,'Data shares'!$C:$FM,106)</f>
        <v>38.869999999999997</v>
      </c>
      <c r="F155" s="50">
        <f>VLOOKUP($A155,'Data shares'!$C:$FM,108)</f>
        <v>-12.62</v>
      </c>
      <c r="G155" s="50">
        <f t="shared" si="4"/>
        <v>0.67532801646514029</v>
      </c>
    </row>
    <row r="156" spans="1:7" x14ac:dyDescent="0.25">
      <c r="A156" s="49" t="str">
        <f>'Data shares'!C151</f>
        <v>OFSS</v>
      </c>
      <c r="B156" s="50">
        <f>VLOOKUP($A156,'Data shares'!$C:$FM,102)</f>
        <v>41.72</v>
      </c>
      <c r="C156" s="50">
        <f>VLOOKUP($A156,'Data shares'!$C:$FM,110)</f>
        <v>42.1</v>
      </c>
      <c r="D156" s="50">
        <f>VLOOKUP($A156,'Data shares'!$C:$FM,114)</f>
        <v>40.880000000000003</v>
      </c>
      <c r="E156" s="50">
        <f>VLOOKUP($A156,'Data shares'!$C:$FM,106)</f>
        <v>41.83</v>
      </c>
      <c r="F156" s="50">
        <f>VLOOKUP($A156,'Data shares'!$C:$FM,108)</f>
        <v>-0.11</v>
      </c>
      <c r="G156" s="50">
        <f t="shared" si="4"/>
        <v>0.99737030839110685</v>
      </c>
    </row>
    <row r="157" spans="1:7" x14ac:dyDescent="0.25">
      <c r="A157" s="49" t="str">
        <f>'Data shares'!C152</f>
        <v>OIL</v>
      </c>
      <c r="B157" s="50">
        <f>VLOOKUP($A157,'Data shares'!$C:$FM,102)</f>
        <v>27.42</v>
      </c>
      <c r="C157" s="50">
        <f>VLOOKUP($A157,'Data shares'!$C:$FM,110)</f>
        <v>27.54</v>
      </c>
      <c r="D157" s="50">
        <f>VLOOKUP($A157,'Data shares'!$C:$FM,114)</f>
        <v>27.19</v>
      </c>
      <c r="E157" s="50">
        <f>VLOOKUP($A157,'Data shares'!$C:$FM,106)</f>
        <v>44.48</v>
      </c>
      <c r="F157" s="50">
        <f>VLOOKUP($A157,'Data shares'!$C:$FM,108)</f>
        <v>-17.059999999999999</v>
      </c>
      <c r="G157" s="50">
        <f t="shared" si="4"/>
        <v>0.61645683453237421</v>
      </c>
    </row>
    <row r="158" spans="1:7" x14ac:dyDescent="0.25">
      <c r="A158" s="49" t="str">
        <f>'Data shares'!C153</f>
        <v>ONGC</v>
      </c>
      <c r="B158" s="50">
        <f>VLOOKUP($A158,'Data shares'!$C:$FM,102)</f>
        <v>17.649999999999999</v>
      </c>
      <c r="C158" s="50">
        <f>VLOOKUP($A158,'Data shares'!$C:$FM,110)</f>
        <v>16.87</v>
      </c>
      <c r="D158" s="50">
        <f>VLOOKUP($A158,'Data shares'!$C:$FM,114)</f>
        <v>18.920000000000002</v>
      </c>
      <c r="E158" s="50">
        <f>VLOOKUP($A158,'Data shares'!$C:$FM,106)</f>
        <v>32.24</v>
      </c>
      <c r="F158" s="50">
        <f>VLOOKUP($A158,'Data shares'!$C:$FM,108)</f>
        <v>-14.59</v>
      </c>
      <c r="G158" s="50">
        <f t="shared" si="4"/>
        <v>0.54745657568238204</v>
      </c>
    </row>
    <row r="159" spans="1:7" x14ac:dyDescent="0.25">
      <c r="A159" s="49" t="str">
        <f>'Data shares'!C154</f>
        <v>PAGEIND</v>
      </c>
      <c r="B159" s="50">
        <f>VLOOKUP($A159,'Data shares'!$C:$FM,102)</f>
        <v>25.23</v>
      </c>
      <c r="C159" s="50">
        <f>VLOOKUP($A159,'Data shares'!$C:$FM,110)</f>
        <v>26.03</v>
      </c>
      <c r="D159" s="50">
        <f>VLOOKUP($A159,'Data shares'!$C:$FM,114)</f>
        <v>22.01</v>
      </c>
      <c r="E159" s="50">
        <f>VLOOKUP($A159,'Data shares'!$C:$FM,106)</f>
        <v>29.5</v>
      </c>
      <c r="F159" s="50">
        <f>VLOOKUP($A159,'Data shares'!$C:$FM,108)</f>
        <v>-4.2699999999999996</v>
      </c>
      <c r="G159" s="50">
        <f t="shared" si="4"/>
        <v>0.85525423728813565</v>
      </c>
    </row>
    <row r="160" spans="1:7" x14ac:dyDescent="0.25">
      <c r="A160" s="49" t="str">
        <f>'Data shares'!C155</f>
        <v>PATANJALI</v>
      </c>
      <c r="B160" s="50">
        <f>VLOOKUP($A160,'Data shares'!$C:$FM,102)</f>
        <v>27.73</v>
      </c>
      <c r="C160" s="50">
        <f>VLOOKUP($A160,'Data shares'!$C:$FM,110)</f>
        <v>28.08</v>
      </c>
      <c r="D160" s="50">
        <f>VLOOKUP($A160,'Data shares'!$C:$FM,114)</f>
        <v>26.99</v>
      </c>
      <c r="E160" s="50">
        <f>VLOOKUP($A160,'Data shares'!$C:$FM,106)</f>
        <v>34.21</v>
      </c>
      <c r="F160" s="50">
        <f>VLOOKUP($A160,'Data shares'!$C:$FM,108)</f>
        <v>-6.48</v>
      </c>
      <c r="G160" s="50">
        <f t="shared" si="4"/>
        <v>0.8105817012569424</v>
      </c>
    </row>
    <row r="161" spans="1:7" x14ac:dyDescent="0.25">
      <c r="A161" s="49" t="str">
        <f>'Data shares'!C156</f>
        <v>PAYTM</v>
      </c>
      <c r="B161" s="50">
        <f>VLOOKUP($A161,'Data shares'!$C:$FM,102)</f>
        <v>31.5</v>
      </c>
      <c r="C161" s="50">
        <f>VLOOKUP($A161,'Data shares'!$C:$FM,110)</f>
        <v>31.11</v>
      </c>
      <c r="D161" s="50">
        <f>VLOOKUP($A161,'Data shares'!$C:$FM,114)</f>
        <v>32.26</v>
      </c>
      <c r="E161" s="50">
        <f>VLOOKUP($A161,'Data shares'!$C:$FM,106)</f>
        <v>55.96</v>
      </c>
      <c r="F161" s="50">
        <f>VLOOKUP($A161,'Data shares'!$C:$FM,108)</f>
        <v>-24.46</v>
      </c>
      <c r="G161" s="50">
        <f t="shared" si="4"/>
        <v>0.5629020729092209</v>
      </c>
    </row>
    <row r="162" spans="1:7" x14ac:dyDescent="0.25">
      <c r="A162" s="49" t="str">
        <f>'Data shares'!C157</f>
        <v>PERSISTENT</v>
      </c>
      <c r="B162" s="50">
        <f>VLOOKUP($A162,'Data shares'!$C:$FM,102)</f>
        <v>29.94</v>
      </c>
      <c r="C162" s="50">
        <f>VLOOKUP($A162,'Data shares'!$C:$FM,110)</f>
        <v>27.97</v>
      </c>
      <c r="D162" s="50">
        <f>VLOOKUP($A162,'Data shares'!$C:$FM,114)</f>
        <v>32.92</v>
      </c>
      <c r="E162" s="50">
        <f>VLOOKUP($A162,'Data shares'!$C:$FM,106)</f>
        <v>42.45</v>
      </c>
      <c r="F162" s="50">
        <f>VLOOKUP($A162,'Data shares'!$C:$FM,108)</f>
        <v>-12.51</v>
      </c>
      <c r="G162" s="50">
        <f t="shared" si="4"/>
        <v>0.70530035335689045</v>
      </c>
    </row>
    <row r="163" spans="1:7" x14ac:dyDescent="0.25">
      <c r="A163" s="49" t="str">
        <f>'Data shares'!C158</f>
        <v>PETRONET</v>
      </c>
      <c r="B163" s="50">
        <f>VLOOKUP($A163,'Data shares'!$C:$FM,102)</f>
        <v>25.52</v>
      </c>
      <c r="C163" s="50">
        <f>VLOOKUP($A163,'Data shares'!$C:$FM,110)</f>
        <v>25.64</v>
      </c>
      <c r="D163" s="50">
        <f>VLOOKUP($A163,'Data shares'!$C:$FM,114)</f>
        <v>25.29</v>
      </c>
      <c r="E163" s="50">
        <f>VLOOKUP($A163,'Data shares'!$C:$FM,106)</f>
        <v>32.909999999999997</v>
      </c>
      <c r="F163" s="50">
        <f>VLOOKUP($A163,'Data shares'!$C:$FM,108)</f>
        <v>-7.39</v>
      </c>
      <c r="G163" s="50">
        <f t="shared" si="4"/>
        <v>0.77544819203889404</v>
      </c>
    </row>
    <row r="164" spans="1:7" x14ac:dyDescent="0.25">
      <c r="A164" s="49" t="str">
        <f>'Data shares'!C159</f>
        <v>PFC</v>
      </c>
      <c r="B164" s="50">
        <f>VLOOKUP($A164,'Data shares'!$C:$FM,102)</f>
        <v>25.63</v>
      </c>
      <c r="C164" s="50">
        <f>VLOOKUP($A164,'Data shares'!$C:$FM,110)</f>
        <v>26.47</v>
      </c>
      <c r="D164" s="50">
        <f>VLOOKUP($A164,'Data shares'!$C:$FM,114)</f>
        <v>24.24</v>
      </c>
      <c r="E164" s="50">
        <f>VLOOKUP($A164,'Data shares'!$C:$FM,106)</f>
        <v>44.6</v>
      </c>
      <c r="F164" s="50">
        <f>VLOOKUP($A164,'Data shares'!$C:$FM,108)</f>
        <v>-18.97</v>
      </c>
      <c r="G164" s="50">
        <f t="shared" si="4"/>
        <v>0.57466367713004485</v>
      </c>
    </row>
    <row r="165" spans="1:7" x14ac:dyDescent="0.25">
      <c r="A165" s="49" t="str">
        <f>'Data shares'!C160</f>
        <v>PGEL</v>
      </c>
      <c r="B165" s="50">
        <f>VLOOKUP($A165,'Data shares'!$C:$FM,102)</f>
        <v>37.67</v>
      </c>
      <c r="C165" s="50">
        <f>VLOOKUP($A165,'Data shares'!$C:$FM,110)</f>
        <v>37.9</v>
      </c>
      <c r="D165" s="50">
        <f>VLOOKUP($A165,'Data shares'!$C:$FM,114)</f>
        <v>37.130000000000003</v>
      </c>
      <c r="E165" s="50">
        <f>VLOOKUP($A165,'Data shares'!$C:$FM,106)</f>
        <v>69.930000000000007</v>
      </c>
      <c r="F165" s="50">
        <f>VLOOKUP($A165,'Data shares'!$C:$FM,108)</f>
        <v>-32.26</v>
      </c>
      <c r="G165" s="50">
        <f t="shared" si="4"/>
        <v>0.53868153868153867</v>
      </c>
    </row>
    <row r="166" spans="1:7" x14ac:dyDescent="0.25">
      <c r="A166" s="49" t="str">
        <f>'Data shares'!C161</f>
        <v>PHOENIXLTD</v>
      </c>
      <c r="B166" s="50">
        <f>VLOOKUP($A166,'Data shares'!$C:$FM,102)</f>
        <v>32.659999999999997</v>
      </c>
      <c r="C166" s="50">
        <f>VLOOKUP($A166,'Data shares'!$C:$FM,110)</f>
        <v>32.71</v>
      </c>
      <c r="D166" s="50">
        <f>VLOOKUP($A166,'Data shares'!$C:$FM,114)</f>
        <v>32.53</v>
      </c>
      <c r="E166" s="50">
        <f>VLOOKUP($A166,'Data shares'!$C:$FM,106)</f>
        <v>44.51</v>
      </c>
      <c r="F166" s="50">
        <f>VLOOKUP($A166,'Data shares'!$C:$FM,108)</f>
        <v>-11.85</v>
      </c>
      <c r="G166" s="50">
        <f t="shared" si="4"/>
        <v>0.7337676926533363</v>
      </c>
    </row>
    <row r="167" spans="1:7" x14ac:dyDescent="0.25">
      <c r="A167" s="49" t="str">
        <f>'Data shares'!C162</f>
        <v>PIDILITIND</v>
      </c>
      <c r="B167" s="50">
        <f>VLOOKUP($A167,'Data shares'!$C:$FM,102)</f>
        <v>18.920000000000002</v>
      </c>
      <c r="C167" s="50">
        <f>VLOOKUP($A167,'Data shares'!$C:$FM,110)</f>
        <v>18.88</v>
      </c>
      <c r="D167" s="50">
        <f>VLOOKUP($A167,'Data shares'!$C:$FM,114)</f>
        <v>19.07</v>
      </c>
      <c r="E167" s="50">
        <f>VLOOKUP($A167,'Data shares'!$C:$FM,106)</f>
        <v>22.14</v>
      </c>
      <c r="F167" s="50">
        <f>VLOOKUP($A167,'Data shares'!$C:$FM,108)</f>
        <v>-3.22</v>
      </c>
      <c r="G167" s="50">
        <f t="shared" ref="G167:G189" si="5">B167/E167</f>
        <v>0.85456187895212288</v>
      </c>
    </row>
    <row r="168" spans="1:7" x14ac:dyDescent="0.25">
      <c r="A168" s="49" t="str">
        <f>'Data shares'!C163</f>
        <v>PIIND</v>
      </c>
      <c r="B168" s="50">
        <f>VLOOKUP($A168,'Data shares'!$C:$FM,102)</f>
        <v>24.13</v>
      </c>
      <c r="C168" s="50">
        <f>VLOOKUP($A168,'Data shares'!$C:$FM,110)</f>
        <v>24.27</v>
      </c>
      <c r="D168" s="50">
        <f>VLOOKUP($A168,'Data shares'!$C:$FM,114)</f>
        <v>23.62</v>
      </c>
      <c r="E168" s="50">
        <f>VLOOKUP($A168,'Data shares'!$C:$FM,106)</f>
        <v>30.12</v>
      </c>
      <c r="F168" s="50">
        <f>VLOOKUP($A168,'Data shares'!$C:$FM,108)</f>
        <v>-5.99</v>
      </c>
      <c r="G168" s="50">
        <f t="shared" si="5"/>
        <v>0.80112881806108893</v>
      </c>
    </row>
    <row r="169" spans="1:7" x14ac:dyDescent="0.25">
      <c r="A169" s="49" t="str">
        <f>'Data shares'!C164</f>
        <v>PNB</v>
      </c>
      <c r="B169" s="50">
        <f>VLOOKUP($A169,'Data shares'!$C:$FM,102)</f>
        <v>29.85</v>
      </c>
      <c r="C169" s="50">
        <f>VLOOKUP($A169,'Data shares'!$C:$FM,110)</f>
        <v>29.99</v>
      </c>
      <c r="D169" s="50">
        <f>VLOOKUP($A169,'Data shares'!$C:$FM,114)</f>
        <v>29.63</v>
      </c>
      <c r="E169" s="50">
        <f>VLOOKUP($A169,'Data shares'!$C:$FM,106)</f>
        <v>37.049999999999997</v>
      </c>
      <c r="F169" s="50">
        <f>VLOOKUP($A169,'Data shares'!$C:$FM,108)</f>
        <v>-7.2</v>
      </c>
      <c r="G169" s="50">
        <f t="shared" si="5"/>
        <v>0.80566801619433204</v>
      </c>
    </row>
    <row r="170" spans="1:7" x14ac:dyDescent="0.25">
      <c r="A170" s="49" t="str">
        <f>'Data shares'!C165</f>
        <v>PNBHOUSING</v>
      </c>
      <c r="B170" s="50">
        <f>VLOOKUP($A170,'Data shares'!$C:$FM,102)</f>
        <v>40.1</v>
      </c>
      <c r="C170" s="50">
        <f>VLOOKUP($A170,'Data shares'!$C:$FM,110)</f>
        <v>40.659999999999997</v>
      </c>
      <c r="D170" s="50">
        <f>VLOOKUP($A170,'Data shares'!$C:$FM,114)</f>
        <v>39.08</v>
      </c>
      <c r="E170" s="50">
        <f>VLOOKUP($A170,'Data shares'!$C:$FM,106)</f>
        <v>49.04</v>
      </c>
      <c r="F170" s="50">
        <f>VLOOKUP($A170,'Data shares'!$C:$FM,108)</f>
        <v>-8.94</v>
      </c>
      <c r="G170" s="50">
        <f t="shared" si="5"/>
        <v>0.81769983686786296</v>
      </c>
    </row>
    <row r="171" spans="1:7" x14ac:dyDescent="0.25">
      <c r="A171" s="49" t="str">
        <f>'Data shares'!C166</f>
        <v>POLICYBZR</v>
      </c>
      <c r="B171" s="50">
        <f>VLOOKUP($A171,'Data shares'!$C:$FM,102)</f>
        <v>28.58</v>
      </c>
      <c r="C171" s="50">
        <f>VLOOKUP($A171,'Data shares'!$C:$FM,110)</f>
        <v>28.55</v>
      </c>
      <c r="D171" s="50">
        <f>VLOOKUP($A171,'Data shares'!$C:$FM,114)</f>
        <v>28.71</v>
      </c>
      <c r="E171" s="50">
        <f>VLOOKUP($A171,'Data shares'!$C:$FM,106)</f>
        <v>47.52</v>
      </c>
      <c r="F171" s="50">
        <f>VLOOKUP($A171,'Data shares'!$C:$FM,108)</f>
        <v>-18.940000000000001</v>
      </c>
      <c r="G171" s="50">
        <f t="shared" si="5"/>
        <v>0.60143097643097632</v>
      </c>
    </row>
    <row r="172" spans="1:7" x14ac:dyDescent="0.25">
      <c r="A172" s="49" t="str">
        <f>'Data shares'!C167</f>
        <v>POLYCAB</v>
      </c>
      <c r="B172" s="50">
        <f>VLOOKUP($A172,'Data shares'!$C:$FM,102)</f>
        <v>35.799999999999997</v>
      </c>
      <c r="C172" s="50">
        <f>VLOOKUP($A172,'Data shares'!$C:$FM,110)</f>
        <v>35.479999999999997</v>
      </c>
      <c r="D172" s="50">
        <f>VLOOKUP($A172,'Data shares'!$C:$FM,114)</f>
        <v>36.53</v>
      </c>
      <c r="E172" s="50">
        <f>VLOOKUP($A172,'Data shares'!$C:$FM,106)</f>
        <v>40.799999999999997</v>
      </c>
      <c r="F172" s="50">
        <f>VLOOKUP($A172,'Data shares'!$C:$FM,108)</f>
        <v>-5</v>
      </c>
      <c r="G172" s="50">
        <f t="shared" si="5"/>
        <v>0.87745098039215685</v>
      </c>
    </row>
    <row r="173" spans="1:7" x14ac:dyDescent="0.25">
      <c r="A173" s="49" t="str">
        <f>'Data shares'!C168</f>
        <v>POWERGRID</v>
      </c>
      <c r="B173" s="50">
        <f>VLOOKUP($A173,'Data shares'!$C:$FM,102)</f>
        <v>18.52</v>
      </c>
      <c r="C173" s="50">
        <f>VLOOKUP($A173,'Data shares'!$C:$FM,110)</f>
        <v>18.52</v>
      </c>
      <c r="D173" s="50">
        <f>VLOOKUP($A173,'Data shares'!$C:$FM,114)</f>
        <v>18.52</v>
      </c>
      <c r="E173" s="50">
        <f>VLOOKUP($A173,'Data shares'!$C:$FM,106)</f>
        <v>29.39</v>
      </c>
      <c r="F173" s="50">
        <f>VLOOKUP($A173,'Data shares'!$C:$FM,108)</f>
        <v>-10.87</v>
      </c>
      <c r="G173" s="50">
        <f t="shared" si="5"/>
        <v>0.63014630826811835</v>
      </c>
    </row>
    <row r="174" spans="1:7" x14ac:dyDescent="0.25">
      <c r="A174" s="49" t="str">
        <f>'Data shares'!C169</f>
        <v>POWERINDIA</v>
      </c>
      <c r="B174" s="50">
        <f>VLOOKUP($A174,'Data shares'!$C:$FM,102)</f>
        <v>34.479999999999997</v>
      </c>
      <c r="C174" s="50">
        <f>VLOOKUP($A174,'Data shares'!$C:$FM,110)</f>
        <v>34.44</v>
      </c>
      <c r="D174" s="50">
        <f>VLOOKUP($A174,'Data shares'!$C:$FM,114)</f>
        <v>34.85</v>
      </c>
      <c r="E174" s="50">
        <f>VLOOKUP($A174,'Data shares'!$C:$FM,106)</f>
        <v>57.98</v>
      </c>
      <c r="F174" s="50">
        <f>VLOOKUP($A174,'Data shares'!$C:$FM,108)</f>
        <v>-23.5</v>
      </c>
      <c r="G174" s="50">
        <f t="shared" si="5"/>
        <v>0.59468782338737491</v>
      </c>
    </row>
    <row r="175" spans="1:7" x14ac:dyDescent="0.25">
      <c r="A175" s="49" t="str">
        <f>'Data shares'!C170</f>
        <v>PPLPHARMA</v>
      </c>
      <c r="B175" s="50">
        <f>VLOOKUP($A175,'Data shares'!$C:$FM,102)</f>
        <v>34.92</v>
      </c>
      <c r="C175" s="50">
        <f>VLOOKUP($A175,'Data shares'!$C:$FM,110)</f>
        <v>35.18</v>
      </c>
      <c r="D175" s="50">
        <f>VLOOKUP($A175,'Data shares'!$C:$FM,114)</f>
        <v>33.729999999999997</v>
      </c>
      <c r="E175" s="50">
        <f>VLOOKUP($A175,'Data shares'!$C:$FM,106)</f>
        <v>47.11</v>
      </c>
      <c r="F175" s="50">
        <f>VLOOKUP($A175,'Data shares'!$C:$FM,108)</f>
        <v>-12.19</v>
      </c>
      <c r="G175" s="50">
        <f t="shared" si="5"/>
        <v>0.7412438972617279</v>
      </c>
    </row>
    <row r="176" spans="1:7" x14ac:dyDescent="0.25">
      <c r="A176" s="49" t="str">
        <f>'Data shares'!C171</f>
        <v>PRESTIGE</v>
      </c>
      <c r="B176" s="50">
        <f>VLOOKUP($A176,'Data shares'!$C:$FM,102)</f>
        <v>29.56</v>
      </c>
      <c r="C176" s="50">
        <f>VLOOKUP($A176,'Data shares'!$C:$FM,110)</f>
        <v>29.43</v>
      </c>
      <c r="D176" s="50">
        <f>VLOOKUP($A176,'Data shares'!$C:$FM,114)</f>
        <v>29.96</v>
      </c>
      <c r="E176" s="50">
        <f>VLOOKUP($A176,'Data shares'!$C:$FM,106)</f>
        <v>47.46</v>
      </c>
      <c r="F176" s="50">
        <f>VLOOKUP($A176,'Data shares'!$C:$FM,108)</f>
        <v>-17.899999999999999</v>
      </c>
      <c r="G176" s="50">
        <f t="shared" si="5"/>
        <v>0.62284028655710066</v>
      </c>
    </row>
    <row r="177" spans="1:7" x14ac:dyDescent="0.25">
      <c r="A177" s="49" t="str">
        <f>'Data shares'!C172</f>
        <v>RBLBANK</v>
      </c>
      <c r="B177" s="50">
        <f>VLOOKUP($A177,'Data shares'!$C:$FM,102)</f>
        <v>49.08</v>
      </c>
      <c r="C177" s="50">
        <f>VLOOKUP($A177,'Data shares'!$C:$FM,110)</f>
        <v>48.64</v>
      </c>
      <c r="D177" s="50">
        <f>VLOOKUP($A177,'Data shares'!$C:$FM,114)</f>
        <v>49.88</v>
      </c>
      <c r="E177" s="50">
        <f>VLOOKUP($A177,'Data shares'!$C:$FM,106)</f>
        <v>46.54</v>
      </c>
      <c r="F177" s="50">
        <f>VLOOKUP($A177,'Data shares'!$C:$FM,108)</f>
        <v>2.54</v>
      </c>
      <c r="G177" s="50">
        <f t="shared" si="5"/>
        <v>1.0545767082079931</v>
      </c>
    </row>
    <row r="178" spans="1:7" x14ac:dyDescent="0.25">
      <c r="A178" s="49" t="str">
        <f>'Data shares'!C173</f>
        <v>RECLTD</v>
      </c>
      <c r="B178" s="50">
        <f>VLOOKUP($A178,'Data shares'!$C:$FM,102)</f>
        <v>30.69</v>
      </c>
      <c r="C178" s="50">
        <f>VLOOKUP($A178,'Data shares'!$C:$FM,110)</f>
        <v>30.47</v>
      </c>
      <c r="D178" s="50">
        <f>VLOOKUP($A178,'Data shares'!$C:$FM,114)</f>
        <v>31.02</v>
      </c>
      <c r="E178" s="50">
        <f>VLOOKUP($A178,'Data shares'!$C:$FM,106)</f>
        <v>45.01</v>
      </c>
      <c r="F178" s="50">
        <f>VLOOKUP($A178,'Data shares'!$C:$FM,108)</f>
        <v>-14.32</v>
      </c>
      <c r="G178" s="50">
        <f t="shared" si="5"/>
        <v>0.68184847811597427</v>
      </c>
    </row>
    <row r="179" spans="1:7" x14ac:dyDescent="0.25">
      <c r="A179" s="49" t="str">
        <f>'Data shares'!C174</f>
        <v>RELIANCE</v>
      </c>
      <c r="B179" s="50">
        <f>VLOOKUP($A179,'Data shares'!$C:$FM,102)</f>
        <v>21.42</v>
      </c>
      <c r="C179" s="50">
        <f>VLOOKUP($A179,'Data shares'!$C:$FM,110)</f>
        <v>21.3</v>
      </c>
      <c r="D179" s="50">
        <f>VLOOKUP($A179,'Data shares'!$C:$FM,114)</f>
        <v>21.7</v>
      </c>
      <c r="E179" s="50">
        <f>VLOOKUP($A179,'Data shares'!$C:$FM,106)</f>
        <v>24.27</v>
      </c>
      <c r="F179" s="50">
        <f>VLOOKUP($A179,'Data shares'!$C:$FM,108)</f>
        <v>-2.85</v>
      </c>
      <c r="G179" s="50">
        <f t="shared" si="5"/>
        <v>0.88257107540173063</v>
      </c>
    </row>
    <row r="180" spans="1:7" x14ac:dyDescent="0.25">
      <c r="A180" s="49" t="str">
        <f>'Data shares'!C175</f>
        <v>RVNL</v>
      </c>
      <c r="B180" s="50">
        <f>VLOOKUP($A180,'Data shares'!$C:$FM,102)</f>
        <v>36.479999999999997</v>
      </c>
      <c r="C180" s="50">
        <f>VLOOKUP($A180,'Data shares'!$C:$FM,110)</f>
        <v>37.6</v>
      </c>
      <c r="D180" s="50">
        <f>VLOOKUP($A180,'Data shares'!$C:$FM,114)</f>
        <v>32.49</v>
      </c>
      <c r="E180" s="50">
        <f>VLOOKUP($A180,'Data shares'!$C:$FM,106)</f>
        <v>57.86</v>
      </c>
      <c r="F180" s="50">
        <f>VLOOKUP($A180,'Data shares'!$C:$FM,108)</f>
        <v>-21.38</v>
      </c>
      <c r="G180" s="50">
        <f t="shared" si="5"/>
        <v>0.63048738333909427</v>
      </c>
    </row>
    <row r="181" spans="1:7" x14ac:dyDescent="0.25">
      <c r="A181" s="49" t="str">
        <f>'Data shares'!C176</f>
        <v>SAIL</v>
      </c>
      <c r="B181" s="50">
        <f>VLOOKUP($A181,'Data shares'!$C:$FM,102)</f>
        <v>32.31</v>
      </c>
      <c r="C181" s="50">
        <f>VLOOKUP($A181,'Data shares'!$C:$FM,110)</f>
        <v>32.85</v>
      </c>
      <c r="D181" s="50">
        <f>VLOOKUP($A181,'Data shares'!$C:$FM,114)</f>
        <v>31.33</v>
      </c>
      <c r="E181" s="50">
        <f>VLOOKUP($A181,'Data shares'!$C:$FM,106)</f>
        <v>45.41</v>
      </c>
      <c r="F181" s="50">
        <f>VLOOKUP($A181,'Data shares'!$C:$FM,108)</f>
        <v>-13.1</v>
      </c>
      <c r="G181" s="50">
        <f t="shared" si="5"/>
        <v>0.71151728694120253</v>
      </c>
    </row>
    <row r="182" spans="1:7" x14ac:dyDescent="0.25">
      <c r="A182" s="49" t="str">
        <f>'Data shares'!C177</f>
        <v>SAMMAANCAP</v>
      </c>
      <c r="B182" s="50">
        <f>VLOOKUP($A182,'Data shares'!$C:$FM,102)</f>
        <v>32.479999999999997</v>
      </c>
      <c r="C182" s="50">
        <f>VLOOKUP($A182,'Data shares'!$C:$FM,110)</f>
        <v>29.84</v>
      </c>
      <c r="D182" s="50">
        <f>VLOOKUP($A182,'Data shares'!$C:$FM,114)</f>
        <v>38.39</v>
      </c>
      <c r="E182" s="50">
        <f>VLOOKUP($A182,'Data shares'!$C:$FM,106)</f>
        <v>57.32</v>
      </c>
      <c r="F182" s="50">
        <f>VLOOKUP($A182,'Data shares'!$C:$FM,108)</f>
        <v>-24.84</v>
      </c>
      <c r="G182" s="50">
        <f t="shared" si="5"/>
        <v>0.5666434054431263</v>
      </c>
    </row>
    <row r="183" spans="1:7" x14ac:dyDescent="0.25">
      <c r="A183" s="49" t="str">
        <f>'Data shares'!C178</f>
        <v>SBICARD</v>
      </c>
      <c r="B183" s="50">
        <f>VLOOKUP($A183,'Data shares'!$C:$FM,102)</f>
        <v>29.08</v>
      </c>
      <c r="C183" s="50">
        <f>VLOOKUP($A183,'Data shares'!$C:$FM,110)</f>
        <v>28.59</v>
      </c>
      <c r="D183" s="50">
        <f>VLOOKUP($A183,'Data shares'!$C:$FM,114)</f>
        <v>30.27</v>
      </c>
      <c r="E183" s="50">
        <f>VLOOKUP($A183,'Data shares'!$C:$FM,106)</f>
        <v>30.25</v>
      </c>
      <c r="F183" s="50">
        <f>VLOOKUP($A183,'Data shares'!$C:$FM,108)</f>
        <v>-1.17</v>
      </c>
      <c r="G183" s="50">
        <f t="shared" si="5"/>
        <v>0.96132231404958668</v>
      </c>
    </row>
    <row r="184" spans="1:7" x14ac:dyDescent="0.25">
      <c r="A184" s="49" t="str">
        <f>'Data shares'!C179</f>
        <v>SBILIFE</v>
      </c>
      <c r="B184" s="50">
        <f>VLOOKUP($A184,'Data shares'!$C:$FM,102)</f>
        <v>21.17</v>
      </c>
      <c r="C184" s="50">
        <f>VLOOKUP($A184,'Data shares'!$C:$FM,110)</f>
        <v>20.77</v>
      </c>
      <c r="D184" s="50">
        <f>VLOOKUP($A184,'Data shares'!$C:$FM,114)</f>
        <v>21.97</v>
      </c>
      <c r="E184" s="50">
        <f>VLOOKUP($A184,'Data shares'!$C:$FM,106)</f>
        <v>25.66</v>
      </c>
      <c r="F184" s="50">
        <f>VLOOKUP($A184,'Data shares'!$C:$FM,108)</f>
        <v>-4.49</v>
      </c>
      <c r="G184" s="50">
        <f t="shared" si="5"/>
        <v>0.8250194855806704</v>
      </c>
    </row>
    <row r="185" spans="1:7" x14ac:dyDescent="0.25">
      <c r="A185" s="49" t="str">
        <f>'Data shares'!C180</f>
        <v>SBIN</v>
      </c>
      <c r="B185" s="50">
        <f>VLOOKUP($A185,'Data shares'!$C:$FM,102)</f>
        <v>17.190000000000001</v>
      </c>
      <c r="C185" s="50">
        <f>VLOOKUP($A185,'Data shares'!$C:$FM,110)</f>
        <v>16.850000000000001</v>
      </c>
      <c r="D185" s="50">
        <f>VLOOKUP($A185,'Data shares'!$C:$FM,114)</f>
        <v>17.71</v>
      </c>
      <c r="E185" s="50">
        <f>VLOOKUP($A185,'Data shares'!$C:$FM,106)</f>
        <v>26.24</v>
      </c>
      <c r="F185" s="50">
        <f>VLOOKUP($A185,'Data shares'!$C:$FM,108)</f>
        <v>-9.0500000000000007</v>
      </c>
      <c r="G185" s="50">
        <f t="shared" si="5"/>
        <v>0.65510670731707321</v>
      </c>
    </row>
    <row r="186" spans="1:7" x14ac:dyDescent="0.25">
      <c r="A186" s="49" t="str">
        <f>'Data shares'!C181</f>
        <v>SHREECEM</v>
      </c>
      <c r="B186" s="50">
        <f>VLOOKUP($A186,'Data shares'!$C:$FM,102)</f>
        <v>21.14</v>
      </c>
      <c r="C186" s="50">
        <f>VLOOKUP($A186,'Data shares'!$C:$FM,110)</f>
        <v>20.12</v>
      </c>
      <c r="D186" s="50">
        <f>VLOOKUP($A186,'Data shares'!$C:$FM,114)</f>
        <v>21.91</v>
      </c>
      <c r="E186" s="50">
        <f>VLOOKUP($A186,'Data shares'!$C:$FM,106)</f>
        <v>25.76</v>
      </c>
      <c r="F186" s="50">
        <f>VLOOKUP($A186,'Data shares'!$C:$FM,108)</f>
        <v>-4.62</v>
      </c>
      <c r="G186" s="50">
        <f t="shared" si="5"/>
        <v>0.82065217391304346</v>
      </c>
    </row>
    <row r="187" spans="1:7" x14ac:dyDescent="0.25">
      <c r="A187" s="49" t="str">
        <f>'Data shares'!C182</f>
        <v>SHRIRAMFIN</v>
      </c>
      <c r="B187" s="50">
        <f>VLOOKUP($A187,'Data shares'!$C:$FM,102)</f>
        <v>28.26</v>
      </c>
      <c r="C187" s="50">
        <f>VLOOKUP($A187,'Data shares'!$C:$FM,110)</f>
        <v>27.99</v>
      </c>
      <c r="D187" s="50">
        <f>VLOOKUP($A187,'Data shares'!$C:$FM,114)</f>
        <v>28.86</v>
      </c>
      <c r="E187" s="50">
        <f>VLOOKUP($A187,'Data shares'!$C:$FM,106)</f>
        <v>40.630000000000003</v>
      </c>
      <c r="F187" s="50">
        <f>VLOOKUP($A187,'Data shares'!$C:$FM,108)</f>
        <v>-12.37</v>
      </c>
      <c r="G187" s="50">
        <f t="shared" si="5"/>
        <v>0.69554516367216346</v>
      </c>
    </row>
    <row r="188" spans="1:7" x14ac:dyDescent="0.25">
      <c r="A188" s="49" t="str">
        <f>'Data shares'!C183</f>
        <v>SIEMENS</v>
      </c>
      <c r="B188" s="50">
        <f>VLOOKUP($A188,'Data shares'!$C:$FM,102)</f>
        <v>27.07</v>
      </c>
      <c r="C188" s="50">
        <f>VLOOKUP($A188,'Data shares'!$C:$FM,110)</f>
        <v>27.26</v>
      </c>
      <c r="D188" s="50">
        <f>VLOOKUP($A188,'Data shares'!$C:$FM,114)</f>
        <v>26.64</v>
      </c>
      <c r="E188" s="50">
        <f>VLOOKUP($A188,'Data shares'!$C:$FM,106)</f>
        <v>39.74</v>
      </c>
      <c r="F188" s="50">
        <f>VLOOKUP($A188,'Data shares'!$C:$FM,108)</f>
        <v>-12.67</v>
      </c>
      <c r="G188" s="50">
        <f t="shared" si="5"/>
        <v>0.68117765475591341</v>
      </c>
    </row>
    <row r="189" spans="1:7" x14ac:dyDescent="0.25">
      <c r="A189" s="49" t="str">
        <f>'Data shares'!C216</f>
        <v>ZYDUSLIFE</v>
      </c>
      <c r="B189" s="50">
        <f>VLOOKUP($A189,'Data shares'!$C:$FM,102)</f>
        <v>23.88</v>
      </c>
      <c r="C189" s="50">
        <f>VLOOKUP($A189,'Data shares'!$C:$FM,110)</f>
        <v>24.09</v>
      </c>
      <c r="D189" s="50">
        <f>VLOOKUP($A189,'Data shares'!$C:$FM,114)</f>
        <v>23.41</v>
      </c>
      <c r="E189" s="50">
        <f>VLOOKUP($A189,'Data shares'!$C:$FM,106)</f>
        <v>29.91</v>
      </c>
      <c r="F189" s="50">
        <f>VLOOKUP($A189,'Data shares'!$C:$FM,108)</f>
        <v>-6.03</v>
      </c>
      <c r="G189" s="50">
        <f t="shared" si="5"/>
        <v>0.79839518555667</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197" activePane="bottomLeft" state="frozen"/>
      <selection pane="bottomLeft" activeCell="K212" sqref="K212"/>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683</v>
      </c>
      <c r="B5" s="49">
        <v>44660948</v>
      </c>
      <c r="C5" s="49">
        <v>6365500</v>
      </c>
      <c r="D5" s="49">
        <v>3310864.8364650002</v>
      </c>
      <c r="E5" s="50">
        <f>VLOOKUP($A5,'Data shares'!$C:$FA,154)*100</f>
        <v>14.81</v>
      </c>
      <c r="F5" s="173">
        <f>C5/B5</f>
        <v>0.14252944205304374</v>
      </c>
    </row>
    <row r="6" spans="1:6" x14ac:dyDescent="0.25">
      <c r="A6" s="99" t="s">
        <v>553</v>
      </c>
      <c r="B6" s="49">
        <v>7946564</v>
      </c>
      <c r="C6" s="49">
        <v>4618625</v>
      </c>
      <c r="D6" s="49">
        <v>2397829.56937125</v>
      </c>
      <c r="E6" s="50">
        <f>VLOOKUP($A6,'Data shares'!$C:$FA,154)*100</f>
        <v>59.260000000000005</v>
      </c>
      <c r="F6" s="173">
        <f>C6/B6</f>
        <v>0.58121031932795109</v>
      </c>
    </row>
    <row r="7" spans="1:6" x14ac:dyDescent="0.25">
      <c r="A7" s="99" t="s">
        <v>544</v>
      </c>
      <c r="B7" s="49">
        <v>122316423</v>
      </c>
      <c r="C7" s="49">
        <v>114514000</v>
      </c>
      <c r="D7" s="49">
        <v>76442613.378742993</v>
      </c>
      <c r="E7" s="50">
        <f>VLOOKUP($A7,'Data shares'!$C:$FA,154)*100</f>
        <v>94.8</v>
      </c>
      <c r="F7" s="173">
        <f>C7/B7</f>
        <v>0.93621115784263897</v>
      </c>
    </row>
    <row r="8" spans="1:6" x14ac:dyDescent="0.25">
      <c r="A8" s="99" t="s">
        <v>579</v>
      </c>
      <c r="B8" s="49">
        <v>51907388</v>
      </c>
      <c r="C8" s="49">
        <v>23772150</v>
      </c>
      <c r="D8" s="49">
        <v>16322000.051529</v>
      </c>
      <c r="E8" s="50">
        <f>VLOOKUP($A8,'Data shares'!$C:$FA,154)*100</f>
        <v>46.339999999999996</v>
      </c>
      <c r="F8" s="173">
        <f>C8/B8</f>
        <v>0.45797237957725789</v>
      </c>
    </row>
    <row r="9" spans="1:6" x14ac:dyDescent="0.25">
      <c r="A9" s="99" t="s">
        <v>159</v>
      </c>
      <c r="B9" s="49">
        <v>30040977</v>
      </c>
      <c r="C9" s="49">
        <v>26907000</v>
      </c>
      <c r="D9" s="49">
        <v>12764926.003892999</v>
      </c>
      <c r="E9" s="50">
        <f>VLOOKUP($A9,'Data shares'!$C:$FA,154)*100</f>
        <v>91.89</v>
      </c>
      <c r="F9" s="173">
        <f>C9/B9</f>
        <v>0.89567659533842725</v>
      </c>
    </row>
    <row r="10" spans="1:6" x14ac:dyDescent="0.25">
      <c r="A10" s="99" t="s">
        <v>606</v>
      </c>
      <c r="B10" s="49">
        <v>61877951</v>
      </c>
      <c r="C10" s="49">
        <v>36310200</v>
      </c>
      <c r="D10" s="49">
        <v>18086530.265921999</v>
      </c>
      <c r="E10" s="50">
        <f>VLOOKUP($A10,'Data shares'!$C:$FA,154)*100</f>
        <v>60.08</v>
      </c>
      <c r="F10" s="173">
        <f>C10/B10</f>
        <v>0.58680352877230857</v>
      </c>
    </row>
    <row r="11" spans="1:6" x14ac:dyDescent="0.25">
      <c r="A11" s="99" t="s">
        <v>160</v>
      </c>
      <c r="B11" s="49">
        <v>73799006</v>
      </c>
      <c r="C11" s="49">
        <v>34679275</v>
      </c>
      <c r="D11" s="49">
        <v>22510189.979323</v>
      </c>
      <c r="E11" s="50">
        <f>VLOOKUP($A11,'Data shares'!$C:$FA,154)*100</f>
        <v>47.77</v>
      </c>
      <c r="F11" s="173">
        <f>C11/B11</f>
        <v>0.46991520454896102</v>
      </c>
    </row>
    <row r="12" spans="1:6" x14ac:dyDescent="0.25">
      <c r="A12" s="99" t="s">
        <v>497</v>
      </c>
      <c r="B12" s="49">
        <v>6130387</v>
      </c>
      <c r="C12" s="49">
        <v>2006875</v>
      </c>
      <c r="D12" s="49">
        <v>1550266.51073</v>
      </c>
      <c r="E12" s="50">
        <f>VLOOKUP($A12,'Data shares'!$C:$FA,154)*100</f>
        <v>32.92</v>
      </c>
      <c r="F12" s="173">
        <f>C12/B12</f>
        <v>0.3273651402431853</v>
      </c>
    </row>
    <row r="13" spans="1:6" x14ac:dyDescent="0.25">
      <c r="A13" s="99" t="s">
        <v>682</v>
      </c>
      <c r="B13" s="49">
        <v>3067454</v>
      </c>
      <c r="C13" s="49">
        <v>1760900</v>
      </c>
      <c r="D13" s="49">
        <v>619021.142078</v>
      </c>
      <c r="E13" s="50">
        <f>VLOOKUP($A13,'Data shares'!$C:$FA,154)*100</f>
        <v>60.260000000000005</v>
      </c>
      <c r="F13" s="173">
        <f>C13/B13</f>
        <v>0.57405913829514643</v>
      </c>
    </row>
    <row r="14" spans="1:6" x14ac:dyDescent="0.25">
      <c r="A14" s="99" t="s">
        <v>164</v>
      </c>
      <c r="B14" s="49">
        <v>119762774</v>
      </c>
      <c r="C14" s="49">
        <v>60304650</v>
      </c>
      <c r="D14" s="49">
        <v>36569705.350478999</v>
      </c>
      <c r="E14" s="50">
        <f>VLOOKUP($A14,'Data shares'!$C:$FA,154)*100</f>
        <v>51.22</v>
      </c>
      <c r="F14" s="173">
        <f>C14/B14</f>
        <v>0.50353417832489422</v>
      </c>
    </row>
    <row r="15" spans="1:6" x14ac:dyDescent="0.25">
      <c r="A15" s="99" t="s">
        <v>609</v>
      </c>
      <c r="B15" s="49">
        <v>9647634</v>
      </c>
      <c r="C15" s="49">
        <v>8464750</v>
      </c>
      <c r="D15" s="49">
        <v>3436809.8946174998</v>
      </c>
      <c r="E15" s="50">
        <f>VLOOKUP($A15,'Data shares'!$C:$FA,154)*100</f>
        <v>89.62</v>
      </c>
      <c r="F15" s="173">
        <f>C15/B15</f>
        <v>0.87739128578053438</v>
      </c>
    </row>
    <row r="16" spans="1:6" x14ac:dyDescent="0.25">
      <c r="A16" s="99" t="s">
        <v>598</v>
      </c>
      <c r="B16" s="49">
        <v>27232196</v>
      </c>
      <c r="C16" s="49">
        <v>11445000</v>
      </c>
      <c r="D16" s="49">
        <v>8915218.7444634996</v>
      </c>
      <c r="E16" s="50">
        <f>VLOOKUP($A16,'Data shares'!$C:$FA,154)*100</f>
        <v>42.199999999999996</v>
      </c>
      <c r="F16" s="173">
        <f>C16/B16</f>
        <v>0.42027458968053844</v>
      </c>
    </row>
    <row r="17" spans="1:6" x14ac:dyDescent="0.25">
      <c r="A17" s="99" t="s">
        <v>165</v>
      </c>
      <c r="B17" s="49">
        <v>15240043</v>
      </c>
      <c r="C17" s="49">
        <v>3878625</v>
      </c>
      <c r="D17" s="49">
        <v>2815380.9311287501</v>
      </c>
      <c r="E17" s="50">
        <f>VLOOKUP($A17,'Data shares'!$C:$FA,154)*100</f>
        <v>25.8</v>
      </c>
      <c r="F17" s="173">
        <f>C17/B17</f>
        <v>0.25450223467217253</v>
      </c>
    </row>
    <row r="18" spans="1:6" x14ac:dyDescent="0.25">
      <c r="A18" s="99" t="s">
        <v>167</v>
      </c>
      <c r="B18" s="49">
        <v>409181558</v>
      </c>
      <c r="C18" s="49">
        <v>268060000</v>
      </c>
      <c r="D18" s="49">
        <v>131168146.69865</v>
      </c>
      <c r="E18" s="50">
        <f>VLOOKUP($A18,'Data shares'!$C:$FA,154)*100</f>
        <v>66.97</v>
      </c>
      <c r="F18" s="173">
        <f>C18/B18</f>
        <v>0.65511261384854491</v>
      </c>
    </row>
    <row r="19" spans="1:6" x14ac:dyDescent="0.25">
      <c r="A19" s="99" t="s">
        <v>169</v>
      </c>
      <c r="B19" s="49">
        <v>52357280</v>
      </c>
      <c r="C19" s="49">
        <v>22299750</v>
      </c>
      <c r="D19" s="49">
        <v>12257380.302855</v>
      </c>
      <c r="E19" s="50">
        <f>VLOOKUP($A19,'Data shares'!$C:$FA,154)*100</f>
        <v>43.93</v>
      </c>
      <c r="F19" s="173">
        <f>C19/B19</f>
        <v>0.42591498259649851</v>
      </c>
    </row>
    <row r="20" spans="1:6" x14ac:dyDescent="0.25">
      <c r="A20" s="99" t="s">
        <v>503</v>
      </c>
      <c r="B20" s="49">
        <v>18495534</v>
      </c>
      <c r="C20" s="49">
        <v>13702000</v>
      </c>
      <c r="D20" s="49">
        <v>8032016.5060855001</v>
      </c>
      <c r="E20" s="50">
        <f>VLOOKUP($A20,'Data shares'!$C:$FA,154)*100</f>
        <v>74.599999999999994</v>
      </c>
      <c r="F20" s="173">
        <f>C20/B20</f>
        <v>0.7408274884088234</v>
      </c>
    </row>
    <row r="21" spans="1:6" x14ac:dyDescent="0.25">
      <c r="A21" s="99" t="s">
        <v>495</v>
      </c>
      <c r="B21" s="49">
        <v>86234186</v>
      </c>
      <c r="C21" s="49">
        <v>33874000</v>
      </c>
      <c r="D21" s="49">
        <v>19818714.017749999</v>
      </c>
      <c r="E21" s="50">
        <f>VLOOKUP($A21,'Data shares'!$C:$FA,154)*100</f>
        <v>39.85</v>
      </c>
      <c r="F21" s="173">
        <f>C21/B21</f>
        <v>0.39281405172653916</v>
      </c>
    </row>
    <row r="22" spans="1:6" x14ac:dyDescent="0.25">
      <c r="A22" s="99" t="s">
        <v>171</v>
      </c>
      <c r="B22" s="49">
        <v>41977935</v>
      </c>
      <c r="C22" s="49">
        <v>30437000</v>
      </c>
      <c r="D22" s="49">
        <v>22022688.502177</v>
      </c>
      <c r="E22" s="50">
        <f>VLOOKUP($A22,'Data shares'!$C:$FA,154)*100</f>
        <v>73.28</v>
      </c>
      <c r="F22" s="173">
        <f>C22/B22</f>
        <v>0.72507139762830164</v>
      </c>
    </row>
    <row r="23" spans="1:6" x14ac:dyDescent="0.25">
      <c r="A23" s="99" t="s">
        <v>173</v>
      </c>
      <c r="B23" s="49">
        <v>316147681</v>
      </c>
      <c r="C23" s="49">
        <v>125228125</v>
      </c>
      <c r="D23" s="49">
        <v>80718893.2386875</v>
      </c>
      <c r="E23" s="50">
        <f>VLOOKUP($A23,'Data shares'!$C:$FA,154)*100</f>
        <v>40.550000000000004</v>
      </c>
      <c r="F23" s="173">
        <f>C23/B23</f>
        <v>0.39610641648198586</v>
      </c>
    </row>
    <row r="24" spans="1:6" x14ac:dyDescent="0.25">
      <c r="A24" s="99" t="s">
        <v>174</v>
      </c>
      <c r="B24" s="49">
        <v>12547731</v>
      </c>
      <c r="C24" s="49">
        <v>5547450</v>
      </c>
      <c r="D24" s="49">
        <v>2910431.2932119998</v>
      </c>
      <c r="E24" s="50">
        <f>VLOOKUP($A24,'Data shares'!$C:$FA,154)*100</f>
        <v>45.33</v>
      </c>
      <c r="F24" s="173">
        <f>C24/B24</f>
        <v>0.44210782013098621</v>
      </c>
    </row>
    <row r="25" spans="1:6" x14ac:dyDescent="0.25">
      <c r="A25" s="99" t="s">
        <v>176</v>
      </c>
      <c r="B25" s="49">
        <v>65659712</v>
      </c>
      <c r="C25" s="49">
        <v>28497000</v>
      </c>
      <c r="D25" s="49">
        <v>19511342.700940002</v>
      </c>
      <c r="E25" s="50">
        <f>VLOOKUP($A25,'Data shares'!$C:$FA,154)*100</f>
        <v>44.24</v>
      </c>
      <c r="F25" s="173">
        <f>C25/B25</f>
        <v>0.43401043245514082</v>
      </c>
    </row>
    <row r="26" spans="1:6" x14ac:dyDescent="0.25">
      <c r="A26" s="99" t="s">
        <v>177</v>
      </c>
      <c r="B26" s="49">
        <v>281116345</v>
      </c>
      <c r="C26" s="49">
        <v>122738250</v>
      </c>
      <c r="D26" s="49">
        <v>91596061.165222496</v>
      </c>
      <c r="E26" s="50">
        <f>VLOOKUP($A26,'Data shares'!$C:$FA,154)*100</f>
        <v>44.87</v>
      </c>
      <c r="F26" s="173">
        <f>C26/B26</f>
        <v>0.43661015157265226</v>
      </c>
    </row>
    <row r="27" spans="1:6" x14ac:dyDescent="0.25">
      <c r="A27" s="99" t="s">
        <v>179</v>
      </c>
      <c r="B27" s="49">
        <v>142752962</v>
      </c>
      <c r="C27" s="49">
        <v>186030000</v>
      </c>
      <c r="D27" s="49">
        <v>97090460.243532002</v>
      </c>
      <c r="E27" s="50">
        <f>VLOOKUP($A27,'Data shares'!$C:$FA,154)*100</f>
        <v>133.39000000000001</v>
      </c>
      <c r="F27" s="173">
        <f>C27/B27</f>
        <v>1.3031603505361942</v>
      </c>
    </row>
    <row r="28" spans="1:6" x14ac:dyDescent="0.25">
      <c r="A28" s="99" t="s">
        <v>180</v>
      </c>
      <c r="B28" s="49">
        <v>257509827</v>
      </c>
      <c r="C28" s="49">
        <v>200561400</v>
      </c>
      <c r="D28" s="49">
        <v>123778008.219586</v>
      </c>
      <c r="E28" s="50">
        <f>VLOOKUP($A28,'Data shares'!$C:$FA,154)*100</f>
        <v>79.069999999999993</v>
      </c>
      <c r="F28" s="173">
        <f>C28/B28</f>
        <v>0.77884949998432484</v>
      </c>
    </row>
    <row r="29" spans="1:6" x14ac:dyDescent="0.25">
      <c r="A29" s="99" t="s">
        <v>602</v>
      </c>
      <c r="B29" s="49">
        <v>181770921</v>
      </c>
      <c r="C29" s="49">
        <v>117826800</v>
      </c>
      <c r="D29" s="49">
        <v>66791026.362580001</v>
      </c>
      <c r="E29" s="50">
        <f>VLOOKUP($A29,'Data shares'!$C:$FA,154)*100</f>
        <v>65.649999999999991</v>
      </c>
      <c r="F29" s="173">
        <f>C29/B29</f>
        <v>0.64821589367421428</v>
      </c>
    </row>
    <row r="30" spans="1:6" x14ac:dyDescent="0.25">
      <c r="A30" s="99" t="s">
        <v>672</v>
      </c>
      <c r="B30" s="49">
        <v>13786716</v>
      </c>
      <c r="C30" s="49">
        <v>10318425</v>
      </c>
      <c r="D30" s="49">
        <v>4194776.3082387503</v>
      </c>
      <c r="E30" s="50"/>
      <c r="F30" s="173">
        <f>C30/B30</f>
        <v>0.74843240406199707</v>
      </c>
    </row>
    <row r="31" spans="1:6" x14ac:dyDescent="0.25">
      <c r="A31" s="99" t="s">
        <v>185</v>
      </c>
      <c r="B31" s="49">
        <v>535778534</v>
      </c>
      <c r="C31" s="49">
        <v>219723600</v>
      </c>
      <c r="D31" s="49">
        <v>111090505.310725</v>
      </c>
      <c r="E31" s="50">
        <f>VLOOKUP($A31,'Data shares'!$C:$FA,154)*100</f>
        <v>42.22</v>
      </c>
      <c r="F31" s="173">
        <f>C31/B31</f>
        <v>0.4101015364680512</v>
      </c>
    </row>
    <row r="32" spans="1:6" x14ac:dyDescent="0.25">
      <c r="A32" s="99" t="s">
        <v>187</v>
      </c>
      <c r="B32" s="49">
        <v>35155737</v>
      </c>
      <c r="C32" s="49">
        <v>17773000</v>
      </c>
      <c r="D32" s="49">
        <v>9568655.2267300002</v>
      </c>
      <c r="E32" s="50">
        <f>VLOOKUP($A32,'Data shares'!$C:$FA,154)*100</f>
        <v>52.569999999999993</v>
      </c>
      <c r="F32" s="173">
        <f>C32/B32</f>
        <v>0.50555048810383352</v>
      </c>
    </row>
    <row r="33" spans="1:6" x14ac:dyDescent="0.25">
      <c r="A33" s="99" t="s">
        <v>189</v>
      </c>
      <c r="B33" s="49">
        <v>314058656</v>
      </c>
      <c r="C33" s="49">
        <v>68551050</v>
      </c>
      <c r="D33" s="49">
        <v>49072598.015680201</v>
      </c>
      <c r="E33" s="50">
        <f>VLOOKUP($A33,'Data shares'!$C:$FA,154)*100</f>
        <v>22.2</v>
      </c>
      <c r="F33" s="173">
        <f>C33/B33</f>
        <v>0.21827467159510483</v>
      </c>
    </row>
    <row r="34" spans="1:6" x14ac:dyDescent="0.25">
      <c r="A34" s="99" t="s">
        <v>190</v>
      </c>
      <c r="B34" s="49">
        <v>169029877</v>
      </c>
      <c r="C34" s="49">
        <v>101747625</v>
      </c>
      <c r="D34" s="49">
        <v>56816546.500691198</v>
      </c>
      <c r="E34" s="50">
        <f>VLOOKUP($A34,'Data shares'!$C:$FA,154)*100</f>
        <v>61.57</v>
      </c>
      <c r="F34" s="173">
        <f>C34/B34</f>
        <v>0.60195053564406253</v>
      </c>
    </row>
    <row r="35" spans="1:6" x14ac:dyDescent="0.25">
      <c r="A35" s="99" t="s">
        <v>191</v>
      </c>
      <c r="B35" s="49">
        <v>90981174</v>
      </c>
      <c r="C35" s="49">
        <v>69332500</v>
      </c>
      <c r="D35" s="49">
        <v>35459750.604500003</v>
      </c>
      <c r="E35" s="50">
        <f>VLOOKUP($A35,'Data shares'!$C:$FA,154)*100</f>
        <v>77.3</v>
      </c>
      <c r="F35" s="173">
        <f>C35/B35</f>
        <v>0.76205325730353846</v>
      </c>
    </row>
    <row r="36" spans="1:6" x14ac:dyDescent="0.25">
      <c r="A36" s="99" t="s">
        <v>680</v>
      </c>
      <c r="B36" s="49">
        <v>19584741</v>
      </c>
      <c r="C36" s="49">
        <v>2712775</v>
      </c>
      <c r="D36" s="49">
        <v>1667475.1523495</v>
      </c>
      <c r="E36" s="50">
        <f>VLOOKUP($A36,'Data shares'!$C:$FA,154)*100</f>
        <v>14.44</v>
      </c>
      <c r="F36" s="173">
        <f>C36/B36</f>
        <v>0.13851472429479664</v>
      </c>
    </row>
    <row r="37" spans="1:6" x14ac:dyDescent="0.25">
      <c r="A37" s="99" t="s">
        <v>192</v>
      </c>
      <c r="B37" s="49">
        <v>982526</v>
      </c>
      <c r="C37" s="49">
        <v>384675</v>
      </c>
      <c r="D37" s="49">
        <v>245173.17532849999</v>
      </c>
      <c r="E37" s="50">
        <f>VLOOKUP($A37,'Data shares'!$C:$FA,154)*100</f>
        <v>39.57</v>
      </c>
      <c r="F37" s="173">
        <f>C37/B37</f>
        <v>0.39151635681905617</v>
      </c>
    </row>
    <row r="38" spans="1:6" x14ac:dyDescent="0.25">
      <c r="A38" s="99" t="s">
        <v>194</v>
      </c>
      <c r="B38" s="49">
        <v>281577339</v>
      </c>
      <c r="C38" s="49">
        <v>64639775</v>
      </c>
      <c r="D38" s="49">
        <v>39624926.556305997</v>
      </c>
      <c r="E38" s="50">
        <f>VLOOKUP($A38,'Data shares'!$C:$FA,154)*100</f>
        <v>23.34</v>
      </c>
      <c r="F38" s="173">
        <f>C38/B38</f>
        <v>0.22956312901302048</v>
      </c>
    </row>
    <row r="39" spans="1:6" x14ac:dyDescent="0.25">
      <c r="A39" s="99" t="s">
        <v>195</v>
      </c>
      <c r="B39" s="49">
        <v>13082978</v>
      </c>
      <c r="C39" s="49">
        <v>5314625</v>
      </c>
      <c r="D39" s="49">
        <v>3693625.6494787498</v>
      </c>
      <c r="E39" s="50">
        <f>VLOOKUP($A39,'Data shares'!$C:$FA,154)*100</f>
        <v>41.17</v>
      </c>
      <c r="F39" s="173">
        <f>C39/B39</f>
        <v>0.4062244085406243</v>
      </c>
    </row>
    <row r="40" spans="1:6" x14ac:dyDescent="0.25">
      <c r="A40" s="99" t="s">
        <v>584</v>
      </c>
      <c r="B40" s="49">
        <v>48385387</v>
      </c>
      <c r="C40" s="49">
        <v>29781750</v>
      </c>
      <c r="D40" s="49">
        <v>12188465.5902075</v>
      </c>
      <c r="E40" s="50">
        <f>VLOOKUP($A40,'Data shares'!$C:$FA,154)*100</f>
        <v>65.27</v>
      </c>
      <c r="F40" s="173">
        <f>C40/B40</f>
        <v>0.61551124929516421</v>
      </c>
    </row>
    <row r="41" spans="1:6" x14ac:dyDescent="0.25">
      <c r="A41" s="99" t="s">
        <v>611</v>
      </c>
      <c r="B41" s="49">
        <v>7421215</v>
      </c>
      <c r="C41" s="49">
        <v>4188000</v>
      </c>
      <c r="D41" s="49">
        <v>2202839.0656964998</v>
      </c>
      <c r="E41" s="50">
        <f>VLOOKUP($A41,'Data shares'!$C:$FA,154)*100</f>
        <v>57.269999999999996</v>
      </c>
      <c r="F41" s="173">
        <f>C41/B41</f>
        <v>0.56432807835374665</v>
      </c>
    </row>
    <row r="42" spans="1:6" x14ac:dyDescent="0.25">
      <c r="A42" s="99" t="s">
        <v>196</v>
      </c>
      <c r="B42" s="49">
        <v>504315430</v>
      </c>
      <c r="C42" s="49">
        <v>459972000</v>
      </c>
      <c r="D42" s="49">
        <v>274151327.07777703</v>
      </c>
      <c r="E42" s="50"/>
      <c r="F42" s="173">
        <f>C42/B42</f>
        <v>0.91207203396493342</v>
      </c>
    </row>
    <row r="43" spans="1:6" x14ac:dyDescent="0.25">
      <c r="A43" s="99" t="s">
        <v>597</v>
      </c>
      <c r="B43" s="49">
        <v>26647500</v>
      </c>
      <c r="C43" s="49">
        <v>18898350</v>
      </c>
      <c r="D43" s="49">
        <v>7442267.4173512496</v>
      </c>
      <c r="E43" s="50">
        <f>VLOOKUP($A43,'Data shares'!$C:$FA,154)*100</f>
        <v>72.75</v>
      </c>
      <c r="F43" s="173">
        <f>C43/B43</f>
        <v>0.70919786096256687</v>
      </c>
    </row>
    <row r="44" spans="1:6" x14ac:dyDescent="0.25">
      <c r="A44" s="99" t="s">
        <v>612</v>
      </c>
      <c r="B44" s="49">
        <v>100245792</v>
      </c>
      <c r="C44" s="49">
        <v>27370000</v>
      </c>
      <c r="D44" s="49">
        <v>16083249.2675335</v>
      </c>
      <c r="E44" s="50">
        <f>VLOOKUP($A44,'Data shares'!$C:$FA,154)*100</f>
        <v>27.52</v>
      </c>
      <c r="F44" s="173">
        <f>C44/B44</f>
        <v>0.27302891676490521</v>
      </c>
    </row>
    <row r="45" spans="1:6" x14ac:dyDescent="0.25">
      <c r="A45" s="99" t="s">
        <v>198</v>
      </c>
      <c r="B45" s="49">
        <v>63212268</v>
      </c>
      <c r="C45" s="49">
        <v>24744375</v>
      </c>
      <c r="D45" s="49">
        <v>14398104.415637501</v>
      </c>
      <c r="E45" s="50">
        <f>VLOOKUP($A45,'Data shares'!$C:$FA,154)*100</f>
        <v>40.11</v>
      </c>
      <c r="F45" s="173">
        <f>C45/B45</f>
        <v>0.39144893519719937</v>
      </c>
    </row>
    <row r="46" spans="1:6" x14ac:dyDescent="0.25">
      <c r="A46" s="99" t="s">
        <v>199</v>
      </c>
      <c r="B46" s="49">
        <v>57073940</v>
      </c>
      <c r="C46" s="49">
        <v>22121625</v>
      </c>
      <c r="D46" s="49">
        <v>11953678.7887387</v>
      </c>
      <c r="E46" s="50">
        <f>VLOOKUP($A46,'Data shares'!$C:$FA,154)*100</f>
        <v>40.39</v>
      </c>
      <c r="F46" s="173">
        <f>C46/B46</f>
        <v>0.38759589753221874</v>
      </c>
    </row>
    <row r="47" spans="1:6" x14ac:dyDescent="0.25">
      <c r="A47" s="99" t="s">
        <v>200</v>
      </c>
      <c r="B47" s="49">
        <v>227199238</v>
      </c>
      <c r="C47" s="49">
        <v>118393650</v>
      </c>
      <c r="D47" s="49">
        <v>68059065.284752503</v>
      </c>
      <c r="E47" s="50">
        <f>VLOOKUP($A47,'Data shares'!$C:$FA,154)*100</f>
        <v>52.959999999999994</v>
      </c>
      <c r="F47" s="173">
        <f>C47/B47</f>
        <v>0.52110055932493926</v>
      </c>
    </row>
    <row r="48" spans="1:6" x14ac:dyDescent="0.25">
      <c r="A48" s="99" t="s">
        <v>470</v>
      </c>
      <c r="B48" s="49">
        <v>50163899</v>
      </c>
      <c r="C48" s="49">
        <v>19395375</v>
      </c>
      <c r="D48" s="49">
        <v>12463321.3368487</v>
      </c>
      <c r="E48" s="50">
        <f>VLOOKUP($A48,'Data shares'!$C:$FA,154)*100</f>
        <v>40.07</v>
      </c>
      <c r="F48" s="173">
        <f>C48/B48</f>
        <v>0.3866401014801501</v>
      </c>
    </row>
    <row r="49" spans="1:6" x14ac:dyDescent="0.25">
      <c r="A49" s="99" t="s">
        <v>201</v>
      </c>
      <c r="B49" s="49">
        <v>19990944</v>
      </c>
      <c r="C49" s="49">
        <v>8031375</v>
      </c>
      <c r="D49" s="49">
        <v>4431000.4202744998</v>
      </c>
      <c r="E49" s="50">
        <f>VLOOKUP($A49,'Data shares'!$C:$FA,154)*100</f>
        <v>40.630000000000003</v>
      </c>
      <c r="F49" s="173">
        <f>C49/B49</f>
        <v>0.40175066270007059</v>
      </c>
    </row>
    <row r="50" spans="1:6" x14ac:dyDescent="0.25">
      <c r="A50" s="99" t="s">
        <v>202</v>
      </c>
      <c r="B50" s="49">
        <v>48077012</v>
      </c>
      <c r="C50" s="49">
        <v>45617500</v>
      </c>
      <c r="D50" s="49">
        <v>23936396.604362499</v>
      </c>
      <c r="E50" s="50"/>
      <c r="F50" s="173">
        <f>C50/B50</f>
        <v>0.94884224502138359</v>
      </c>
    </row>
    <row r="51" spans="1:6" x14ac:dyDescent="0.25">
      <c r="A51" s="99" t="s">
        <v>523</v>
      </c>
      <c r="B51" s="49">
        <v>81400589</v>
      </c>
      <c r="C51" s="49">
        <v>82549800</v>
      </c>
      <c r="D51" s="49">
        <v>48458372.377769999</v>
      </c>
      <c r="E51" s="50">
        <f>VLOOKUP($A51,'Data shares'!$C:$FA,154)*100</f>
        <v>102.88</v>
      </c>
      <c r="F51" s="173">
        <f>C51/B51</f>
        <v>1.0141179690972506</v>
      </c>
    </row>
    <row r="52" spans="1:6" x14ac:dyDescent="0.25">
      <c r="A52" s="99" t="s">
        <v>203</v>
      </c>
      <c r="B52" s="49">
        <v>20374200</v>
      </c>
      <c r="C52" s="49">
        <v>4309000</v>
      </c>
      <c r="D52" s="49">
        <v>2799569.6892360002</v>
      </c>
      <c r="E52" s="50">
        <f>VLOOKUP($A52,'Data shares'!$C:$FA,154)*100</f>
        <v>21.52</v>
      </c>
      <c r="F52" s="173">
        <f>C52/B52</f>
        <v>0.21149296659500741</v>
      </c>
    </row>
    <row r="53" spans="1:6" x14ac:dyDescent="0.25">
      <c r="A53" s="99" t="s">
        <v>572</v>
      </c>
      <c r="B53" s="49">
        <v>12039544</v>
      </c>
      <c r="C53" s="49">
        <v>11130325</v>
      </c>
      <c r="D53" s="49">
        <v>4429849.4279464995</v>
      </c>
      <c r="E53" s="50"/>
      <c r="F53" s="173">
        <f>C53/B53</f>
        <v>0.92448061155804573</v>
      </c>
    </row>
    <row r="54" spans="1:6" x14ac:dyDescent="0.25">
      <c r="A54" s="99" t="s">
        <v>204</v>
      </c>
      <c r="B54" s="49">
        <v>89873278</v>
      </c>
      <c r="C54" s="49">
        <v>48717500</v>
      </c>
      <c r="D54" s="49">
        <v>25613414.795825001</v>
      </c>
      <c r="E54" s="50">
        <f>VLOOKUP($A54,'Data shares'!$C:$FA,154)*100</f>
        <v>55.14</v>
      </c>
      <c r="F54" s="173">
        <f>C54/B54</f>
        <v>0.54206880047259431</v>
      </c>
    </row>
    <row r="55" spans="1:6" x14ac:dyDescent="0.25">
      <c r="A55" s="99" t="s">
        <v>524</v>
      </c>
      <c r="B55" s="49">
        <v>12425041</v>
      </c>
      <c r="C55" s="49">
        <v>3457350</v>
      </c>
      <c r="D55" s="49">
        <v>2503647.3974979999</v>
      </c>
      <c r="E55" s="50">
        <f>VLOOKUP($A55,'Data shares'!$C:$FA,154)*100</f>
        <v>28.07</v>
      </c>
      <c r="F55" s="173">
        <f>C55/B55</f>
        <v>0.27825662708074766</v>
      </c>
    </row>
    <row r="56" spans="1:6" x14ac:dyDescent="0.25">
      <c r="A56" s="99" t="s">
        <v>600</v>
      </c>
      <c r="B56" s="49">
        <v>94196226</v>
      </c>
      <c r="C56" s="49">
        <v>37746325</v>
      </c>
      <c r="D56" s="49">
        <v>18868821.078303501</v>
      </c>
      <c r="E56" s="50">
        <f>VLOOKUP($A56,'Data shares'!$C:$FA,154)*100</f>
        <v>41.05</v>
      </c>
      <c r="F56" s="173">
        <f>C56/B56</f>
        <v>0.40072014137806328</v>
      </c>
    </row>
    <row r="57" spans="1:6" x14ac:dyDescent="0.25">
      <c r="A57" s="99" t="s">
        <v>205</v>
      </c>
      <c r="B57" s="49">
        <v>16353614</v>
      </c>
      <c r="C57" s="49">
        <v>6024700</v>
      </c>
      <c r="D57" s="49">
        <v>2812979.373017</v>
      </c>
      <c r="E57" s="50">
        <f>VLOOKUP($A57,'Data shares'!$C:$FA,154)*100</f>
        <v>38.26</v>
      </c>
      <c r="F57" s="173">
        <f>C57/B57</f>
        <v>0.36840174899566541</v>
      </c>
    </row>
    <row r="58" spans="1:6" x14ac:dyDescent="0.25">
      <c r="A58" s="99" t="s">
        <v>512</v>
      </c>
      <c r="B58" s="49">
        <v>6445442</v>
      </c>
      <c r="C58" s="49">
        <v>3431950</v>
      </c>
      <c r="D58" s="49">
        <v>1429452.9165375</v>
      </c>
      <c r="E58" s="50"/>
      <c r="F58" s="173">
        <f>C58/B58</f>
        <v>0.53246154414235669</v>
      </c>
    </row>
    <row r="59" spans="1:6" x14ac:dyDescent="0.25">
      <c r="A59" s="99" t="s">
        <v>207</v>
      </c>
      <c r="B59" s="49">
        <v>83667734</v>
      </c>
      <c r="C59" s="49">
        <v>62039175</v>
      </c>
      <c r="D59" s="49">
        <v>36506611.8462127</v>
      </c>
      <c r="E59" s="50">
        <f>VLOOKUP($A59,'Data shares'!$C:$FA,154)*100</f>
        <v>75.400000000000006</v>
      </c>
      <c r="F59" s="173">
        <f>C59/B59</f>
        <v>0.74149462443909386</v>
      </c>
    </row>
    <row r="60" spans="1:6" x14ac:dyDescent="0.25">
      <c r="A60" s="99" t="s">
        <v>583</v>
      </c>
      <c r="B60" s="49">
        <v>22136392</v>
      </c>
      <c r="C60" s="49">
        <v>10969200</v>
      </c>
      <c r="D60" s="49">
        <v>5526271.7386544999</v>
      </c>
      <c r="E60" s="50">
        <f>VLOOKUP($A60,'Data shares'!$C:$FA,154)*100</f>
        <v>50.949999999999996</v>
      </c>
      <c r="F60" s="173">
        <f>C60/B60</f>
        <v>0.49552790716752759</v>
      </c>
    </row>
    <row r="61" spans="1:6" x14ac:dyDescent="0.25">
      <c r="A61" s="99" t="s">
        <v>208</v>
      </c>
      <c r="B61" s="49">
        <v>61006521</v>
      </c>
      <c r="C61" s="49">
        <v>22614375</v>
      </c>
      <c r="D61" s="49">
        <v>12002178.486468701</v>
      </c>
      <c r="E61" s="50">
        <f>VLOOKUP($A61,'Data shares'!$C:$FA,154)*100</f>
        <v>37.79</v>
      </c>
      <c r="F61" s="173">
        <f>C61/B61</f>
        <v>0.37068783187948057</v>
      </c>
    </row>
    <row r="62" spans="1:6" x14ac:dyDescent="0.25">
      <c r="A62" s="99" t="s">
        <v>209</v>
      </c>
      <c r="B62" s="49">
        <v>20353850</v>
      </c>
      <c r="C62" s="49">
        <v>6850550</v>
      </c>
      <c r="D62" s="49">
        <v>3646291.7200342501</v>
      </c>
      <c r="E62" s="50">
        <f>VLOOKUP($A62,'Data shares'!$C:$FA,154)*100</f>
        <v>34.729999999999997</v>
      </c>
      <c r="F62" s="173">
        <f>C62/B62</f>
        <v>0.33657268772247018</v>
      </c>
    </row>
    <row r="63" spans="1:6" x14ac:dyDescent="0.25">
      <c r="A63" s="99" t="s">
        <v>668</v>
      </c>
      <c r="B63" s="49">
        <v>1361988292</v>
      </c>
      <c r="C63" s="49">
        <v>358012450</v>
      </c>
      <c r="D63" s="49">
        <v>219558477.02825099</v>
      </c>
      <c r="E63" s="50">
        <f>VLOOKUP($A63,'Data shares'!$C:$FA,154)*100</f>
        <v>26.900000000000002</v>
      </c>
      <c r="F63" s="173">
        <f>C63/B63</f>
        <v>0.26286015239843191</v>
      </c>
    </row>
    <row r="64" spans="1:6" x14ac:dyDescent="0.25">
      <c r="A64" s="99" t="s">
        <v>211</v>
      </c>
      <c r="B64" s="49">
        <v>68856800</v>
      </c>
      <c r="C64" s="49">
        <v>51987600</v>
      </c>
      <c r="D64" s="49">
        <v>25774714.54053</v>
      </c>
      <c r="E64" s="50">
        <f>VLOOKUP($A64,'Data shares'!$C:$FA,154)*100</f>
        <v>76.429999999999993</v>
      </c>
      <c r="F64" s="173">
        <f>C64/B64</f>
        <v>0.75501039839202522</v>
      </c>
    </row>
    <row r="65" spans="1:6" x14ac:dyDescent="0.25">
      <c r="A65" s="99" t="s">
        <v>212</v>
      </c>
      <c r="B65" s="49">
        <v>338654719</v>
      </c>
      <c r="C65" s="49">
        <v>209195000</v>
      </c>
      <c r="D65" s="49">
        <v>94995478.375349998</v>
      </c>
      <c r="E65" s="50">
        <f>VLOOKUP($A65,'Data shares'!$C:$FA,154)*100</f>
        <v>63.39</v>
      </c>
      <c r="F65" s="173">
        <f>C65/B65</f>
        <v>0.61772356404104911</v>
      </c>
    </row>
    <row r="66" spans="1:6" x14ac:dyDescent="0.25">
      <c r="A66" s="99" t="s">
        <v>678</v>
      </c>
      <c r="B66" s="49">
        <v>62490435</v>
      </c>
      <c r="C66" s="49">
        <v>15364375</v>
      </c>
      <c r="D66" s="49">
        <v>8330383.5449547498</v>
      </c>
      <c r="E66" s="50">
        <f>VLOOKUP($A66,'Data shares'!$C:$FA,154)*100</f>
        <v>25.259999999999998</v>
      </c>
      <c r="F66" s="173">
        <f>C66/B66</f>
        <v>0.24586762758172512</v>
      </c>
    </row>
    <row r="67" spans="1:6" x14ac:dyDescent="0.25">
      <c r="A67" s="99" t="s">
        <v>213</v>
      </c>
      <c r="B67" s="49">
        <v>402429848</v>
      </c>
      <c r="C67" s="49">
        <v>159301800</v>
      </c>
      <c r="D67" s="49">
        <v>91434494.286386997</v>
      </c>
      <c r="E67" s="50">
        <f>VLOOKUP($A67,'Data shares'!$C:$FA,154)*100</f>
        <v>40.29</v>
      </c>
      <c r="F67" s="173">
        <f>C67/B67</f>
        <v>0.39584986250821036</v>
      </c>
    </row>
    <row r="68" spans="1:6" x14ac:dyDescent="0.25">
      <c r="A68" s="99" t="s">
        <v>214</v>
      </c>
      <c r="B68" s="49">
        <v>22585180</v>
      </c>
      <c r="C68" s="49">
        <v>11703375</v>
      </c>
      <c r="D68" s="49">
        <v>7733819.1415762501</v>
      </c>
      <c r="E68" s="50">
        <f>VLOOKUP($A68,'Data shares'!$C:$FA,154)*100</f>
        <v>52.339999999999996</v>
      </c>
      <c r="F68" s="173">
        <f>C68/B68</f>
        <v>0.5181882544217048</v>
      </c>
    </row>
    <row r="69" spans="1:6" x14ac:dyDescent="0.25">
      <c r="A69" s="99" t="s">
        <v>631</v>
      </c>
      <c r="B69" s="49">
        <v>534704421</v>
      </c>
      <c r="C69" s="49">
        <v>337457475</v>
      </c>
      <c r="D69" s="49">
        <v>190427118.48726499</v>
      </c>
      <c r="E69" s="50">
        <f>VLOOKUP($A69,'Data shares'!$C:$FA,154)*100</f>
        <v>63.79</v>
      </c>
      <c r="F69" s="173">
        <f>C69/B69</f>
        <v>0.63111031393548178</v>
      </c>
    </row>
    <row r="70" spans="1:6" x14ac:dyDescent="0.25">
      <c r="A70" s="99" t="s">
        <v>217</v>
      </c>
      <c r="B70" s="49">
        <v>58001204</v>
      </c>
      <c r="C70" s="49">
        <v>18967000</v>
      </c>
      <c r="D70" s="49">
        <v>11526535.528844999</v>
      </c>
      <c r="E70" s="50">
        <f>VLOOKUP($A70,'Data shares'!$C:$FA,154)*100</f>
        <v>33.33</v>
      </c>
      <c r="F70" s="173">
        <f>C70/B70</f>
        <v>0.32701045309335303</v>
      </c>
    </row>
    <row r="71" spans="1:6" x14ac:dyDescent="0.25">
      <c r="A71" s="99" t="s">
        <v>218</v>
      </c>
      <c r="B71" s="49">
        <v>24082879</v>
      </c>
      <c r="C71" s="49">
        <v>14114375</v>
      </c>
      <c r="D71" s="49">
        <v>8916402.3901782501</v>
      </c>
      <c r="E71" s="50">
        <f>VLOOKUP($A71,'Data shares'!$C:$FA,154)*100</f>
        <v>59.17</v>
      </c>
      <c r="F71" s="173">
        <f>C71/B71</f>
        <v>0.58607507017744842</v>
      </c>
    </row>
    <row r="72" spans="1:6" x14ac:dyDescent="0.25">
      <c r="A72" s="99" t="s">
        <v>219</v>
      </c>
      <c r="B72" s="49">
        <v>38514157</v>
      </c>
      <c r="C72" s="49">
        <v>17237750</v>
      </c>
      <c r="D72" s="49">
        <v>12078915.40907</v>
      </c>
      <c r="E72" s="50">
        <f>VLOOKUP($A72,'Data shares'!$C:$FA,154)*100</f>
        <v>45.09</v>
      </c>
      <c r="F72" s="173">
        <f>C72/B72</f>
        <v>0.44756918864925432</v>
      </c>
    </row>
    <row r="73" spans="1:6" x14ac:dyDescent="0.25">
      <c r="A73" s="99" t="s">
        <v>513</v>
      </c>
      <c r="B73" s="49">
        <v>28450886</v>
      </c>
      <c r="C73" s="49">
        <v>16289400</v>
      </c>
      <c r="D73" s="49">
        <v>8843820.5180385001</v>
      </c>
      <c r="E73" s="50">
        <f>VLOOKUP($A73,'Data shares'!$C:$FA,154)*100</f>
        <v>58.919999999999995</v>
      </c>
      <c r="F73" s="173">
        <f>C73/B73</f>
        <v>0.57254455977223351</v>
      </c>
    </row>
    <row r="74" spans="1:6" x14ac:dyDescent="0.25">
      <c r="A74" s="99" t="s">
        <v>220</v>
      </c>
      <c r="B74" s="49">
        <v>38133766</v>
      </c>
      <c r="C74" s="49">
        <v>16803000</v>
      </c>
      <c r="D74" s="49">
        <v>10913776.073799999</v>
      </c>
      <c r="E74" s="50">
        <f>VLOOKUP($A74,'Data shares'!$C:$FA,154)*100</f>
        <v>44.9</v>
      </c>
      <c r="F74" s="173">
        <f>C74/B74</f>
        <v>0.4406331123970289</v>
      </c>
    </row>
    <row r="75" spans="1:6" x14ac:dyDescent="0.25">
      <c r="A75" s="99" t="s">
        <v>222</v>
      </c>
      <c r="B75" s="49">
        <v>145993539</v>
      </c>
      <c r="C75" s="49">
        <v>32892650</v>
      </c>
      <c r="D75" s="49">
        <v>18578836.086075999</v>
      </c>
      <c r="E75" s="50">
        <f>VLOOKUP($A75,'Data shares'!$C:$FA,154)*100</f>
        <v>23.07</v>
      </c>
      <c r="F75" s="173">
        <f>C75/B75</f>
        <v>0.22530209367689893</v>
      </c>
    </row>
    <row r="76" spans="1:6" x14ac:dyDescent="0.25">
      <c r="A76" s="99" t="s">
        <v>475</v>
      </c>
      <c r="B76" s="49">
        <v>15259458</v>
      </c>
      <c r="C76" s="49">
        <v>5769300</v>
      </c>
      <c r="D76" s="49">
        <v>2401938.3340365002</v>
      </c>
      <c r="E76" s="50">
        <f>VLOOKUP($A76,'Data shares'!$C:$FA,154)*100</f>
        <v>39.489999999999995</v>
      </c>
      <c r="F76" s="173">
        <f>C76/B76</f>
        <v>0.3780802699545423</v>
      </c>
    </row>
    <row r="77" spans="1:6" x14ac:dyDescent="0.25">
      <c r="A77" s="99" t="s">
        <v>224</v>
      </c>
      <c r="B77" s="49">
        <v>1329733550</v>
      </c>
      <c r="C77" s="49">
        <v>264523600</v>
      </c>
      <c r="D77" s="49">
        <v>206707142.27383</v>
      </c>
      <c r="E77" s="50">
        <f>VLOOKUP($A77,'Data shares'!$C:$FA,154)*100</f>
        <v>20.11</v>
      </c>
      <c r="F77" s="173">
        <f>C77/B77</f>
        <v>0.19892977807471279</v>
      </c>
    </row>
    <row r="78" spans="1:6" x14ac:dyDescent="0.25">
      <c r="A78" s="99" t="s">
        <v>225</v>
      </c>
      <c r="B78" s="49">
        <v>119296253</v>
      </c>
      <c r="C78" s="49">
        <v>56315600</v>
      </c>
      <c r="D78" s="49">
        <v>32560293.886087</v>
      </c>
      <c r="E78" s="50">
        <f>VLOOKUP($A78,'Data shares'!$C:$FA,154)*100</f>
        <v>48.79</v>
      </c>
      <c r="F78" s="173">
        <f>C78/B78</f>
        <v>0.47206512010062879</v>
      </c>
    </row>
    <row r="79" spans="1:6" x14ac:dyDescent="0.25">
      <c r="A79" s="99" t="s">
        <v>226</v>
      </c>
      <c r="B79" s="49">
        <v>19579129</v>
      </c>
      <c r="C79" s="49">
        <v>8591850</v>
      </c>
      <c r="D79" s="49">
        <v>4533489.9822465004</v>
      </c>
      <c r="E79" s="50">
        <f>VLOOKUP($A79,'Data shares'!$C:$FA,154)*100</f>
        <v>45.65</v>
      </c>
      <c r="F79" s="173">
        <f>C79/B79</f>
        <v>0.43882697744113131</v>
      </c>
    </row>
    <row r="80" spans="1:6" x14ac:dyDescent="0.25">
      <c r="A80" s="99" t="s">
        <v>576</v>
      </c>
      <c r="B80" s="49">
        <v>147979599</v>
      </c>
      <c r="C80" s="49">
        <v>201194850</v>
      </c>
      <c r="D80" s="49">
        <v>110673089.063775</v>
      </c>
      <c r="E80" s="50">
        <f>VLOOKUP($A80,'Data shares'!$C:$FA,154)*100</f>
        <v>138.68</v>
      </c>
      <c r="F80" s="173">
        <f>C80/B80</f>
        <v>1.3596120773377687</v>
      </c>
    </row>
    <row r="81" spans="1:6" x14ac:dyDescent="0.25">
      <c r="A81" s="99" t="s">
        <v>228</v>
      </c>
      <c r="B81" s="49">
        <v>176136372</v>
      </c>
      <c r="C81" s="49">
        <v>94882200</v>
      </c>
      <c r="D81" s="49">
        <v>65185186.618075997</v>
      </c>
      <c r="E81" s="50">
        <f>VLOOKUP($A81,'Data shares'!$C:$FA,154)*100</f>
        <v>55.26</v>
      </c>
      <c r="F81" s="173">
        <f>C81/B81</f>
        <v>0.53868601313078024</v>
      </c>
    </row>
    <row r="82" spans="1:6" x14ac:dyDescent="0.25">
      <c r="A82" s="99" t="s">
        <v>229</v>
      </c>
      <c r="B82" s="49">
        <v>143933168</v>
      </c>
      <c r="C82" s="49">
        <v>82915650</v>
      </c>
      <c r="D82" s="49">
        <v>51160672.472217701</v>
      </c>
      <c r="E82" s="50">
        <f>VLOOKUP($A82,'Data shares'!$C:$FA,154)*100</f>
        <v>58.41</v>
      </c>
      <c r="F82" s="173">
        <f>C82/B82</f>
        <v>0.57607048571320263</v>
      </c>
    </row>
    <row r="83" spans="1:6" x14ac:dyDescent="0.25">
      <c r="A83" s="99" t="s">
        <v>230</v>
      </c>
      <c r="B83" s="49">
        <v>89517840</v>
      </c>
      <c r="C83" s="49">
        <v>22473300</v>
      </c>
      <c r="D83" s="49">
        <v>14526829.252122</v>
      </c>
      <c r="E83" s="50">
        <f>VLOOKUP($A83,'Data shares'!$C:$FA,154)*100</f>
        <v>25.430000000000003</v>
      </c>
      <c r="F83" s="173">
        <f>C83/B83</f>
        <v>0.25104828266633777</v>
      </c>
    </row>
    <row r="84" spans="1:6" x14ac:dyDescent="0.25">
      <c r="A84" s="99" t="s">
        <v>669</v>
      </c>
      <c r="B84" s="49">
        <v>167680340</v>
      </c>
      <c r="C84" s="49">
        <v>70865025</v>
      </c>
      <c r="D84" s="49">
        <v>32458306.519448198</v>
      </c>
      <c r="E84" s="50">
        <f>VLOOKUP($A84,'Data shares'!$C:$FA,154)*100</f>
        <v>43.34</v>
      </c>
      <c r="F84" s="173">
        <f>C84/B84</f>
        <v>0.4226197597166132</v>
      </c>
    </row>
    <row r="85" spans="1:6" x14ac:dyDescent="0.25">
      <c r="A85" s="99" t="s">
        <v>608</v>
      </c>
      <c r="B85" s="49">
        <v>75071250</v>
      </c>
      <c r="C85" s="49">
        <v>53715675</v>
      </c>
      <c r="D85" s="49">
        <v>25984718.3423452</v>
      </c>
      <c r="E85" s="50">
        <f>VLOOKUP($A85,'Data shares'!$C:$FA,154)*100</f>
        <v>72.89</v>
      </c>
      <c r="F85" s="173">
        <f>C85/B85</f>
        <v>0.71552924721514566</v>
      </c>
    </row>
    <row r="86" spans="1:6" x14ac:dyDescent="0.25">
      <c r="A86" s="99" t="s">
        <v>232</v>
      </c>
      <c r="B86" s="49">
        <v>579785172</v>
      </c>
      <c r="C86" s="49">
        <v>150789800</v>
      </c>
      <c r="D86" s="49">
        <v>105905213.345456</v>
      </c>
      <c r="E86" s="50">
        <f>VLOOKUP($A86,'Data shares'!$C:$FA,154)*100</f>
        <v>26.44</v>
      </c>
      <c r="F86" s="173">
        <f>C86/B86</f>
        <v>0.26007874516666668</v>
      </c>
    </row>
    <row r="87" spans="1:6" x14ac:dyDescent="0.25">
      <c r="A87" s="99" t="s">
        <v>472</v>
      </c>
      <c r="B87" s="49">
        <v>26688038</v>
      </c>
      <c r="C87" s="49">
        <v>11778325</v>
      </c>
      <c r="D87" s="49">
        <v>6457231.37923175</v>
      </c>
      <c r="E87" s="50">
        <f>VLOOKUP($A87,'Data shares'!$C:$FA,154)*100</f>
        <v>45.36</v>
      </c>
      <c r="F87" s="173">
        <f>C87/B87</f>
        <v>0.44133349180632914</v>
      </c>
    </row>
    <row r="88" spans="1:6" x14ac:dyDescent="0.25">
      <c r="A88" s="99" t="s">
        <v>233</v>
      </c>
      <c r="B88" s="49">
        <v>48653643</v>
      </c>
      <c r="C88" s="49">
        <v>23820600</v>
      </c>
      <c r="D88" s="49">
        <v>12350486.1455887</v>
      </c>
      <c r="E88" s="50">
        <f>VLOOKUP($A88,'Data shares'!$C:$FA,154)*100</f>
        <v>50.019999999999996</v>
      </c>
      <c r="F88" s="173">
        <f>C88/B88</f>
        <v>0.48959540398650109</v>
      </c>
    </row>
    <row r="89" spans="1:6" x14ac:dyDescent="0.25">
      <c r="A89" s="99" t="s">
        <v>234</v>
      </c>
      <c r="B89" s="49">
        <v>8713529091</v>
      </c>
      <c r="C89" s="49">
        <v>10087910025</v>
      </c>
      <c r="D89" s="49">
        <v>5445042492.9757795</v>
      </c>
      <c r="E89" s="50"/>
      <c r="F89" s="173">
        <f>C89/B89</f>
        <v>1.1577295398508012</v>
      </c>
    </row>
    <row r="90" spans="1:6" x14ac:dyDescent="0.25">
      <c r="A90" s="99" t="s">
        <v>235</v>
      </c>
      <c r="B90" s="49">
        <v>761294821</v>
      </c>
      <c r="C90" s="49">
        <v>668644025</v>
      </c>
      <c r="D90" s="49">
        <v>385805562.07534701</v>
      </c>
      <c r="E90" s="50">
        <f>VLOOKUP($A90,'Data shares'!$C:$FA,154)*100</f>
        <v>88.660000000000011</v>
      </c>
      <c r="F90" s="173">
        <f>C90/B90</f>
        <v>0.87829840234785994</v>
      </c>
    </row>
    <row r="91" spans="1:6" x14ac:dyDescent="0.25">
      <c r="A91" s="99" t="s">
        <v>514</v>
      </c>
      <c r="B91" s="49">
        <v>133395043</v>
      </c>
      <c r="C91" s="49">
        <v>134006250</v>
      </c>
      <c r="D91" s="49">
        <v>61013131.303575002</v>
      </c>
      <c r="E91" s="50">
        <f>VLOOKUP($A91,'Data shares'!$C:$FA,154)*100</f>
        <v>101.58</v>
      </c>
      <c r="F91" s="173">
        <f>C91/B91</f>
        <v>1.0045819318788329</v>
      </c>
    </row>
    <row r="92" spans="1:6" x14ac:dyDescent="0.25">
      <c r="A92" s="99" t="s">
        <v>236</v>
      </c>
      <c r="B92" s="49">
        <v>94000476</v>
      </c>
      <c r="C92" s="49">
        <v>49475250</v>
      </c>
      <c r="D92" s="49">
        <v>18711392.57251</v>
      </c>
      <c r="E92" s="50">
        <f>VLOOKUP($A92,'Data shares'!$C:$FA,154)*100</f>
        <v>53.71</v>
      </c>
      <c r="F92" s="173">
        <f>C92/B92</f>
        <v>0.52632978156408483</v>
      </c>
    </row>
    <row r="93" spans="1:6" x14ac:dyDescent="0.25">
      <c r="A93" s="99" t="s">
        <v>667</v>
      </c>
      <c r="B93" s="49">
        <v>47888370</v>
      </c>
      <c r="C93" s="49">
        <v>23047200</v>
      </c>
      <c r="D93" s="49">
        <v>15141368.233232999</v>
      </c>
      <c r="E93" s="50">
        <f>VLOOKUP($A93,'Data shares'!$C:$FA,154)*100</f>
        <v>49.14</v>
      </c>
      <c r="F93" s="173">
        <f>C93/B93</f>
        <v>0.48126925180372604</v>
      </c>
    </row>
    <row r="94" spans="1:6" x14ac:dyDescent="0.25">
      <c r="A94" s="99" t="s">
        <v>501</v>
      </c>
      <c r="B94" s="49">
        <v>111956321</v>
      </c>
      <c r="C94" s="49">
        <v>49779000</v>
      </c>
      <c r="D94" s="49">
        <v>27490452.428169999</v>
      </c>
      <c r="E94" s="50">
        <f>VLOOKUP($A94,'Data shares'!$C:$FA,154)*100</f>
        <v>45.28</v>
      </c>
      <c r="F94" s="173">
        <f>C94/B94</f>
        <v>0.44462875838872912</v>
      </c>
    </row>
    <row r="95" spans="1:6" x14ac:dyDescent="0.25">
      <c r="A95" s="99" t="s">
        <v>578</v>
      </c>
      <c r="B95" s="49">
        <v>52862157</v>
      </c>
      <c r="C95" s="49">
        <v>15938000</v>
      </c>
      <c r="D95" s="49">
        <v>7742484.5961699998</v>
      </c>
      <c r="E95" s="50">
        <f>VLOOKUP($A95,'Data shares'!$C:$FA,154)*100</f>
        <v>31.52</v>
      </c>
      <c r="F95" s="173">
        <f>C95/B95</f>
        <v>0.30150112868076873</v>
      </c>
    </row>
    <row r="96" spans="1:6" x14ac:dyDescent="0.25">
      <c r="A96" s="99" t="s">
        <v>238</v>
      </c>
      <c r="B96" s="49">
        <v>32732860</v>
      </c>
      <c r="C96" s="49">
        <v>11424150</v>
      </c>
      <c r="D96" s="49">
        <v>7656115.7874779999</v>
      </c>
      <c r="E96" s="50">
        <f>VLOOKUP($A96,'Data shares'!$C:$FA,154)*100</f>
        <v>35.24</v>
      </c>
      <c r="F96" s="173">
        <f>C96/B96</f>
        <v>0.34901166595280708</v>
      </c>
    </row>
    <row r="97" spans="1:6" x14ac:dyDescent="0.25">
      <c r="A97" s="99" t="s">
        <v>239</v>
      </c>
      <c r="B97" s="49">
        <v>93805784</v>
      </c>
      <c r="C97" s="49">
        <v>79394000</v>
      </c>
      <c r="D97" s="49">
        <v>51036835.449263997</v>
      </c>
      <c r="E97" s="50">
        <f>VLOOKUP($A97,'Data shares'!$C:$FA,154)*100</f>
        <v>86.460000000000008</v>
      </c>
      <c r="F97" s="173">
        <f>C97/B97</f>
        <v>0.84636572090266848</v>
      </c>
    </row>
    <row r="98" spans="1:6" x14ac:dyDescent="0.25">
      <c r="A98" s="99" t="s">
        <v>473</v>
      </c>
      <c r="B98" s="49">
        <v>197705578</v>
      </c>
      <c r="C98" s="49">
        <v>123503300</v>
      </c>
      <c r="D98" s="49">
        <v>83858832.220605001</v>
      </c>
      <c r="E98" s="50">
        <f>VLOOKUP($A98,'Data shares'!$C:$FA,154)*100</f>
        <v>63.22</v>
      </c>
      <c r="F98" s="173">
        <f>C98/B98</f>
        <v>0.62468293130303076</v>
      </c>
    </row>
    <row r="99" spans="1:6" x14ac:dyDescent="0.25">
      <c r="A99" s="99" t="s">
        <v>240</v>
      </c>
      <c r="B99" s="49">
        <v>341789333</v>
      </c>
      <c r="C99" s="49">
        <v>141998000</v>
      </c>
      <c r="D99" s="49">
        <v>65730452.529048003</v>
      </c>
      <c r="E99" s="50"/>
      <c r="F99" s="173">
        <f>C99/B99</f>
        <v>0.41545474445804309</v>
      </c>
    </row>
    <row r="100" spans="1:6" x14ac:dyDescent="0.25">
      <c r="A100" s="99" t="s">
        <v>670</v>
      </c>
      <c r="B100" s="49">
        <v>144708707</v>
      </c>
      <c r="C100" s="49">
        <v>77906320</v>
      </c>
      <c r="D100" s="49">
        <v>40260892.114578798</v>
      </c>
      <c r="E100" s="50">
        <f>VLOOKUP($A100,'Data shares'!$C:$FA,154)*100</f>
        <v>54.43</v>
      </c>
      <c r="F100" s="173">
        <f>C100/B100</f>
        <v>0.53836649925978541</v>
      </c>
    </row>
    <row r="101" spans="1:6" x14ac:dyDescent="0.25">
      <c r="A101" s="99" t="s">
        <v>241</v>
      </c>
      <c r="B101" s="49">
        <v>684903861</v>
      </c>
      <c r="C101" s="49">
        <v>192313875</v>
      </c>
      <c r="D101" s="49">
        <v>102741097.378773</v>
      </c>
      <c r="E101" s="50">
        <f>VLOOKUP($A101,'Data shares'!$C:$FA,154)*100</f>
        <v>28.410000000000004</v>
      </c>
      <c r="F101" s="173">
        <f>C101/B101</f>
        <v>0.28078959099341388</v>
      </c>
    </row>
    <row r="102" spans="1:6" x14ac:dyDescent="0.25">
      <c r="A102" s="99" t="s">
        <v>490</v>
      </c>
      <c r="B102" s="49">
        <v>30082783</v>
      </c>
      <c r="C102" s="49">
        <v>30554125</v>
      </c>
      <c r="D102" s="49">
        <v>14094400.8954875</v>
      </c>
      <c r="E102" s="50">
        <f>VLOOKUP($A102,'Data shares'!$C:$FA,154)*100</f>
        <v>103.91</v>
      </c>
      <c r="F102" s="173">
        <f>C102/B102</f>
        <v>1.0156681647439334</v>
      </c>
    </row>
    <row r="103" spans="1:6" x14ac:dyDescent="0.25">
      <c r="A103" s="99" t="s">
        <v>665</v>
      </c>
      <c r="B103" s="49">
        <v>119011160</v>
      </c>
      <c r="C103" s="49">
        <v>114954000</v>
      </c>
      <c r="D103" s="49">
        <v>42407536.992841497</v>
      </c>
      <c r="E103" s="50">
        <f>VLOOKUP($A103,'Data shares'!$C:$FA,154)*100</f>
        <v>100.77000000000001</v>
      </c>
      <c r="F103" s="173">
        <f>C103/B103</f>
        <v>0.96590941555396992</v>
      </c>
    </row>
    <row r="104" spans="1:6" x14ac:dyDescent="0.25">
      <c r="A104" s="99" t="s">
        <v>592</v>
      </c>
      <c r="B104" s="49">
        <v>226853356</v>
      </c>
      <c r="C104" s="49">
        <v>109786000</v>
      </c>
      <c r="D104" s="49">
        <v>45094463.615897499</v>
      </c>
      <c r="E104" s="50">
        <f>VLOOKUP($A104,'Data shares'!$C:$FA,154)*100</f>
        <v>49.72</v>
      </c>
      <c r="F104" s="173">
        <f>C104/B104</f>
        <v>0.48395140339030296</v>
      </c>
    </row>
    <row r="105" spans="1:6" x14ac:dyDescent="0.25">
      <c r="A105" s="99" t="s">
        <v>242</v>
      </c>
      <c r="B105" s="49">
        <v>1251412841</v>
      </c>
      <c r="C105" s="49">
        <v>218040000</v>
      </c>
      <c r="D105" s="49">
        <v>142702087.42766401</v>
      </c>
      <c r="E105" s="50">
        <f>VLOOKUP($A105,'Data shares'!$C:$FA,154)*100</f>
        <v>17.71</v>
      </c>
      <c r="F105" s="173">
        <f>C105/B105</f>
        <v>0.17423506684314102</v>
      </c>
    </row>
    <row r="106" spans="1:6" x14ac:dyDescent="0.25">
      <c r="A106" s="99" t="s">
        <v>243</v>
      </c>
      <c r="B106" s="49">
        <v>54776702</v>
      </c>
      <c r="C106" s="49">
        <v>25982500</v>
      </c>
      <c r="D106" s="49">
        <v>14417456.7569812</v>
      </c>
      <c r="E106" s="50">
        <f>VLOOKUP($A106,'Data shares'!$C:$FA,154)*100</f>
        <v>48.79</v>
      </c>
      <c r="F106" s="173">
        <f>C106/B106</f>
        <v>0.47433487324592855</v>
      </c>
    </row>
    <row r="107" spans="1:6" x14ac:dyDescent="0.25">
      <c r="A107" s="99" t="s">
        <v>570</v>
      </c>
      <c r="B107" s="49">
        <v>446457456</v>
      </c>
      <c r="C107" s="49">
        <v>252907000</v>
      </c>
      <c r="D107" s="49">
        <v>132627436.57281099</v>
      </c>
      <c r="E107" s="50">
        <f>VLOOKUP($A107,'Data shares'!$C:$FA,154)*100</f>
        <v>57.78</v>
      </c>
      <c r="F107" s="173">
        <f>C107/B107</f>
        <v>0.56647502824994822</v>
      </c>
    </row>
    <row r="108" spans="1:6" x14ac:dyDescent="0.25">
      <c r="A108" s="99" t="s">
        <v>580</v>
      </c>
      <c r="B108" s="49">
        <v>80203755</v>
      </c>
      <c r="C108" s="49">
        <v>50317000</v>
      </c>
      <c r="D108" s="49">
        <v>34449848.679020002</v>
      </c>
      <c r="E108" s="50">
        <f>VLOOKUP($A108,'Data shares'!$C:$FA,154)*100</f>
        <v>63.160000000000004</v>
      </c>
      <c r="F108" s="173">
        <f>C108/B108</f>
        <v>0.62736464146846993</v>
      </c>
    </row>
    <row r="109" spans="1:6" x14ac:dyDescent="0.25">
      <c r="A109" s="99" t="s">
        <v>244</v>
      </c>
      <c r="B109" s="49">
        <v>133166619</v>
      </c>
      <c r="C109" s="49">
        <v>55184625</v>
      </c>
      <c r="D109" s="49">
        <v>41572359.069808498</v>
      </c>
      <c r="E109" s="50"/>
      <c r="F109" s="173">
        <f>C109/B109</f>
        <v>0.41440283919801252</v>
      </c>
    </row>
    <row r="110" spans="1:6" x14ac:dyDescent="0.25">
      <c r="A110" s="99" t="s">
        <v>245</v>
      </c>
      <c r="B110" s="49">
        <v>48884739</v>
      </c>
      <c r="C110" s="49">
        <v>37921250</v>
      </c>
      <c r="D110" s="49">
        <v>21308453.0132875</v>
      </c>
      <c r="E110" s="50">
        <f>VLOOKUP($A110,'Data shares'!$C:$FA,154)*100</f>
        <v>79.690000000000012</v>
      </c>
      <c r="F110" s="173">
        <f>C110/B110</f>
        <v>0.77572777876547527</v>
      </c>
    </row>
    <row r="111" spans="1:6" x14ac:dyDescent="0.25">
      <c r="A111" s="99" t="s">
        <v>582</v>
      </c>
      <c r="B111" s="49">
        <v>57552009</v>
      </c>
      <c r="C111" s="49">
        <v>53999475</v>
      </c>
      <c r="D111" s="49">
        <v>26735646.888587002</v>
      </c>
      <c r="E111" s="50">
        <f>VLOOKUP($A111,'Data shares'!$C:$FA,154)*100</f>
        <v>95.44</v>
      </c>
      <c r="F111" s="173">
        <f>C111/B111</f>
        <v>0.9382726326721279</v>
      </c>
    </row>
    <row r="112" spans="1:6" x14ac:dyDescent="0.25">
      <c r="A112" s="99" t="s">
        <v>677</v>
      </c>
      <c r="B112" s="49">
        <v>4667784</v>
      </c>
      <c r="C112" s="49">
        <v>4662400</v>
      </c>
      <c r="D112" s="49">
        <v>1519158.0554849999</v>
      </c>
      <c r="E112" s="50">
        <f>VLOOKUP($A112,'Data shares'!$C:$FA,154)*100</f>
        <v>102.95</v>
      </c>
      <c r="F112" s="173">
        <f>C112/B112</f>
        <v>0.99884656188032694</v>
      </c>
    </row>
    <row r="113" spans="1:6" x14ac:dyDescent="0.25">
      <c r="A113" s="99" t="s">
        <v>610</v>
      </c>
      <c r="B113" s="49">
        <v>9313740</v>
      </c>
      <c r="C113" s="49">
        <v>4106375</v>
      </c>
      <c r="D113" s="49">
        <v>1500636.4949975</v>
      </c>
      <c r="E113" s="50">
        <f>VLOOKUP($A113,'Data shares'!$C:$FA,154)*100</f>
        <v>45.71</v>
      </c>
      <c r="F113" s="173">
        <f>C113/B113</f>
        <v>0.44089431313307009</v>
      </c>
    </row>
    <row r="114" spans="1:6" x14ac:dyDescent="0.25">
      <c r="A114" s="99" t="s">
        <v>684</v>
      </c>
      <c r="B114" s="49">
        <v>19911179</v>
      </c>
      <c r="C114" s="49">
        <v>5242500</v>
      </c>
      <c r="D114" s="49">
        <v>2160205.6570334998</v>
      </c>
      <c r="E114" s="50">
        <f>VLOOKUP($A114,'Data shares'!$C:$FA,154)*100</f>
        <v>26.810000000000002</v>
      </c>
      <c r="F114" s="173">
        <f>C114/B114</f>
        <v>0.26329430316507124</v>
      </c>
    </row>
    <row r="115" spans="1:6" x14ac:dyDescent="0.25">
      <c r="A115" s="99" t="s">
        <v>246</v>
      </c>
      <c r="B115" s="49">
        <v>215751979</v>
      </c>
      <c r="C115" s="49">
        <v>50989200</v>
      </c>
      <c r="D115" s="49">
        <v>33573792.912064001</v>
      </c>
      <c r="E115" s="50">
        <f>VLOOKUP($A115,'Data shares'!$C:$FA,154)*100</f>
        <v>24.099999999999998</v>
      </c>
      <c r="F115" s="173">
        <f>C115/B115</f>
        <v>0.23633247878574501</v>
      </c>
    </row>
    <row r="116" spans="1:6" x14ac:dyDescent="0.25">
      <c r="A116" s="99" t="s">
        <v>577</v>
      </c>
      <c r="B116" s="49">
        <v>24568295</v>
      </c>
      <c r="C116" s="49">
        <v>10382800</v>
      </c>
      <c r="D116" s="49">
        <v>4040293.9566560001</v>
      </c>
      <c r="E116" s="50">
        <f>VLOOKUP($A116,'Data shares'!$C:$FA,154)*100</f>
        <v>42.86</v>
      </c>
      <c r="F116" s="173">
        <f>C116/B116</f>
        <v>0.42260970897654881</v>
      </c>
    </row>
    <row r="117" spans="1:6" x14ac:dyDescent="0.25">
      <c r="A117" s="99" t="s">
        <v>535</v>
      </c>
      <c r="B117" s="49">
        <v>58629477</v>
      </c>
      <c r="C117" s="49">
        <v>47756400</v>
      </c>
      <c r="D117" s="49">
        <v>19010557.818489999</v>
      </c>
      <c r="E117" s="50">
        <f>VLOOKUP($A117,'Data shares'!$C:$FA,154)*100</f>
        <v>83.14</v>
      </c>
      <c r="F117" s="173">
        <f>C117/B117</f>
        <v>0.81454589813243605</v>
      </c>
    </row>
    <row r="118" spans="1:6" x14ac:dyDescent="0.25">
      <c r="A118" s="99" t="s">
        <v>248</v>
      </c>
      <c r="B118" s="49">
        <v>45183075</v>
      </c>
      <c r="C118" s="49">
        <v>48233000</v>
      </c>
      <c r="D118" s="49">
        <v>29525316.198899999</v>
      </c>
      <c r="E118" s="50">
        <f>VLOOKUP($A118,'Data shares'!$C:$FA,154)*100</f>
        <v>108.45</v>
      </c>
      <c r="F118" s="173">
        <f>C118/B118</f>
        <v>1.067501492538965</v>
      </c>
    </row>
    <row r="119" spans="1:6" x14ac:dyDescent="0.25">
      <c r="A119" s="99" t="s">
        <v>607</v>
      </c>
      <c r="B119" s="49">
        <v>32057152</v>
      </c>
      <c r="C119" s="49">
        <v>15493800</v>
      </c>
      <c r="D119" s="49">
        <v>7208969.6815290004</v>
      </c>
      <c r="E119" s="50">
        <f>VLOOKUP($A119,'Data shares'!$C:$FA,154)*100</f>
        <v>49.49</v>
      </c>
      <c r="F119" s="173">
        <f>C119/B119</f>
        <v>0.4833180439734634</v>
      </c>
    </row>
    <row r="120" spans="1:6" x14ac:dyDescent="0.25">
      <c r="A120" s="99" t="s">
        <v>588</v>
      </c>
      <c r="B120" s="49">
        <v>42060143</v>
      </c>
      <c r="C120" s="49">
        <v>16577550</v>
      </c>
      <c r="D120" s="49">
        <v>10585015.579692001</v>
      </c>
      <c r="E120" s="50">
        <f>VLOOKUP($A120,'Data shares'!$C:$FA,154)*100</f>
        <v>39.75</v>
      </c>
      <c r="F120" s="173">
        <f>C120/B120</f>
        <v>0.39413917351636202</v>
      </c>
    </row>
    <row r="121" spans="1:6" x14ac:dyDescent="0.25">
      <c r="A121" s="99" t="s">
        <v>249</v>
      </c>
      <c r="B121" s="49">
        <v>136007303</v>
      </c>
      <c r="C121" s="49">
        <v>27754650</v>
      </c>
      <c r="D121" s="49">
        <v>17007256.11081</v>
      </c>
      <c r="E121" s="50">
        <f>VLOOKUP($A121,'Data shares'!$C:$FA,154)*100</f>
        <v>20.93</v>
      </c>
      <c r="F121" s="173">
        <f>C121/B121</f>
        <v>0.2040673507068955</v>
      </c>
    </row>
    <row r="122" spans="1:6" x14ac:dyDescent="0.25">
      <c r="A122" s="99" t="s">
        <v>565</v>
      </c>
      <c r="B122" s="49">
        <v>126777205</v>
      </c>
      <c r="C122" s="49">
        <v>115695198</v>
      </c>
      <c r="D122" s="49">
        <v>49218881.9357263</v>
      </c>
      <c r="E122" s="50">
        <f>VLOOKUP($A122,'Data shares'!$C:$FA,154)*100</f>
        <v>95.64</v>
      </c>
      <c r="F122" s="173">
        <f>C122/B122</f>
        <v>0.9125867540619782</v>
      </c>
    </row>
    <row r="123" spans="1:6" x14ac:dyDescent="0.25">
      <c r="A123" s="99" t="s">
        <v>561</v>
      </c>
      <c r="B123" s="49">
        <v>9315942</v>
      </c>
      <c r="C123" s="49">
        <v>5191650</v>
      </c>
      <c r="D123" s="49">
        <v>2736401.6746319998</v>
      </c>
      <c r="E123" s="50">
        <f>VLOOKUP($A123,'Data shares'!$C:$FA,154)*100</f>
        <v>58.18</v>
      </c>
      <c r="F123" s="173">
        <f>C123/B123</f>
        <v>0.55728663832385383</v>
      </c>
    </row>
    <row r="124" spans="1:6" x14ac:dyDescent="0.25">
      <c r="A124" s="99" t="s">
        <v>250</v>
      </c>
      <c r="B124" s="49">
        <v>35341043</v>
      </c>
      <c r="C124" s="49">
        <v>17253300</v>
      </c>
      <c r="D124" s="49">
        <v>11121854.746838</v>
      </c>
      <c r="E124" s="50">
        <f>VLOOKUP($A124,'Data shares'!$C:$FA,154)*100</f>
        <v>49.44</v>
      </c>
      <c r="F124" s="173">
        <f>C124/B124</f>
        <v>0.48819442029483961</v>
      </c>
    </row>
    <row r="125" spans="1:6" x14ac:dyDescent="0.25">
      <c r="A125" s="99" t="s">
        <v>251</v>
      </c>
      <c r="B125" s="49">
        <v>100261459</v>
      </c>
      <c r="C125" s="49">
        <v>28216200</v>
      </c>
      <c r="D125" s="49">
        <v>19981658.706556</v>
      </c>
      <c r="E125" s="50">
        <f>VLOOKUP($A125,'Data shares'!$C:$FA,154)*100</f>
        <v>28.599999999999998</v>
      </c>
      <c r="F125" s="173">
        <f>C125/B125</f>
        <v>0.28142618590858526</v>
      </c>
    </row>
    <row r="126" spans="1:6" x14ac:dyDescent="0.25">
      <c r="A126" s="99" t="s">
        <v>253</v>
      </c>
      <c r="B126" s="49">
        <v>82205057</v>
      </c>
      <c r="C126" s="49">
        <v>53835000</v>
      </c>
      <c r="D126" s="49">
        <v>23727877.365600001</v>
      </c>
      <c r="E126" s="50">
        <f>VLOOKUP($A126,'Data shares'!$C:$FA,154)*100</f>
        <v>66.849999999999994</v>
      </c>
      <c r="F126" s="173">
        <f>C126/B126</f>
        <v>0.65488671822221356</v>
      </c>
    </row>
    <row r="127" spans="1:6" x14ac:dyDescent="0.25">
      <c r="A127" s="99" t="s">
        <v>673</v>
      </c>
      <c r="B127" s="49">
        <v>16915220</v>
      </c>
      <c r="C127" s="49">
        <v>3058200</v>
      </c>
      <c r="D127" s="49">
        <v>1649757.56803875</v>
      </c>
      <c r="E127" s="50">
        <f>VLOOKUP($A127,'Data shares'!$C:$FA,154)*100</f>
        <v>18.39</v>
      </c>
      <c r="F127" s="173">
        <f>C127/B127</f>
        <v>0.18079575672087031</v>
      </c>
    </row>
    <row r="128" spans="1:6" x14ac:dyDescent="0.25">
      <c r="A128" s="99" t="s">
        <v>254</v>
      </c>
      <c r="B128" s="49">
        <v>79408529</v>
      </c>
      <c r="C128" s="49">
        <v>33339600</v>
      </c>
      <c r="D128" s="49">
        <v>27657064.220352001</v>
      </c>
      <c r="E128" s="50">
        <f>VLOOKUP($A128,'Data shares'!$C:$FA,154)*100</f>
        <v>42.41</v>
      </c>
      <c r="F128" s="173">
        <f>C128/B128</f>
        <v>0.41984910714061963</v>
      </c>
    </row>
    <row r="129" spans="1:6" x14ac:dyDescent="0.25">
      <c r="A129" s="99" t="s">
        <v>255</v>
      </c>
      <c r="B129" s="49">
        <v>16752897</v>
      </c>
      <c r="C129" s="49">
        <v>7372950</v>
      </c>
      <c r="D129" s="49">
        <v>3207762.2228735001</v>
      </c>
      <c r="E129" s="50">
        <f>VLOOKUP($A129,'Data shares'!$C:$FA,154)*100</f>
        <v>45.72</v>
      </c>
      <c r="F129" s="173">
        <f>C129/B129</f>
        <v>0.44010000180864239</v>
      </c>
    </row>
    <row r="130" spans="1:6" x14ac:dyDescent="0.25">
      <c r="A130" s="99" t="s">
        <v>603</v>
      </c>
      <c r="B130" s="49">
        <v>97211768</v>
      </c>
      <c r="C130" s="49">
        <v>23229675</v>
      </c>
      <c r="D130" s="49">
        <v>16391578.382639199</v>
      </c>
      <c r="E130" s="50">
        <f>VLOOKUP($A130,'Data shares'!$C:$FA,154)*100</f>
        <v>24.18</v>
      </c>
      <c r="F130" s="173">
        <f>C130/B130</f>
        <v>0.23895949510968673</v>
      </c>
    </row>
    <row r="131" spans="1:6" x14ac:dyDescent="0.25">
      <c r="A131" s="99" t="s">
        <v>674</v>
      </c>
      <c r="B131" s="49">
        <v>11364224</v>
      </c>
      <c r="C131" s="49">
        <v>7950950</v>
      </c>
      <c r="D131" s="49">
        <v>3654663.6844252502</v>
      </c>
      <c r="E131" s="50">
        <f>VLOOKUP($A131,'Data shares'!$C:$FA,154)*100</f>
        <v>71.23</v>
      </c>
      <c r="F131" s="173">
        <f>C131/B131</f>
        <v>0.69964741983262557</v>
      </c>
    </row>
    <row r="132" spans="1:6" x14ac:dyDescent="0.25">
      <c r="A132" s="99" t="s">
        <v>517</v>
      </c>
      <c r="B132" s="49">
        <v>7635422</v>
      </c>
      <c r="C132" s="49">
        <v>8444625</v>
      </c>
      <c r="D132" s="49">
        <v>3014253.1291062501</v>
      </c>
      <c r="E132" s="50">
        <f>VLOOKUP($A132,'Data shares'!$C:$FA,154)*100</f>
        <v>116.34</v>
      </c>
      <c r="F132" s="173">
        <f>C132/B132</f>
        <v>1.105980127882912</v>
      </c>
    </row>
    <row r="133" spans="1:6" x14ac:dyDescent="0.25">
      <c r="A133" s="99" t="s">
        <v>257</v>
      </c>
      <c r="B133" s="49">
        <v>34712157</v>
      </c>
      <c r="C133" s="49">
        <v>9011200</v>
      </c>
      <c r="D133" s="49">
        <v>5851938.198024</v>
      </c>
      <c r="E133" s="50">
        <f>VLOOKUP($A133,'Data shares'!$C:$FA,154)*100</f>
        <v>26.41</v>
      </c>
      <c r="F133" s="173">
        <f>C133/B133</f>
        <v>0.25959781179832758</v>
      </c>
    </row>
    <row r="134" spans="1:6" x14ac:dyDescent="0.25">
      <c r="A134" s="99" t="s">
        <v>559</v>
      </c>
      <c r="B134" s="49">
        <v>542522848</v>
      </c>
      <c r="C134" s="49">
        <v>264806700</v>
      </c>
      <c r="D134" s="49">
        <v>163926571.22133899</v>
      </c>
      <c r="E134" s="50">
        <f>VLOOKUP($A134,'Data shares'!$C:$FA,154)*100</f>
        <v>49.84</v>
      </c>
      <c r="F134" s="173">
        <f>C134/B134</f>
        <v>0.48810239232541963</v>
      </c>
    </row>
    <row r="135" spans="1:6" x14ac:dyDescent="0.25">
      <c r="A135" s="99" t="s">
        <v>487</v>
      </c>
      <c r="B135" s="49">
        <v>14652855</v>
      </c>
      <c r="C135" s="49">
        <v>5853925</v>
      </c>
      <c r="D135" s="49">
        <v>3879029.1285239998</v>
      </c>
      <c r="E135" s="50">
        <f>VLOOKUP($A135,'Data shares'!$C:$FA,154)*100</f>
        <v>40.589999999999996</v>
      </c>
      <c r="F135" s="173">
        <f>C135/B135</f>
        <v>0.3995074679985573</v>
      </c>
    </row>
    <row r="136" spans="1:6" x14ac:dyDescent="0.25">
      <c r="A136" s="99" t="s">
        <v>262</v>
      </c>
      <c r="B136" s="49">
        <v>16050690</v>
      </c>
      <c r="C136" s="49">
        <v>6785900</v>
      </c>
      <c r="D136" s="49">
        <v>3037301.8647702499</v>
      </c>
      <c r="E136" s="50">
        <f>VLOOKUP($A136,'Data shares'!$C:$FA,154)*100</f>
        <v>43.65</v>
      </c>
      <c r="F136" s="173">
        <f>C136/B136</f>
        <v>0.42277933222808489</v>
      </c>
    </row>
    <row r="137" spans="1:6" x14ac:dyDescent="0.25">
      <c r="A137" s="99" t="s">
        <v>263</v>
      </c>
      <c r="B137" s="49">
        <v>134225816</v>
      </c>
      <c r="C137" s="49">
        <v>140748750</v>
      </c>
      <c r="D137" s="49">
        <v>71979635.008987501</v>
      </c>
      <c r="E137" s="50">
        <f>VLOOKUP($A137,'Data shares'!$C:$FA,154)*100</f>
        <v>106.38000000000001</v>
      </c>
      <c r="F137" s="173">
        <f>C137/B137</f>
        <v>1.0485967170428676</v>
      </c>
    </row>
    <row r="138" spans="1:6" x14ac:dyDescent="0.25">
      <c r="A138" s="99" t="s">
        <v>264</v>
      </c>
      <c r="B138" s="49">
        <v>60530911</v>
      </c>
      <c r="C138" s="49">
        <v>13013250</v>
      </c>
      <c r="D138" s="49">
        <v>9950706.3255525008</v>
      </c>
      <c r="E138" s="50">
        <f>VLOOKUP($A138,'Data shares'!$C:$FA,154)*100</f>
        <v>21.73</v>
      </c>
      <c r="F138" s="173">
        <f>C138/B138</f>
        <v>0.21498519987581222</v>
      </c>
    </row>
    <row r="139" spans="1:6" x14ac:dyDescent="0.25">
      <c r="A139" s="99" t="s">
        <v>550</v>
      </c>
      <c r="B139" s="49">
        <v>154894704</v>
      </c>
      <c r="C139" s="49">
        <v>110714500</v>
      </c>
      <c r="D139" s="49">
        <v>57382249.970760003</v>
      </c>
      <c r="E139" s="50">
        <f>VLOOKUP($A139,'Data shares'!$C:$FA,154)*100</f>
        <v>72.59</v>
      </c>
      <c r="F139" s="173">
        <f>C139/B139</f>
        <v>0.71477266259535899</v>
      </c>
    </row>
    <row r="140" spans="1:6" x14ac:dyDescent="0.25">
      <c r="A140" s="99" t="s">
        <v>591</v>
      </c>
      <c r="B140" s="49">
        <v>72342848</v>
      </c>
      <c r="C140" s="49">
        <v>31347000</v>
      </c>
      <c r="D140" s="49">
        <v>17945109.329301</v>
      </c>
      <c r="E140" s="50">
        <f>VLOOKUP($A140,'Data shares'!$C:$FA,154)*100</f>
        <v>43.7</v>
      </c>
      <c r="F140" s="173">
        <f>C140/B140</f>
        <v>0.43331166613733535</v>
      </c>
    </row>
    <row r="141" spans="1:6" x14ac:dyDescent="0.25">
      <c r="A141" s="99" t="s">
        <v>265</v>
      </c>
      <c r="B141" s="49">
        <v>71801274</v>
      </c>
      <c r="C141" s="49">
        <v>37294500</v>
      </c>
      <c r="D141" s="49">
        <v>20919887.527175002</v>
      </c>
      <c r="E141" s="50">
        <f>VLOOKUP($A141,'Data shares'!$C:$FA,154)*100</f>
        <v>53.54</v>
      </c>
      <c r="F141" s="173">
        <f>C141/B141</f>
        <v>0.51941278924939405</v>
      </c>
    </row>
    <row r="142" spans="1:6" x14ac:dyDescent="0.25">
      <c r="A142" s="99" t="s">
        <v>585</v>
      </c>
      <c r="B142" s="49">
        <v>398201603</v>
      </c>
      <c r="C142" s="49">
        <v>74745600</v>
      </c>
      <c r="D142" s="49">
        <v>45190861.882495999</v>
      </c>
      <c r="E142" s="50">
        <f>VLOOKUP($A142,'Data shares'!$C:$FA,154)*100</f>
        <v>19.100000000000001</v>
      </c>
      <c r="F142" s="173">
        <f>C142/B142</f>
        <v>0.18770793346103129</v>
      </c>
    </row>
    <row r="143" spans="1:6" x14ac:dyDescent="0.25">
      <c r="A143" s="99" t="s">
        <v>267</v>
      </c>
      <c r="B143" s="49">
        <v>517037525</v>
      </c>
      <c r="C143" s="49">
        <v>538245000</v>
      </c>
      <c r="D143" s="49">
        <v>255573164.468025</v>
      </c>
      <c r="E143" s="50">
        <f>VLOOKUP($A143,'Data shares'!$C:$FA,154)*100</f>
        <v>105.91</v>
      </c>
      <c r="F143" s="173">
        <f>C143/B143</f>
        <v>1.04101728399694</v>
      </c>
    </row>
    <row r="144" spans="1:6" x14ac:dyDescent="0.25">
      <c r="A144" s="99" t="s">
        <v>268</v>
      </c>
      <c r="B144" s="49">
        <v>572782298</v>
      </c>
      <c r="C144" s="49">
        <v>158539500</v>
      </c>
      <c r="D144" s="49">
        <v>105205676.890935</v>
      </c>
      <c r="E144" s="50">
        <f>VLOOKUP($A144,'Data shares'!$C:$FA,154)*100</f>
        <v>28.15</v>
      </c>
      <c r="F144" s="173">
        <f>C144/B144</f>
        <v>0.27678840731212684</v>
      </c>
    </row>
    <row r="145" spans="1:6" x14ac:dyDescent="0.25">
      <c r="A145" s="99" t="s">
        <v>686</v>
      </c>
      <c r="B145" s="49">
        <v>2444664</v>
      </c>
      <c r="C145" s="49">
        <v>822150</v>
      </c>
      <c r="D145" s="49">
        <v>345761.47862399998</v>
      </c>
      <c r="E145" s="50">
        <f>VLOOKUP($A145,'Data shares'!$C:$FA,154)*100</f>
        <v>34.65</v>
      </c>
      <c r="F145" s="173">
        <f>C145/B145</f>
        <v>0.33630388470562828</v>
      </c>
    </row>
    <row r="146" spans="1:6" x14ac:dyDescent="0.25">
      <c r="A146" s="99" t="s">
        <v>613</v>
      </c>
      <c r="B146" s="49">
        <v>205324177</v>
      </c>
      <c r="C146" s="49">
        <v>93350000</v>
      </c>
      <c r="D146" s="49">
        <v>59421215.097406201</v>
      </c>
      <c r="E146" s="50">
        <f>VLOOKUP($A146,'Data shares'!$C:$FA,154)*100</f>
        <v>46.97</v>
      </c>
      <c r="F146" s="173">
        <f>C146/B146</f>
        <v>0.45464689723314949</v>
      </c>
    </row>
    <row r="147" spans="1:6" x14ac:dyDescent="0.25">
      <c r="A147" s="99" t="s">
        <v>528</v>
      </c>
      <c r="B147" s="49">
        <v>17614093</v>
      </c>
      <c r="C147" s="49">
        <v>8828400</v>
      </c>
      <c r="D147" s="49">
        <v>4808631.9893185003</v>
      </c>
      <c r="E147" s="50">
        <f>VLOOKUP($A147,'Data shares'!$C:$FA,154)*100</f>
        <v>52.16</v>
      </c>
      <c r="F147" s="173">
        <f>C147/B147</f>
        <v>0.50121229631295805</v>
      </c>
    </row>
    <row r="148" spans="1:6" x14ac:dyDescent="0.25">
      <c r="A148" s="99" t="s">
        <v>518</v>
      </c>
      <c r="B148" s="49">
        <v>3401732</v>
      </c>
      <c r="C148" s="49">
        <v>2339775</v>
      </c>
      <c r="D148" s="49">
        <v>1168036.3002202499</v>
      </c>
      <c r="E148" s="50">
        <f>VLOOKUP($A148,'Data shares'!$C:$FA,154)*100</f>
        <v>71.5</v>
      </c>
      <c r="F148" s="173">
        <f>C148/B148</f>
        <v>0.6878187346916218</v>
      </c>
    </row>
    <row r="149" spans="1:6" x14ac:dyDescent="0.25">
      <c r="A149" s="99" t="s">
        <v>587</v>
      </c>
      <c r="B149" s="49">
        <v>94123587</v>
      </c>
      <c r="C149" s="49">
        <v>20302800</v>
      </c>
      <c r="D149" s="49">
        <v>10351767.096594</v>
      </c>
      <c r="E149" s="50">
        <f>VLOOKUP($A149,'Data shares'!$C:$FA,154)*100</f>
        <v>21.78</v>
      </c>
      <c r="F149" s="173">
        <f>C149/B149</f>
        <v>0.21570363653905369</v>
      </c>
    </row>
    <row r="150" spans="1:6" x14ac:dyDescent="0.25">
      <c r="A150" s="99" t="s">
        <v>269</v>
      </c>
      <c r="B150" s="49">
        <v>517141211</v>
      </c>
      <c r="C150" s="49">
        <v>173929500</v>
      </c>
      <c r="D150" s="49">
        <v>105361659.549202</v>
      </c>
      <c r="E150" s="50">
        <f>VLOOKUP($A150,'Data shares'!$C:$FA,154)*100</f>
        <v>34.07</v>
      </c>
      <c r="F150" s="173">
        <f>C150/B150</f>
        <v>0.33632883301578531</v>
      </c>
    </row>
    <row r="151" spans="1:6" x14ac:dyDescent="0.25">
      <c r="A151" s="99" t="s">
        <v>270</v>
      </c>
      <c r="B151" s="49">
        <v>955549</v>
      </c>
      <c r="C151" s="49">
        <v>403455</v>
      </c>
      <c r="D151" s="49">
        <v>218816.39936415001</v>
      </c>
      <c r="E151" s="50"/>
      <c r="F151" s="173">
        <f>C151/B151</f>
        <v>0.42222324548505624</v>
      </c>
    </row>
    <row r="152" spans="1:6" x14ac:dyDescent="0.25">
      <c r="A152" s="99" t="s">
        <v>666</v>
      </c>
      <c r="B152" s="49">
        <v>50840137</v>
      </c>
      <c r="C152" s="49">
        <v>41841900</v>
      </c>
      <c r="D152" s="49">
        <v>19753731.643293001</v>
      </c>
      <c r="E152" s="50">
        <f>VLOOKUP($A152,'Data shares'!$C:$FA,154)*100</f>
        <v>83.350000000000009</v>
      </c>
      <c r="F152" s="173">
        <f>C152/B152</f>
        <v>0.82300919055351873</v>
      </c>
    </row>
    <row r="153" spans="1:6" x14ac:dyDescent="0.25">
      <c r="A153" s="99" t="s">
        <v>575</v>
      </c>
      <c r="B153" s="49">
        <v>95715382</v>
      </c>
      <c r="C153" s="49">
        <v>36792300</v>
      </c>
      <c r="D153" s="49">
        <v>21566977.714640699</v>
      </c>
      <c r="E153" s="50">
        <f>VLOOKUP($A153,'Data shares'!$C:$FA,154)*100</f>
        <v>39.04</v>
      </c>
      <c r="F153" s="173">
        <f>C153/B153</f>
        <v>0.38439276144768453</v>
      </c>
    </row>
    <row r="154" spans="1:6" x14ac:dyDescent="0.25">
      <c r="A154" s="99" t="s">
        <v>529</v>
      </c>
      <c r="B154" s="49">
        <v>16151851</v>
      </c>
      <c r="C154" s="49">
        <v>6372600</v>
      </c>
      <c r="D154" s="49">
        <v>3347997.7251249999</v>
      </c>
      <c r="E154" s="50">
        <f>VLOOKUP($A154,'Data shares'!$C:$FA,154)*100</f>
        <v>40.699999999999996</v>
      </c>
      <c r="F154" s="173">
        <f>C154/B154</f>
        <v>0.39454301553425675</v>
      </c>
    </row>
    <row r="155" spans="1:6" x14ac:dyDescent="0.25">
      <c r="A155" s="99" t="s">
        <v>272</v>
      </c>
      <c r="B155" s="49">
        <v>93668136</v>
      </c>
      <c r="C155" s="49">
        <v>76620600</v>
      </c>
      <c r="D155" s="49">
        <v>35188365.102696002</v>
      </c>
      <c r="E155" s="50">
        <f>VLOOKUP($A155,'Data shares'!$C:$FA,154)*100</f>
        <v>82.99</v>
      </c>
      <c r="F155" s="173">
        <f>C155/B155</f>
        <v>0.81800069129164688</v>
      </c>
    </row>
    <row r="156" spans="1:6" x14ac:dyDescent="0.25">
      <c r="A156" s="99" t="s">
        <v>273</v>
      </c>
      <c r="B156" s="49">
        <v>203602113</v>
      </c>
      <c r="C156" s="49">
        <v>102212500</v>
      </c>
      <c r="D156" s="49">
        <v>53720229.590924002</v>
      </c>
      <c r="E156" s="50">
        <f>VLOOKUP($A156,'Data shares'!$C:$FA,154)*100</f>
        <v>51.21</v>
      </c>
      <c r="F156" s="173">
        <f>C156/B156</f>
        <v>0.50202082136544424</v>
      </c>
    </row>
    <row r="157" spans="1:6" x14ac:dyDescent="0.25">
      <c r="A157" s="99" t="s">
        <v>681</v>
      </c>
      <c r="B157" s="49">
        <v>23897684</v>
      </c>
      <c r="C157" s="49">
        <v>20713000</v>
      </c>
      <c r="D157" s="49">
        <v>7338465.9722640002</v>
      </c>
      <c r="E157" s="50">
        <f>VLOOKUP($A157,'Data shares'!$C:$FA,154)*100</f>
        <v>89.32</v>
      </c>
      <c r="F157" s="173">
        <f>C157/B157</f>
        <v>0.86673670971630556</v>
      </c>
    </row>
    <row r="158" spans="1:6" x14ac:dyDescent="0.25">
      <c r="A158" s="99" t="s">
        <v>645</v>
      </c>
      <c r="B158" s="49">
        <v>28283155</v>
      </c>
      <c r="C158" s="49">
        <v>6865250</v>
      </c>
      <c r="D158" s="49">
        <v>4007292.1119315</v>
      </c>
      <c r="E158" s="50">
        <f>VLOOKUP($A158,'Data shares'!$C:$FA,154)*100</f>
        <v>24.59</v>
      </c>
      <c r="F158" s="173">
        <f>C158/B158</f>
        <v>0.24273282100246596</v>
      </c>
    </row>
    <row r="159" spans="1:6" x14ac:dyDescent="0.25">
      <c r="A159" s="99" t="s">
        <v>274</v>
      </c>
      <c r="B159" s="49">
        <v>31170515</v>
      </c>
      <c r="C159" s="49">
        <v>11986500</v>
      </c>
      <c r="D159" s="49">
        <v>9285528.9294399992</v>
      </c>
      <c r="E159" s="50">
        <f>VLOOKUP($A159,'Data shares'!$C:$FA,154)*100</f>
        <v>38.64</v>
      </c>
      <c r="F159" s="173">
        <f>C159/B159</f>
        <v>0.38454610069804751</v>
      </c>
    </row>
    <row r="160" spans="1:6" x14ac:dyDescent="0.25">
      <c r="A160" s="99" t="s">
        <v>483</v>
      </c>
      <c r="B160" s="49">
        <v>8178275</v>
      </c>
      <c r="C160" s="49">
        <v>2665250</v>
      </c>
      <c r="D160" s="49">
        <v>1767821.1367215</v>
      </c>
      <c r="E160" s="50">
        <f>VLOOKUP($A160,'Data shares'!$C:$FA,154)*100</f>
        <v>32.86</v>
      </c>
      <c r="F160" s="173">
        <f>C160/B160</f>
        <v>0.32589390794513512</v>
      </c>
    </row>
    <row r="161" spans="1:6" x14ac:dyDescent="0.25">
      <c r="A161" s="99" t="s">
        <v>275</v>
      </c>
      <c r="B161" s="49">
        <v>447910372</v>
      </c>
      <c r="C161" s="49">
        <v>467688000</v>
      </c>
      <c r="D161" s="49">
        <v>229396367.94576001</v>
      </c>
      <c r="E161" s="50">
        <f>VLOOKUP($A161,'Data shares'!$C:$FA,154)*100</f>
        <v>106.91999999999999</v>
      </c>
      <c r="F161" s="173">
        <f>C161/B161</f>
        <v>1.0441553248961155</v>
      </c>
    </row>
    <row r="162" spans="1:6" x14ac:dyDescent="0.25">
      <c r="A162" s="99" t="s">
        <v>671</v>
      </c>
      <c r="B162" s="49">
        <v>28062406</v>
      </c>
      <c r="C162" s="49">
        <v>23273250</v>
      </c>
      <c r="D162" s="49">
        <v>14282897.4952235</v>
      </c>
      <c r="E162" s="50">
        <f>VLOOKUP($A162,'Data shares'!$C:$FA,154)*100</f>
        <v>83.94</v>
      </c>
      <c r="F162" s="173">
        <f>C162/B162</f>
        <v>0.82933908090418196</v>
      </c>
    </row>
    <row r="163" spans="1:6" x14ac:dyDescent="0.25">
      <c r="A163" s="99" t="s">
        <v>573</v>
      </c>
      <c r="B163" s="49">
        <v>51720057</v>
      </c>
      <c r="C163" s="49">
        <v>9448600</v>
      </c>
      <c r="D163" s="49">
        <v>7110340.5546880001</v>
      </c>
      <c r="E163" s="50">
        <f>VLOOKUP($A163,'Data shares'!$C:$FA,154)*100</f>
        <v>18.509999999999998</v>
      </c>
      <c r="F163" s="173">
        <f>C163/B163</f>
        <v>0.1826873469996369</v>
      </c>
    </row>
    <row r="164" spans="1:6" x14ac:dyDescent="0.25">
      <c r="A164" s="99" t="s">
        <v>519</v>
      </c>
      <c r="B164" s="49">
        <v>8350688</v>
      </c>
      <c r="C164" s="49">
        <v>3345000</v>
      </c>
      <c r="D164" s="49">
        <v>1876582.38750125</v>
      </c>
      <c r="E164" s="50">
        <f>VLOOKUP($A164,'Data shares'!$C:$FA,154)*100</f>
        <v>41.74</v>
      </c>
      <c r="F164" s="173">
        <f>C164/B164</f>
        <v>0.40056579769235778</v>
      </c>
    </row>
    <row r="165" spans="1:6" x14ac:dyDescent="0.25">
      <c r="A165" s="99" t="s">
        <v>276</v>
      </c>
      <c r="B165" s="49">
        <v>488832949</v>
      </c>
      <c r="C165" s="49">
        <v>115499100</v>
      </c>
      <c r="D165" s="49">
        <v>74480735.134205997</v>
      </c>
      <c r="E165" s="50">
        <f>VLOOKUP($A165,'Data shares'!$C:$FA,154)*100</f>
        <v>24.08</v>
      </c>
      <c r="F165" s="173">
        <f>C165/B165</f>
        <v>0.23627519428932767</v>
      </c>
    </row>
    <row r="166" spans="1:6" x14ac:dyDescent="0.25">
      <c r="A166" s="99" t="s">
        <v>688</v>
      </c>
      <c r="B166" s="49">
        <v>1917916</v>
      </c>
      <c r="C166" s="49">
        <v>171100</v>
      </c>
      <c r="D166" s="49">
        <v>96850.820256499996</v>
      </c>
      <c r="E166" s="50">
        <f>VLOOKUP($A166,'Data shares'!$C:$FA,154)*100</f>
        <v>9.1</v>
      </c>
      <c r="F166" s="173">
        <f>C166/B166</f>
        <v>8.9211414889911758E-2</v>
      </c>
    </row>
    <row r="167" spans="1:6" x14ac:dyDescent="0.25">
      <c r="A167" s="99" t="s">
        <v>679</v>
      </c>
      <c r="B167" s="49">
        <v>120138597</v>
      </c>
      <c r="C167" s="49">
        <v>45212500</v>
      </c>
      <c r="D167" s="49">
        <v>18805467.260625001</v>
      </c>
      <c r="E167" s="50">
        <f>VLOOKUP($A167,'Data shares'!$C:$FA,154)*100</f>
        <v>38.019999999999996</v>
      </c>
      <c r="F167" s="173">
        <f>C167/B167</f>
        <v>0.37633617446023609</v>
      </c>
    </row>
    <row r="168" spans="1:6" x14ac:dyDescent="0.25">
      <c r="A168" s="99" t="s">
        <v>605</v>
      </c>
      <c r="B168" s="49">
        <v>25234534</v>
      </c>
      <c r="C168" s="49">
        <v>8279550</v>
      </c>
      <c r="D168" s="49">
        <v>4564189.6193159996</v>
      </c>
      <c r="E168" s="50">
        <f>VLOOKUP($A168,'Data shares'!$C:$FA,154)*100</f>
        <v>33.300000000000004</v>
      </c>
      <c r="F168" s="173">
        <f>C168/B168</f>
        <v>0.3281039388323953</v>
      </c>
    </row>
    <row r="169" spans="1:6" x14ac:dyDescent="0.25">
      <c r="A169" s="99" t="s">
        <v>279</v>
      </c>
      <c r="B169" s="49">
        <v>91351468</v>
      </c>
      <c r="C169" s="49">
        <v>113747550</v>
      </c>
      <c r="D169" s="49">
        <v>65375671.495125197</v>
      </c>
      <c r="E169" s="50">
        <f>VLOOKUP($A169,'Data shares'!$C:$FA,154)*100</f>
        <v>129.41</v>
      </c>
      <c r="F169" s="173">
        <f>C169/B169</f>
        <v>1.2451638981871642</v>
      </c>
    </row>
    <row r="170" spans="1:6" x14ac:dyDescent="0.25">
      <c r="A170" s="99" t="s">
        <v>280</v>
      </c>
      <c r="B170" s="49">
        <v>187084550</v>
      </c>
      <c r="C170" s="49">
        <v>140541975</v>
      </c>
      <c r="D170" s="49">
        <v>77351937.493421197</v>
      </c>
      <c r="E170" s="50">
        <f>VLOOKUP($A170,'Data shares'!$C:$FA,154)*100</f>
        <v>77.88000000000001</v>
      </c>
      <c r="F170" s="173">
        <f>C170/B170</f>
        <v>0.75122170697687218</v>
      </c>
    </row>
    <row r="171" spans="1:6" x14ac:dyDescent="0.25">
      <c r="A171" s="99" t="s">
        <v>281</v>
      </c>
      <c r="B171" s="49">
        <v>662701060</v>
      </c>
      <c r="C171" s="49">
        <v>228170000</v>
      </c>
      <c r="D171" s="49">
        <v>134819103.82453501</v>
      </c>
      <c r="E171" s="50">
        <f>VLOOKUP($A171,'Data shares'!$C:$FA,154)*100</f>
        <v>35</v>
      </c>
      <c r="F171" s="173">
        <f>C171/B171</f>
        <v>0.34430305573979314</v>
      </c>
    </row>
    <row r="172" spans="1:6" x14ac:dyDescent="0.25">
      <c r="A172" s="99" t="s">
        <v>676</v>
      </c>
      <c r="B172" s="49">
        <v>84941460</v>
      </c>
      <c r="C172" s="49">
        <v>67930500</v>
      </c>
      <c r="D172" s="49">
        <v>29788747.247393701</v>
      </c>
      <c r="E172" s="50">
        <f>VLOOKUP($A172,'Data shares'!$C:$FA,154)*100</f>
        <v>82.34</v>
      </c>
      <c r="F172" s="173">
        <f>C172/B172</f>
        <v>0.79973313385477485</v>
      </c>
    </row>
    <row r="173" spans="1:6" x14ac:dyDescent="0.25">
      <c r="A173" s="99" t="s">
        <v>282</v>
      </c>
      <c r="B173" s="49">
        <v>216861410</v>
      </c>
      <c r="C173" s="49">
        <v>300334700</v>
      </c>
      <c r="D173" s="49">
        <v>175747362.841719</v>
      </c>
      <c r="E173" s="50">
        <f>VLOOKUP($A173,'Data shares'!$C:$FA,154)*100</f>
        <v>140.85000000000002</v>
      </c>
      <c r="F173" s="173">
        <f>C173/B173</f>
        <v>1.384915370604664</v>
      </c>
    </row>
    <row r="174" spans="1:6" x14ac:dyDescent="0.25">
      <c r="A174" s="99" t="s">
        <v>687</v>
      </c>
      <c r="B174" s="49">
        <v>122326971</v>
      </c>
      <c r="C174" s="49">
        <v>160613600</v>
      </c>
      <c r="D174" s="49">
        <v>88514937.284025997</v>
      </c>
      <c r="E174" s="50">
        <f>VLOOKUP($A174,'Data shares'!$C:$FA,154)*100</f>
        <v>133.16</v>
      </c>
      <c r="F174" s="173">
        <f>C174/B174</f>
        <v>1.3129859971763709</v>
      </c>
    </row>
    <row r="175" spans="1:6" x14ac:dyDescent="0.25">
      <c r="A175" s="99" t="s">
        <v>536</v>
      </c>
      <c r="B175" s="49">
        <v>39583537</v>
      </c>
      <c r="C175" s="49">
        <v>29268800</v>
      </c>
      <c r="D175" s="49">
        <v>15080186.72624</v>
      </c>
      <c r="E175" s="50">
        <f>VLOOKUP($A175,'Data shares'!$C:$FA,154)*100</f>
        <v>75.41</v>
      </c>
      <c r="F175" s="173">
        <f>C175/B175</f>
        <v>0.73941851128664926</v>
      </c>
    </row>
    <row r="176" spans="1:6" x14ac:dyDescent="0.25">
      <c r="A176" s="99" t="s">
        <v>462</v>
      </c>
      <c r="B176" s="49">
        <v>44735132</v>
      </c>
      <c r="C176" s="49">
        <v>10541250</v>
      </c>
      <c r="D176" s="49">
        <v>6977192.7986062504</v>
      </c>
      <c r="E176" s="50">
        <f>VLOOKUP($A176,'Data shares'!$C:$FA,154)*100</f>
        <v>23.93</v>
      </c>
      <c r="F176" s="173">
        <f>C176/B176</f>
        <v>0.23563694860674603</v>
      </c>
    </row>
    <row r="177" spans="1:6" x14ac:dyDescent="0.25">
      <c r="A177" s="99" t="s">
        <v>283</v>
      </c>
      <c r="B177" s="49">
        <v>407307212</v>
      </c>
      <c r="C177" s="49">
        <v>173610750</v>
      </c>
      <c r="D177" s="49">
        <v>93961658.826945007</v>
      </c>
      <c r="E177" s="50">
        <f>VLOOKUP($A177,'Data shares'!$C:$FA,154)*100</f>
        <v>43.43</v>
      </c>
      <c r="F177" s="173">
        <f>C177/B177</f>
        <v>0.4262403043332314</v>
      </c>
    </row>
    <row r="178" spans="1:6" x14ac:dyDescent="0.25">
      <c r="A178" s="99" t="s">
        <v>284</v>
      </c>
      <c r="B178" s="49">
        <v>1548028</v>
      </c>
      <c r="C178" s="49">
        <v>276625</v>
      </c>
      <c r="D178" s="49">
        <v>217402.7802565</v>
      </c>
      <c r="E178" s="50">
        <f>VLOOKUP($A178,'Data shares'!$C:$FA,154)*100</f>
        <v>17.940000000000001</v>
      </c>
      <c r="F178" s="173">
        <f>C178/B178</f>
        <v>0.17869508820253896</v>
      </c>
    </row>
    <row r="179" spans="1:6" x14ac:dyDescent="0.25">
      <c r="A179" s="99" t="s">
        <v>562</v>
      </c>
      <c r="B179" s="49">
        <v>210459276</v>
      </c>
      <c r="C179" s="49">
        <v>64794675</v>
      </c>
      <c r="D179" s="49">
        <v>48949429.770037502</v>
      </c>
      <c r="E179" s="50">
        <f>VLOOKUP($A179,'Data shares'!$C:$FA,154)*100</f>
        <v>31.180000000000003</v>
      </c>
      <c r="F179" s="173">
        <f>C179/B179</f>
        <v>0.30787274493902561</v>
      </c>
    </row>
    <row r="180" spans="1:6" x14ac:dyDescent="0.25">
      <c r="A180" s="99" t="s">
        <v>285</v>
      </c>
      <c r="B180" s="49">
        <v>13354588</v>
      </c>
      <c r="C180" s="49">
        <v>4354875</v>
      </c>
      <c r="D180" s="49">
        <v>2162392.7343812501</v>
      </c>
      <c r="E180" s="50">
        <f>VLOOKUP($A180,'Data shares'!$C:$FA,154)*100</f>
        <v>33.75</v>
      </c>
      <c r="F180" s="173">
        <f>C180/B180</f>
        <v>0.32609579569208724</v>
      </c>
    </row>
    <row r="181" spans="1:6" x14ac:dyDescent="0.25">
      <c r="A181" s="99" t="s">
        <v>646</v>
      </c>
      <c r="B181" s="49">
        <v>3644817</v>
      </c>
      <c r="C181" s="49">
        <v>1586325</v>
      </c>
      <c r="D181" s="49">
        <v>868050.12194624997</v>
      </c>
      <c r="E181" s="50">
        <f>VLOOKUP($A181,'Data shares'!$C:$FA,154)*100</f>
        <v>44.11</v>
      </c>
      <c r="F181" s="173">
        <f>C181/B181</f>
        <v>0.43522761225049161</v>
      </c>
    </row>
    <row r="182" spans="1:6" x14ac:dyDescent="0.25">
      <c r="A182" s="99" t="s">
        <v>614</v>
      </c>
      <c r="B182" s="49">
        <v>67126548</v>
      </c>
      <c r="C182" s="49">
        <v>30941400</v>
      </c>
      <c r="D182" s="49">
        <v>18820139.768073</v>
      </c>
      <c r="E182" s="50">
        <f>VLOOKUP($A182,'Data shares'!$C:$FA,154)*100</f>
        <v>46.46</v>
      </c>
      <c r="F182" s="173">
        <f>C182/B182</f>
        <v>0.46094132533077675</v>
      </c>
    </row>
    <row r="183" spans="1:6" x14ac:dyDescent="0.25">
      <c r="A183" s="99" t="s">
        <v>286</v>
      </c>
      <c r="B183" s="49">
        <v>21205300</v>
      </c>
      <c r="C183" s="49">
        <v>4507000</v>
      </c>
      <c r="D183" s="49">
        <v>2659684.2239179998</v>
      </c>
      <c r="E183" s="50">
        <f>VLOOKUP($A183,'Data shares'!$C:$FA,154)*100</f>
        <v>21.8</v>
      </c>
      <c r="F183" s="173">
        <f>C183/B183</f>
        <v>0.21254120432156112</v>
      </c>
    </row>
    <row r="184" spans="1:6" x14ac:dyDescent="0.25">
      <c r="A184" s="99" t="s">
        <v>288</v>
      </c>
      <c r="B184" s="49">
        <v>109220043</v>
      </c>
      <c r="C184" s="49">
        <v>25064550</v>
      </c>
      <c r="D184" s="49">
        <v>16410197.692196</v>
      </c>
      <c r="E184" s="50">
        <f>VLOOKUP($A184,'Data shares'!$C:$FA,154)*100</f>
        <v>23.419999999999998</v>
      </c>
      <c r="F184" s="173">
        <f>C184/B184</f>
        <v>0.22948672525243374</v>
      </c>
    </row>
    <row r="185" spans="1:6" x14ac:dyDescent="0.25">
      <c r="A185" s="99" t="s">
        <v>574</v>
      </c>
      <c r="B185" s="49">
        <v>7242074</v>
      </c>
      <c r="C185" s="49">
        <v>1921850</v>
      </c>
      <c r="D185" s="49">
        <v>1165055.4914162499</v>
      </c>
      <c r="E185" s="50">
        <f>VLOOKUP($A185,'Data shares'!$C:$FA,154)*100</f>
        <v>26.85</v>
      </c>
      <c r="F185" s="173">
        <f>C185/B185</f>
        <v>0.2653728752288364</v>
      </c>
    </row>
    <row r="186" spans="1:6" x14ac:dyDescent="0.25">
      <c r="A186" s="99" t="s">
        <v>685</v>
      </c>
      <c r="B186" s="49">
        <v>1813533848</v>
      </c>
      <c r="C186" s="49">
        <v>458384000</v>
      </c>
      <c r="D186" s="49">
        <v>185929820.53975999</v>
      </c>
      <c r="E186" s="50">
        <f>VLOOKUP($A186,'Data shares'!$C:$FA,154)*100</f>
        <v>26.16</v>
      </c>
      <c r="F186" s="173">
        <f>C186/B186</f>
        <v>0.25275734473084949</v>
      </c>
    </row>
    <row r="187" spans="1:6" x14ac:dyDescent="0.25">
      <c r="A187" s="99" t="s">
        <v>520</v>
      </c>
      <c r="B187" s="49">
        <v>28408333</v>
      </c>
      <c r="C187" s="49">
        <v>14766000</v>
      </c>
      <c r="D187" s="49">
        <v>9387829.7737799995</v>
      </c>
      <c r="E187" s="50">
        <f>VLOOKUP($A187,'Data shares'!$C:$FA,154)*100</f>
        <v>52.839999999999996</v>
      </c>
      <c r="F187" s="173">
        <f>C187/B187</f>
        <v>0.51977706682049951</v>
      </c>
    </row>
    <row r="188" spans="1:6" x14ac:dyDescent="0.25">
      <c r="A188" s="99" t="s">
        <v>291</v>
      </c>
      <c r="B188" s="49">
        <v>65471528</v>
      </c>
      <c r="C188" s="49">
        <v>22633600</v>
      </c>
      <c r="D188" s="49">
        <v>17011837.5779</v>
      </c>
      <c r="E188" s="50">
        <f>VLOOKUP($A188,'Data shares'!$C:$FA,154)*100</f>
        <v>35.15</v>
      </c>
      <c r="F188" s="173">
        <f>C188/B188</f>
        <v>0.34570141695791795</v>
      </c>
    </row>
    <row r="189" spans="1:6" x14ac:dyDescent="0.25">
      <c r="A189" s="99" t="s">
        <v>604</v>
      </c>
      <c r="B189" s="49">
        <v>4309631</v>
      </c>
      <c r="C189" s="49">
        <v>6251300</v>
      </c>
      <c r="D189" s="49">
        <v>2694641.6913990001</v>
      </c>
      <c r="E189" s="50">
        <f>VLOOKUP($A189,'Data shares'!$C:$FA,154)*100</f>
        <v>148.92000000000002</v>
      </c>
      <c r="F189" s="173">
        <f>C189/B189</f>
        <v>1.4505418213299468</v>
      </c>
    </row>
    <row r="190" spans="1:6" x14ac:dyDescent="0.25">
      <c r="A190" s="99" t="s">
        <v>292</v>
      </c>
      <c r="B190" s="49">
        <v>284575867</v>
      </c>
      <c r="C190" s="49">
        <v>108900800</v>
      </c>
      <c r="D190" s="49">
        <v>36874229.203791998</v>
      </c>
      <c r="E190" s="50">
        <f>VLOOKUP($A190,'Data shares'!$C:$FA,154)*100</f>
        <v>40.19</v>
      </c>
      <c r="F190" s="173">
        <f>C190/B190</f>
        <v>0.3826775655575882</v>
      </c>
    </row>
    <row r="191" spans="1:6" x14ac:dyDescent="0.25">
      <c r="A191" s="99" t="s">
        <v>293</v>
      </c>
      <c r="B191" s="49">
        <v>169808198</v>
      </c>
      <c r="C191" s="49">
        <v>110430550</v>
      </c>
      <c r="D191" s="49">
        <v>58889259.275303498</v>
      </c>
      <c r="E191" s="50">
        <f>VLOOKUP($A191,'Data shares'!$C:$FA,154)*100</f>
        <v>66.430000000000007</v>
      </c>
      <c r="F191" s="173">
        <f>C191/B191</f>
        <v>0.65032519808024813</v>
      </c>
    </row>
    <row r="192" spans="1:6" x14ac:dyDescent="0.25">
      <c r="A192" s="99" t="s">
        <v>294</v>
      </c>
      <c r="B192" s="49">
        <v>833987639</v>
      </c>
      <c r="C192" s="49">
        <v>414370000</v>
      </c>
      <c r="D192" s="49">
        <v>209502247.90264001</v>
      </c>
      <c r="E192" s="50">
        <f>VLOOKUP($A192,'Data shares'!$C:$FA,154)*100</f>
        <v>51.05</v>
      </c>
      <c r="F192" s="173">
        <f>C192/B192</f>
        <v>0.49685388682361514</v>
      </c>
    </row>
    <row r="193" spans="1:6" x14ac:dyDescent="0.25">
      <c r="A193" s="99" t="s">
        <v>664</v>
      </c>
      <c r="B193" s="49">
        <v>27246569</v>
      </c>
      <c r="C193" s="49">
        <v>17583200</v>
      </c>
      <c r="D193" s="49">
        <v>7985937.2986559998</v>
      </c>
      <c r="E193" s="50">
        <f>VLOOKUP($A193,'Data shares'!$C:$FA,154)*100</f>
        <v>66.59</v>
      </c>
      <c r="F193" s="173">
        <f>C193/B193</f>
        <v>0.64533629904007361</v>
      </c>
    </row>
    <row r="194" spans="1:6" x14ac:dyDescent="0.25">
      <c r="A194" s="99" t="s">
        <v>295</v>
      </c>
      <c r="B194" s="49">
        <v>123298271</v>
      </c>
      <c r="C194" s="49">
        <v>69094725</v>
      </c>
      <c r="D194" s="49">
        <v>31281697.593153</v>
      </c>
      <c r="E194" s="50">
        <f>VLOOKUP($A194,'Data shares'!$C:$FA,154)*100</f>
        <v>58.06</v>
      </c>
      <c r="F194" s="173">
        <f>C194/B194</f>
        <v>0.56038681191239093</v>
      </c>
    </row>
    <row r="195" spans="1:6" x14ac:dyDescent="0.25">
      <c r="A195" s="99" t="s">
        <v>296</v>
      </c>
      <c r="B195" s="49">
        <v>76137451</v>
      </c>
      <c r="C195" s="49">
        <v>29680200</v>
      </c>
      <c r="D195" s="49">
        <v>16490630.832443999</v>
      </c>
      <c r="E195" s="50">
        <f>VLOOKUP($A195,'Data shares'!$C:$FA,154)*100</f>
        <v>40.17</v>
      </c>
      <c r="F195" s="173">
        <f>C195/B195</f>
        <v>0.38982392515347014</v>
      </c>
    </row>
    <row r="196" spans="1:6" x14ac:dyDescent="0.25">
      <c r="A196" s="99" t="s">
        <v>595</v>
      </c>
      <c r="B196" s="49">
        <v>14039249</v>
      </c>
      <c r="C196" s="49">
        <v>2767200</v>
      </c>
      <c r="D196" s="49">
        <v>1948333.349716</v>
      </c>
      <c r="E196" s="50">
        <f>VLOOKUP($A196,'Data shares'!$C:$FA,154)*100</f>
        <v>19.8</v>
      </c>
      <c r="F196" s="173">
        <f>C196/B196</f>
        <v>0.1971045602225589</v>
      </c>
    </row>
    <row r="197" spans="1:6" x14ac:dyDescent="0.25">
      <c r="A197" s="99" t="s">
        <v>663</v>
      </c>
      <c r="B197" s="49">
        <v>12028036</v>
      </c>
      <c r="C197" s="49">
        <v>12561350</v>
      </c>
      <c r="D197" s="49">
        <v>6405558.0916087497</v>
      </c>
      <c r="E197" s="50">
        <f>VLOOKUP($A197,'Data shares'!$C:$FA,154)*100</f>
        <v>109.68</v>
      </c>
      <c r="F197" s="173">
        <f>C197/B197</f>
        <v>1.0443392420840776</v>
      </c>
    </row>
    <row r="198" spans="1:6" x14ac:dyDescent="0.25">
      <c r="A198" s="99" t="s">
        <v>297</v>
      </c>
      <c r="B198" s="49">
        <v>41744334</v>
      </c>
      <c r="C198" s="49">
        <v>18885125</v>
      </c>
      <c r="D198" s="49">
        <v>11504706.566207699</v>
      </c>
      <c r="E198" s="50">
        <f>VLOOKUP($A198,'Data shares'!$C:$FA,154)*100</f>
        <v>46.42</v>
      </c>
      <c r="F198" s="173">
        <f>C198/B198</f>
        <v>0.4523997196841133</v>
      </c>
    </row>
    <row r="199" spans="1:6" x14ac:dyDescent="0.25">
      <c r="A199" s="99" t="s">
        <v>298</v>
      </c>
      <c r="B199" s="49">
        <v>16072672</v>
      </c>
      <c r="C199" s="49">
        <v>3427250</v>
      </c>
      <c r="D199" s="49">
        <v>2363137.5949825002</v>
      </c>
      <c r="E199" s="50">
        <f>VLOOKUP($A199,'Data shares'!$C:$FA,154)*100</f>
        <v>21.61</v>
      </c>
      <c r="F199" s="173">
        <f>C199/B199</f>
        <v>0.21323461338600078</v>
      </c>
    </row>
    <row r="200" spans="1:6" x14ac:dyDescent="0.25">
      <c r="A200" s="99" t="s">
        <v>299</v>
      </c>
      <c r="B200" s="49">
        <v>24646022</v>
      </c>
      <c r="C200" s="49">
        <v>5712000</v>
      </c>
      <c r="D200" s="49">
        <v>3484044.2281462499</v>
      </c>
      <c r="E200" s="50">
        <f>VLOOKUP($A200,'Data shares'!$C:$FA,154)*100</f>
        <v>23.39</v>
      </c>
      <c r="F200" s="173">
        <f>C200/B200</f>
        <v>0.23176153944843514</v>
      </c>
    </row>
    <row r="201" spans="1:6" x14ac:dyDescent="0.25">
      <c r="A201" s="99" t="s">
        <v>482</v>
      </c>
      <c r="B201" s="49">
        <v>33590487</v>
      </c>
      <c r="C201" s="49">
        <v>17328900</v>
      </c>
      <c r="D201" s="49">
        <v>8577378.9782110006</v>
      </c>
      <c r="E201" s="50">
        <f>VLOOKUP($A201,'Data shares'!$C:$FA,154)*100</f>
        <v>54.15</v>
      </c>
      <c r="F201" s="173">
        <f>C201/B201</f>
        <v>0.51588713197281122</v>
      </c>
    </row>
    <row r="202" spans="1:6" x14ac:dyDescent="0.25">
      <c r="A202" s="99" t="s">
        <v>300</v>
      </c>
      <c r="B202" s="49">
        <v>35369445</v>
      </c>
      <c r="C202" s="49">
        <v>13385750</v>
      </c>
      <c r="D202" s="49">
        <v>9680766.7611305006</v>
      </c>
      <c r="E202" s="50">
        <f>VLOOKUP($A202,'Data shares'!$C:$FA,154)*100</f>
        <v>38.81</v>
      </c>
      <c r="F202" s="173">
        <f>C202/B202</f>
        <v>0.37845518921769905</v>
      </c>
    </row>
    <row r="203" spans="1:6" x14ac:dyDescent="0.25">
      <c r="A203" s="99" t="s">
        <v>302</v>
      </c>
      <c r="B203" s="49">
        <v>11962066</v>
      </c>
      <c r="C203" s="49">
        <v>3280950</v>
      </c>
      <c r="D203" s="49">
        <v>2293844.2928825002</v>
      </c>
      <c r="E203" s="50">
        <f>VLOOKUP($A203,'Data shares'!$C:$FA,154)*100</f>
        <v>27.889999999999997</v>
      </c>
      <c r="F203" s="173">
        <f>C203/B203</f>
        <v>0.27427954334978588</v>
      </c>
    </row>
    <row r="204" spans="1:6" x14ac:dyDescent="0.25">
      <c r="A204" s="99" t="s">
        <v>593</v>
      </c>
      <c r="B204" s="49">
        <v>289041713</v>
      </c>
      <c r="C204" s="49">
        <v>132280950</v>
      </c>
      <c r="D204" s="49">
        <v>80676553.438335702</v>
      </c>
      <c r="E204" s="50">
        <f>VLOOKUP($A204,'Data shares'!$C:$FA,154)*100</f>
        <v>46.72</v>
      </c>
      <c r="F204" s="173">
        <f>C204/B204</f>
        <v>0.45765349446292547</v>
      </c>
    </row>
    <row r="205" spans="1:6" x14ac:dyDescent="0.25">
      <c r="A205" s="99" t="s">
        <v>569</v>
      </c>
      <c r="B205" s="49">
        <v>47269416</v>
      </c>
      <c r="C205" s="49">
        <v>19902400</v>
      </c>
      <c r="D205" s="49">
        <v>12212259.298855999</v>
      </c>
      <c r="E205" s="50">
        <f>VLOOKUP($A205,'Data shares'!$C:$FA,154)*100</f>
        <v>42.69</v>
      </c>
      <c r="F205" s="173">
        <f>C205/B205</f>
        <v>0.42104180005100972</v>
      </c>
    </row>
    <row r="206" spans="1:6" x14ac:dyDescent="0.25">
      <c r="A206" s="99" t="s">
        <v>675</v>
      </c>
      <c r="B206" s="49">
        <v>22813802</v>
      </c>
      <c r="C206" s="49">
        <v>8512350</v>
      </c>
      <c r="D206" s="49">
        <v>3233516.7322260002</v>
      </c>
      <c r="E206" s="50">
        <f>VLOOKUP($A206,'Data shares'!$C:$FA,154)*100</f>
        <v>38.200000000000003</v>
      </c>
      <c r="F206" s="173">
        <f>C206/B206</f>
        <v>0.37312281398777808</v>
      </c>
    </row>
    <row r="207" spans="1:6" x14ac:dyDescent="0.25">
      <c r="A207" s="99" t="s">
        <v>303</v>
      </c>
      <c r="B207" s="49">
        <v>82588393</v>
      </c>
      <c r="C207" s="49">
        <v>47594375</v>
      </c>
      <c r="D207" s="49">
        <v>26375170.8177003</v>
      </c>
      <c r="E207" s="50">
        <f>VLOOKUP($A207,'Data shares'!$C:$FA,154)*100</f>
        <v>58.48</v>
      </c>
      <c r="F207" s="173">
        <f>C207/B207</f>
        <v>0.5762840669390431</v>
      </c>
    </row>
    <row r="208" spans="1:6" x14ac:dyDescent="0.25">
      <c r="A208" s="99" t="s">
        <v>586</v>
      </c>
      <c r="B208" s="49">
        <v>203804339</v>
      </c>
      <c r="C208" s="49">
        <v>59580175</v>
      </c>
      <c r="D208" s="49">
        <v>39767426.187279999</v>
      </c>
      <c r="E208" s="50">
        <f>VLOOKUP($A208,'Data shares'!$C:$FA,154)*100</f>
        <v>29.54</v>
      </c>
      <c r="F208" s="173">
        <f>C208/B208</f>
        <v>0.29234007132694068</v>
      </c>
    </row>
    <row r="209" spans="1:6" x14ac:dyDescent="0.25">
      <c r="A209" s="99" t="s">
        <v>304</v>
      </c>
      <c r="B209" s="49">
        <v>255091106</v>
      </c>
      <c r="C209" s="49">
        <v>151409000</v>
      </c>
      <c r="D209" s="49">
        <v>94644815.411947504</v>
      </c>
      <c r="E209" s="50">
        <f>VLOOKUP($A209,'Data shares'!$C:$FA,154)*100</f>
        <v>60.18</v>
      </c>
      <c r="F209" s="173">
        <f>C209/B209</f>
        <v>0.5935487221573299</v>
      </c>
    </row>
    <row r="210" spans="1:6" x14ac:dyDescent="0.25">
      <c r="A210" s="99" t="s">
        <v>305</v>
      </c>
      <c r="B210" s="49">
        <v>34594689</v>
      </c>
      <c r="C210" s="49">
        <v>19175250</v>
      </c>
      <c r="D210" s="49">
        <v>10914308.35626</v>
      </c>
      <c r="E210" s="50">
        <f>VLOOKUP($A210,'Data shares'!$C:$FA,154)*100</f>
        <v>56.820000000000007</v>
      </c>
      <c r="F210" s="173">
        <f>C210/B210</f>
        <v>0.55428305772599951</v>
      </c>
    </row>
    <row r="211" spans="1:6" x14ac:dyDescent="0.25">
      <c r="A211" s="99" t="s">
        <v>306</v>
      </c>
      <c r="B211" s="49">
        <v>292948819</v>
      </c>
      <c r="C211" s="49">
        <v>241986000</v>
      </c>
      <c r="D211" s="49">
        <v>118294893.51267</v>
      </c>
      <c r="E211" s="50">
        <f>VLOOKUP($A211,'Data shares'!$C:$FA,154)*100</f>
        <v>85.88</v>
      </c>
      <c r="F211" s="173">
        <f>C211/B211</f>
        <v>0.82603507611341487</v>
      </c>
    </row>
    <row r="212" spans="1:6" x14ac:dyDescent="0.25">
      <c r="A212" s="99" t="s">
        <v>590</v>
      </c>
      <c r="B212" s="49">
        <v>3136562346</v>
      </c>
      <c r="C212" s="49">
        <v>1496407600</v>
      </c>
      <c r="D212" s="49">
        <v>945823390.61101794</v>
      </c>
      <c r="E212" s="50">
        <f>VLOOKUP($A212,'Data shares'!$C:$FA,154)*100</f>
        <v>48.309999999999995</v>
      </c>
      <c r="F212" s="173">
        <f>C212/B212</f>
        <v>0.47708524012230807</v>
      </c>
    </row>
    <row r="213" spans="1:6" x14ac:dyDescent="0.25">
      <c r="A213" s="99" t="s">
        <v>557</v>
      </c>
      <c r="B213" s="49">
        <v>32617803</v>
      </c>
      <c r="C213" s="49">
        <v>14136300</v>
      </c>
      <c r="D213" s="49">
        <v>7858147.9931100002</v>
      </c>
      <c r="E213" s="50">
        <f>VLOOKUP($A213,'Data shares'!$C:$FA,154)*100</f>
        <v>44.26</v>
      </c>
      <c r="F213" s="173">
        <f>C213/B213</f>
        <v>0.43339215703767664</v>
      </c>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3">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P41" sqref="P41"/>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6.79</v>
      </c>
      <c r="F6" s="49">
        <f>VLOOKUP($A6,'Data shares'!$C:$FA,129)</f>
        <v>864250</v>
      </c>
      <c r="G6" s="17"/>
    </row>
    <row r="7" spans="1:7" x14ac:dyDescent="0.25">
      <c r="A7" s="101" t="s">
        <v>228</v>
      </c>
      <c r="B7" s="17">
        <v>292206563</v>
      </c>
      <c r="C7" s="17">
        <v>71903525</v>
      </c>
      <c r="D7" s="17">
        <f t="shared" ref="D7:D70" si="0">C7</f>
        <v>71903525</v>
      </c>
      <c r="E7" s="49">
        <f>VLOOKUP($A7,'Data shares'!$C:$FA,128)*100</f>
        <v>3.0300000000000002</v>
      </c>
      <c r="F7" s="49">
        <f>VLOOKUP($A7,'Data shares'!$C:$FA,129)</f>
        <v>1958600</v>
      </c>
      <c r="G7" s="17"/>
    </row>
    <row r="8" spans="1:7" x14ac:dyDescent="0.25">
      <c r="A8" s="101" t="s">
        <v>200</v>
      </c>
      <c r="B8" s="17">
        <v>417418754</v>
      </c>
      <c r="C8" s="17">
        <v>109662000</v>
      </c>
      <c r="D8" s="17">
        <f t="shared" si="0"/>
        <v>109662000</v>
      </c>
      <c r="E8" s="49">
        <f>VLOOKUP($A8,'Data shares'!$C:$FA,128)*100</f>
        <v>6.45</v>
      </c>
      <c r="F8" s="49">
        <f>VLOOKUP($A8,'Data shares'!$C:$FA,129)</f>
        <v>4212000</v>
      </c>
      <c r="G8" s="17"/>
    </row>
    <row r="9" spans="1:7" x14ac:dyDescent="0.25">
      <c r="A9" s="101" t="s">
        <v>214</v>
      </c>
      <c r="B9" s="17">
        <v>30110093</v>
      </c>
      <c r="C9" s="17">
        <v>10703050</v>
      </c>
      <c r="D9" s="17">
        <f t="shared" si="0"/>
        <v>10703050</v>
      </c>
      <c r="E9" s="49">
        <f>VLOOKUP($A9,'Data shares'!$C:$FA,128)*100</f>
        <v>3.64</v>
      </c>
      <c r="F9" s="49">
        <f>VLOOKUP($A9,'Data shares'!$C:$FA,129)</f>
        <v>140625</v>
      </c>
      <c r="G9" s="17"/>
    </row>
    <row r="10" spans="1:7" x14ac:dyDescent="0.25">
      <c r="A10" s="101" t="s">
        <v>243</v>
      </c>
      <c r="B10" s="17">
        <v>80699820</v>
      </c>
      <c r="C10" s="17">
        <v>65367500</v>
      </c>
      <c r="D10" s="17">
        <f t="shared" si="0"/>
        <v>65367500</v>
      </c>
      <c r="E10" s="49">
        <f>VLOOKUP($A10,'Data shares'!$C:$FA,128)*100</f>
        <v>2.31</v>
      </c>
      <c r="F10" s="49">
        <f>VLOOKUP($A10,'Data shares'!$C:$FA,129)</f>
        <v>310000</v>
      </c>
      <c r="G10" s="17"/>
    </row>
    <row r="11" spans="1:7" x14ac:dyDescent="0.25">
      <c r="A11" s="101" t="s">
        <v>231</v>
      </c>
      <c r="B11" s="17">
        <v>80556813</v>
      </c>
      <c r="C11" s="17">
        <v>62967200</v>
      </c>
      <c r="D11" s="17">
        <f t="shared" si="0"/>
        <v>62967200</v>
      </c>
      <c r="E11" s="49">
        <f>VLOOKUP($A11,'Data shares'!$C:$FA,128)*100</f>
        <v>5.6899999999999995</v>
      </c>
      <c r="F11" s="49">
        <f>VLOOKUP($A11,'Data shares'!$C:$FA,129)</f>
        <v>1323675</v>
      </c>
      <c r="G11" s="17"/>
    </row>
    <row r="12" spans="1:7" x14ac:dyDescent="0.25">
      <c r="A12" s="101" t="s">
        <v>195</v>
      </c>
      <c r="B12" s="17">
        <v>23823080</v>
      </c>
      <c r="C12" s="17">
        <v>2862400</v>
      </c>
      <c r="D12" s="17">
        <f t="shared" si="0"/>
        <v>2862400</v>
      </c>
      <c r="E12" s="49">
        <f>VLOOKUP($A12,'Data shares'!$C:$FA,128)*100</f>
        <v>0.97</v>
      </c>
      <c r="F12" s="49">
        <f>VLOOKUP($A12,'Data shares'!$C:$FA,129)</f>
        <v>30750</v>
      </c>
      <c r="G12" s="17"/>
    </row>
    <row r="13" spans="1:7" x14ac:dyDescent="0.25">
      <c r="A13" s="101" t="s">
        <v>304</v>
      </c>
      <c r="B13" s="17">
        <v>223492679</v>
      </c>
      <c r="C13" s="17">
        <v>98465300</v>
      </c>
      <c r="D13" s="17">
        <f t="shared" si="0"/>
        <v>98465300</v>
      </c>
      <c r="E13" s="49">
        <f>VLOOKUP($A13,'Data shares'!$C:$FA,128)*100</f>
        <v>4.24</v>
      </c>
      <c r="F13" s="49">
        <f>VLOOKUP($A13,'Data shares'!$C:$FA,129)</f>
        <v>3665050</v>
      </c>
      <c r="G13" s="17"/>
    </row>
    <row r="14" spans="1:7" x14ac:dyDescent="0.25">
      <c r="A14" s="101" t="s">
        <v>167</v>
      </c>
      <c r="B14" s="17">
        <v>282181803</v>
      </c>
      <c r="C14" s="17">
        <v>95526000</v>
      </c>
      <c r="D14" s="17">
        <f t="shared" si="0"/>
        <v>95526000</v>
      </c>
      <c r="E14" s="49">
        <f>VLOOKUP($A14,'Data shares'!$C:$FA,128)*100</f>
        <v>9.02</v>
      </c>
      <c r="F14" s="49">
        <f>VLOOKUP($A14,'Data shares'!$C:$FA,129)</f>
        <v>9825000</v>
      </c>
      <c r="G14" s="17"/>
    </row>
    <row r="15" spans="1:7" x14ac:dyDescent="0.25">
      <c r="A15" s="101" t="s">
        <v>222</v>
      </c>
      <c r="B15" s="17">
        <v>214194964</v>
      </c>
      <c r="C15" s="17">
        <v>37437400</v>
      </c>
      <c r="D15" s="17">
        <f t="shared" si="0"/>
        <v>37437400</v>
      </c>
      <c r="E15" s="49">
        <f>VLOOKUP($A15,'Data shares'!$C:$FA,128)*100</f>
        <v>5.6000000000000005</v>
      </c>
      <c r="F15" s="49">
        <f>VLOOKUP($A15,'Data shares'!$C:$FA,129)</f>
        <v>912450</v>
      </c>
      <c r="G15" s="17"/>
    </row>
    <row r="16" spans="1:7" x14ac:dyDescent="0.25">
      <c r="A16" s="101" t="s">
        <v>290</v>
      </c>
      <c r="B16" s="17">
        <v>31601465</v>
      </c>
      <c r="C16" s="17">
        <v>13192000</v>
      </c>
      <c r="D16" s="17">
        <f t="shared" si="0"/>
        <v>13192000</v>
      </c>
      <c r="E16" s="49">
        <f>VLOOKUP($A16,'Data shares'!$C:$FA,128)*100</f>
        <v>6.84</v>
      </c>
      <c r="F16" s="49">
        <f>VLOOKUP($A16,'Data shares'!$C:$FA,129)</f>
        <v>735000</v>
      </c>
      <c r="G16" s="17"/>
    </row>
    <row r="17" spans="1:7" x14ac:dyDescent="0.25">
      <c r="A17" s="101" t="s">
        <v>500</v>
      </c>
      <c r="B17" s="17">
        <v>24930381</v>
      </c>
      <c r="C17" s="17">
        <v>1925625</v>
      </c>
      <c r="D17" s="17">
        <f t="shared" si="0"/>
        <v>1925625</v>
      </c>
      <c r="E17" s="49">
        <f>VLOOKUP($A17,'Data shares'!$C:$FA,128)*100</f>
        <v>15.25</v>
      </c>
      <c r="F17" s="49">
        <f>VLOOKUP($A17,'Data shares'!$C:$FA,129)</f>
        <v>3840000</v>
      </c>
      <c r="G17" s="17"/>
    </row>
    <row r="18" spans="1:7" x14ac:dyDescent="0.25">
      <c r="A18" s="101" t="s">
        <v>491</v>
      </c>
      <c r="B18" s="17">
        <v>53841317</v>
      </c>
      <c r="C18" s="17">
        <v>9268750</v>
      </c>
      <c r="D18" s="17">
        <f t="shared" si="0"/>
        <v>9268750</v>
      </c>
      <c r="E18" s="49">
        <f>VLOOKUP($A18,'Data shares'!$C:$FA,128)*100</f>
        <v>1.46</v>
      </c>
      <c r="F18" s="49">
        <f>VLOOKUP($A18,'Data shares'!$C:$FA,129)</f>
        <v>176000</v>
      </c>
      <c r="G18" s="17"/>
    </row>
    <row r="19" spans="1:7" x14ac:dyDescent="0.25">
      <c r="A19" s="101" t="s">
        <v>257</v>
      </c>
      <c r="B19" s="17">
        <v>43771086</v>
      </c>
      <c r="C19" s="17">
        <v>2865850</v>
      </c>
      <c r="D19" s="17">
        <f t="shared" si="0"/>
        <v>2865850</v>
      </c>
      <c r="E19" s="49">
        <f>VLOOKUP($A19,'Data shares'!$C:$FA,128)*100</f>
        <v>2.63</v>
      </c>
      <c r="F19" s="49">
        <f>VLOOKUP($A19,'Data shares'!$C:$FA,129)</f>
        <v>81600</v>
      </c>
      <c r="G19" s="17"/>
    </row>
    <row r="20" spans="1:7" x14ac:dyDescent="0.25">
      <c r="A20" s="101" t="s">
        <v>259</v>
      </c>
      <c r="B20" s="17">
        <v>12838406</v>
      </c>
      <c r="C20" s="17">
        <v>3561800</v>
      </c>
      <c r="D20" s="17">
        <f t="shared" si="0"/>
        <v>3561800</v>
      </c>
      <c r="E20" s="49">
        <f>VLOOKUP($A20,'Data shares'!$C:$FA,128)*100</f>
        <v>4.2799999999999994</v>
      </c>
      <c r="F20" s="49">
        <f>VLOOKUP($A20,'Data shares'!$C:$FA,129)</f>
        <v>102900</v>
      </c>
      <c r="G20" s="17"/>
    </row>
    <row r="21" spans="1:7" x14ac:dyDescent="0.25">
      <c r="A21" s="101" t="s">
        <v>212</v>
      </c>
      <c r="B21" s="17">
        <v>393764205</v>
      </c>
      <c r="C21" s="17">
        <v>124730000</v>
      </c>
      <c r="D21" s="17">
        <f t="shared" si="0"/>
        <v>124730000</v>
      </c>
      <c r="E21" s="49">
        <f>VLOOKUP($A21,'Data shares'!$C:$FA,128)*100</f>
        <v>7.0499999999999989</v>
      </c>
      <c r="F21" s="49">
        <f>VLOOKUP($A21,'Data shares'!$C:$FA,129)</f>
        <v>5785000</v>
      </c>
      <c r="G21" s="17"/>
    </row>
    <row r="22" spans="1:7" x14ac:dyDescent="0.25">
      <c r="A22" s="101" t="s">
        <v>209</v>
      </c>
      <c r="B22" s="17">
        <v>27768950</v>
      </c>
      <c r="C22" s="17">
        <v>5371100</v>
      </c>
      <c r="D22" s="17">
        <f t="shared" si="0"/>
        <v>5371100</v>
      </c>
      <c r="E22" s="49">
        <f>VLOOKUP($A22,'Data shares'!$C:$FA,128)*100</f>
        <v>3.5000000000000004</v>
      </c>
      <c r="F22" s="49">
        <f>VLOOKUP($A22,'Data shares'!$C:$FA,129)</f>
        <v>112000</v>
      </c>
      <c r="G22" s="17"/>
    </row>
    <row r="23" spans="1:7" x14ac:dyDescent="0.25">
      <c r="A23" s="101" t="s">
        <v>501</v>
      </c>
      <c r="B23" s="17">
        <v>155792872</v>
      </c>
      <c r="C23" s="17">
        <v>50166406</v>
      </c>
      <c r="D23" s="17">
        <f t="shared" si="0"/>
        <v>50166406</v>
      </c>
      <c r="E23" s="49">
        <f>VLOOKUP($A23,'Data shares'!$C:$FA,128)*100</f>
        <v>6.58</v>
      </c>
      <c r="F23" s="49">
        <f>VLOOKUP($A23,'Data shares'!$C:$FA,129)</f>
        <v>1910000</v>
      </c>
      <c r="G23" s="17"/>
    </row>
    <row r="24" spans="1:7" x14ac:dyDescent="0.25">
      <c r="A24" s="101" t="s">
        <v>276</v>
      </c>
      <c r="B24" s="17">
        <v>678857930</v>
      </c>
      <c r="C24" s="17">
        <v>84677374</v>
      </c>
      <c r="D24" s="17">
        <f t="shared" si="0"/>
        <v>84677374</v>
      </c>
      <c r="E24" s="49">
        <f>VLOOKUP($A24,'Data shares'!$C:$FA,128)*100</f>
        <v>5.65</v>
      </c>
      <c r="F24" s="49">
        <f>VLOOKUP($A24,'Data shares'!$C:$FA,129)</f>
        <v>3439000</v>
      </c>
      <c r="G24" s="17"/>
    </row>
    <row r="25" spans="1:7" x14ac:dyDescent="0.25">
      <c r="A25" s="101" t="s">
        <v>210</v>
      </c>
      <c r="B25" s="17">
        <v>14114257</v>
      </c>
      <c r="C25" s="17">
        <v>11000000</v>
      </c>
      <c r="D25" s="17">
        <f t="shared" si="0"/>
        <v>11000000</v>
      </c>
      <c r="E25" s="49">
        <f>VLOOKUP($A25,'Data shares'!$C:$FA,128)*100</f>
        <v>3.5000000000000004</v>
      </c>
      <c r="F25" s="49">
        <f>VLOOKUP($A25,'Data shares'!$C:$FA,129)</f>
        <v>112000</v>
      </c>
      <c r="G25" s="17"/>
    </row>
    <row r="26" spans="1:7" x14ac:dyDescent="0.25">
      <c r="A26" s="101" t="s">
        <v>267</v>
      </c>
      <c r="B26" s="17">
        <v>229794455</v>
      </c>
      <c r="C26" s="17">
        <v>133289800</v>
      </c>
      <c r="D26" s="17">
        <f t="shared" si="0"/>
        <v>133289800</v>
      </c>
      <c r="E26" s="49">
        <f>VLOOKUP($A26,'Data shares'!$C:$FA,128)*100</f>
        <v>9.91</v>
      </c>
      <c r="F26" s="49">
        <f>VLOOKUP($A26,'Data shares'!$C:$FA,129)</f>
        <v>25447500</v>
      </c>
      <c r="G26" s="17"/>
    </row>
    <row r="27" spans="1:7" x14ac:dyDescent="0.25">
      <c r="A27" s="101" t="s">
        <v>533</v>
      </c>
      <c r="B27" s="17">
        <v>61337685</v>
      </c>
      <c r="C27" s="17">
        <v>24741600</v>
      </c>
      <c r="D27" s="17">
        <f t="shared" si="0"/>
        <v>24741600</v>
      </c>
      <c r="E27" s="49">
        <f>VLOOKUP($A27,'Data shares'!$C:$FA,128)*100</f>
        <v>6.29</v>
      </c>
      <c r="F27" s="49">
        <f>VLOOKUP($A27,'Data shares'!$C:$FA,129)</f>
        <v>472750</v>
      </c>
      <c r="G27" s="17"/>
    </row>
    <row r="28" spans="1:7" x14ac:dyDescent="0.25">
      <c r="A28" s="101" t="s">
        <v>502</v>
      </c>
      <c r="B28" s="17">
        <v>5165920</v>
      </c>
      <c r="C28" s="17">
        <v>1179400</v>
      </c>
      <c r="D28" s="17">
        <f t="shared" si="0"/>
        <v>1179400</v>
      </c>
      <c r="E28" s="49">
        <f>VLOOKUP($A28,'Data shares'!$C:$FA,128)*100</f>
        <v>7.41</v>
      </c>
      <c r="F28" s="49">
        <f>VLOOKUP($A28,'Data shares'!$C:$FA,129)</f>
        <v>173125</v>
      </c>
      <c r="G28" s="17"/>
    </row>
    <row r="29" spans="1:7" x14ac:dyDescent="0.25">
      <c r="A29" s="101" t="s">
        <v>474</v>
      </c>
      <c r="B29" s="17">
        <v>7339737</v>
      </c>
      <c r="C29" s="17">
        <v>979625</v>
      </c>
      <c r="D29" s="17">
        <f t="shared" si="0"/>
        <v>979625</v>
      </c>
      <c r="E29" s="49">
        <f>VLOOKUP($A29,'Data shares'!$C:$FA,128)*100</f>
        <v>11.85</v>
      </c>
      <c r="F29" s="49">
        <f>VLOOKUP($A29,'Data shares'!$C:$FA,129)</f>
        <v>511600</v>
      </c>
      <c r="G29" s="17"/>
    </row>
    <row r="30" spans="1:7" x14ac:dyDescent="0.25">
      <c r="A30" s="101" t="s">
        <v>158</v>
      </c>
      <c r="B30" s="17">
        <v>17078428</v>
      </c>
      <c r="C30" s="17">
        <v>3648750</v>
      </c>
      <c r="D30" s="17">
        <f t="shared" si="0"/>
        <v>3648750</v>
      </c>
      <c r="E30" s="49">
        <f>VLOOKUP($A30,'Data shares'!$C:$FA,128)*100</f>
        <v>3.8899999999999997</v>
      </c>
      <c r="F30" s="49">
        <f>VLOOKUP($A30,'Data shares'!$C:$FA,129)</f>
        <v>2768300</v>
      </c>
      <c r="G30" s="17"/>
    </row>
    <row r="31" spans="1:7" x14ac:dyDescent="0.25">
      <c r="A31" s="101" t="s">
        <v>268</v>
      </c>
      <c r="B31" s="17">
        <v>948263976</v>
      </c>
      <c r="C31" s="17">
        <v>170042400</v>
      </c>
      <c r="D31" s="17">
        <f t="shared" si="0"/>
        <v>170042400</v>
      </c>
      <c r="E31" s="49">
        <f>VLOOKUP($A31,'Data shares'!$C:$FA,128)*100</f>
        <v>6.75</v>
      </c>
      <c r="F31" s="49">
        <f>VLOOKUP($A31,'Data shares'!$C:$FA,129)</f>
        <v>6246000</v>
      </c>
      <c r="G31" s="17"/>
    </row>
    <row r="32" spans="1:7" x14ac:dyDescent="0.25">
      <c r="A32" s="101" t="s">
        <v>557</v>
      </c>
      <c r="B32" s="17">
        <v>51441633</v>
      </c>
      <c r="C32" s="17">
        <v>26329600</v>
      </c>
      <c r="D32" s="17">
        <f t="shared" si="0"/>
        <v>26329600</v>
      </c>
      <c r="E32" s="49">
        <f>VLOOKUP($A32,'Data shares'!$C:$FA,128)*100</f>
        <v>13.84</v>
      </c>
      <c r="F32" s="49">
        <f>VLOOKUP($A32,'Data shares'!$C:$FA,129)</f>
        <v>1187100</v>
      </c>
      <c r="G32" s="17"/>
    </row>
    <row r="33" spans="1:7" x14ac:dyDescent="0.25">
      <c r="A33" s="101" t="s">
        <v>549</v>
      </c>
      <c r="B33" s="17">
        <v>319287188</v>
      </c>
      <c r="C33" s="17">
        <v>149780000</v>
      </c>
      <c r="D33" s="17">
        <f t="shared" si="0"/>
        <v>149780000</v>
      </c>
      <c r="E33" s="49">
        <f>VLOOKUP($A33,'Data shares'!$C:$FA,128)*100</f>
        <v>10.42</v>
      </c>
      <c r="F33" s="49">
        <f>VLOOKUP($A33,'Data shares'!$C:$FA,129)</f>
        <v>637842900</v>
      </c>
      <c r="G33" s="17"/>
    </row>
    <row r="34" spans="1:7" x14ac:dyDescent="0.25">
      <c r="A34" s="101" t="s">
        <v>536</v>
      </c>
      <c r="B34" s="17">
        <v>57585215</v>
      </c>
      <c r="C34" s="17">
        <v>5314000</v>
      </c>
      <c r="D34" s="17">
        <f t="shared" si="0"/>
        <v>5314000</v>
      </c>
      <c r="E34" s="49">
        <f>VLOOKUP($A34,'Data shares'!$C:$FA,128)*100</f>
        <v>14.99</v>
      </c>
      <c r="F34" s="49">
        <f>VLOOKUP($A34,'Data shares'!$C:$FA,129)</f>
        <v>2430400</v>
      </c>
      <c r="G34" s="17"/>
    </row>
    <row r="35" spans="1:7" x14ac:dyDescent="0.25">
      <c r="A35" s="101" t="s">
        <v>270</v>
      </c>
      <c r="B35" s="17">
        <v>1178038</v>
      </c>
      <c r="C35" s="17">
        <v>100890</v>
      </c>
      <c r="D35" s="17">
        <f t="shared" si="0"/>
        <v>100890</v>
      </c>
      <c r="E35" s="49">
        <f>VLOOKUP($A35,'Data shares'!$C:$FA,128)*100</f>
        <v>10.72</v>
      </c>
      <c r="F35" s="49">
        <f>VLOOKUP($A35,'Data shares'!$C:$FA,129)</f>
        <v>22545</v>
      </c>
      <c r="G35" s="17"/>
    </row>
    <row r="36" spans="1:7" x14ac:dyDescent="0.25">
      <c r="A36" s="101" t="s">
        <v>258</v>
      </c>
      <c r="B36" s="17">
        <v>13335005</v>
      </c>
      <c r="C36" s="17">
        <v>5970600</v>
      </c>
      <c r="D36" s="17">
        <f t="shared" si="0"/>
        <v>5970600</v>
      </c>
      <c r="E36" s="49">
        <f>VLOOKUP($A36,'Data shares'!$C:$FA,128)*100</f>
        <v>2.63</v>
      </c>
      <c r="F36" s="49">
        <f>VLOOKUP($A36,'Data shares'!$C:$FA,129)</f>
        <v>81600</v>
      </c>
      <c r="G36" s="17"/>
    </row>
    <row r="37" spans="1:7" x14ac:dyDescent="0.25">
      <c r="A37" s="101" t="s">
        <v>301</v>
      </c>
      <c r="B37" s="17">
        <v>14428803</v>
      </c>
      <c r="C37" s="17">
        <v>2171400</v>
      </c>
      <c r="D37" s="17">
        <f t="shared" si="0"/>
        <v>2171400</v>
      </c>
      <c r="E37" s="49">
        <f>VLOOKUP($A37,'Data shares'!$C:$FA,128)*100</f>
        <v>1.91</v>
      </c>
      <c r="F37" s="49">
        <f>VLOOKUP($A37,'Data shares'!$C:$FA,129)</f>
        <v>146300</v>
      </c>
      <c r="G37" s="17"/>
    </row>
    <row r="38" spans="1:7" x14ac:dyDescent="0.25">
      <c r="A38" s="101" t="s">
        <v>283</v>
      </c>
      <c r="B38" s="17">
        <v>747713393</v>
      </c>
      <c r="C38" s="17">
        <v>158166000</v>
      </c>
      <c r="D38" s="17">
        <f t="shared" si="0"/>
        <v>158166000</v>
      </c>
      <c r="E38" s="49">
        <f>VLOOKUP($A38,'Data shares'!$C:$FA,128)*100</f>
        <v>5.6099999999999994</v>
      </c>
      <c r="F38" s="49">
        <f>VLOOKUP($A38,'Data shares'!$C:$FA,129)</f>
        <v>4398750</v>
      </c>
      <c r="G38" s="17"/>
    </row>
    <row r="39" spans="1:7" x14ac:dyDescent="0.25">
      <c r="A39" s="101" t="s">
        <v>281</v>
      </c>
      <c r="B39" s="17">
        <v>648405756</v>
      </c>
      <c r="C39" s="17">
        <v>61815500</v>
      </c>
      <c r="D39" s="17">
        <f t="shared" si="0"/>
        <v>61815500</v>
      </c>
      <c r="E39" s="49">
        <f>VLOOKUP($A39,'Data shares'!$C:$FA,128)*100</f>
        <v>11.75</v>
      </c>
      <c r="F39" s="49">
        <f>VLOOKUP($A39,'Data shares'!$C:$FA,129)</f>
        <v>14508500</v>
      </c>
      <c r="G39" s="17"/>
    </row>
    <row r="40" spans="1:7" x14ac:dyDescent="0.25">
      <c r="A40" s="101" t="s">
        <v>198</v>
      </c>
      <c r="B40" s="17">
        <v>79546680</v>
      </c>
      <c r="C40" s="17">
        <v>13283750</v>
      </c>
      <c r="D40" s="17">
        <f t="shared" si="0"/>
        <v>13283750</v>
      </c>
      <c r="E40" s="49">
        <f>VLOOKUP($A40,'Data shares'!$C:$FA,128)*100</f>
        <v>14.06</v>
      </c>
      <c r="F40" s="49">
        <f>VLOOKUP($A40,'Data shares'!$C:$FA,129)</f>
        <v>1646875</v>
      </c>
      <c r="G40" s="17"/>
    </row>
    <row r="41" spans="1:7" x14ac:dyDescent="0.25">
      <c r="A41" s="101" t="s">
        <v>299</v>
      </c>
      <c r="B41" s="17">
        <v>44634693</v>
      </c>
      <c r="C41" s="17">
        <v>3805500</v>
      </c>
      <c r="D41" s="17">
        <f t="shared" si="0"/>
        <v>3805500</v>
      </c>
      <c r="E41" s="49">
        <f>VLOOKUP($A41,'Data shares'!$C:$FA,128)*100</f>
        <v>3.5999999999999996</v>
      </c>
      <c r="F41" s="49">
        <f>VLOOKUP($A41,'Data shares'!$C:$FA,129)</f>
        <v>121875</v>
      </c>
      <c r="G41" s="17"/>
    </row>
    <row r="42" spans="1:7" x14ac:dyDescent="0.25">
      <c r="A42" s="101" t="s">
        <v>273</v>
      </c>
      <c r="B42" s="17">
        <v>232357926</v>
      </c>
      <c r="C42" s="17">
        <v>67053000</v>
      </c>
      <c r="D42" s="17">
        <f t="shared" si="0"/>
        <v>67053000</v>
      </c>
      <c r="E42" s="49">
        <f>VLOOKUP($A42,'Data shares'!$C:$FA,128)*100</f>
        <v>13.03</v>
      </c>
      <c r="F42" s="49">
        <f>VLOOKUP($A42,'Data shares'!$C:$FA,129)</f>
        <v>6197100</v>
      </c>
      <c r="G42" s="17"/>
    </row>
    <row r="43" spans="1:7" x14ac:dyDescent="0.25">
      <c r="A43" s="101" t="s">
        <v>207</v>
      </c>
      <c r="B43" s="17">
        <v>124016568</v>
      </c>
      <c r="C43" s="17">
        <v>57530550</v>
      </c>
      <c r="D43" s="17">
        <f t="shared" si="0"/>
        <v>57530550</v>
      </c>
      <c r="E43" s="49">
        <f>VLOOKUP($A43,'Data shares'!$C:$FA,128)*100</f>
        <v>4.4400000000000004</v>
      </c>
      <c r="F43" s="49">
        <f>VLOOKUP($A43,'Data shares'!$C:$FA,129)</f>
        <v>1592250</v>
      </c>
      <c r="G43" s="17"/>
    </row>
    <row r="44" spans="1:7" x14ac:dyDescent="0.25">
      <c r="A44" s="101" t="s">
        <v>191</v>
      </c>
      <c r="B44" s="17">
        <v>92946457</v>
      </c>
      <c r="C44" s="17">
        <v>36478000</v>
      </c>
      <c r="D44" s="17">
        <f t="shared" si="0"/>
        <v>36478000</v>
      </c>
      <c r="E44" s="49">
        <f>VLOOKUP($A44,'Data shares'!$C:$FA,128)*100</f>
        <v>5.33</v>
      </c>
      <c r="F44" s="49">
        <f>VLOOKUP($A44,'Data shares'!$C:$FA,129)</f>
        <v>2030000</v>
      </c>
      <c r="G44" s="17"/>
    </row>
    <row r="45" spans="1:7" x14ac:dyDescent="0.25">
      <c r="A45" s="101" t="s">
        <v>288</v>
      </c>
      <c r="B45" s="17">
        <v>218440087</v>
      </c>
      <c r="C45" s="17">
        <v>44080400</v>
      </c>
      <c r="D45" s="17">
        <f t="shared" si="0"/>
        <v>44080400</v>
      </c>
      <c r="E45" s="49">
        <f>VLOOKUP($A45,'Data shares'!$C:$FA,128)*100</f>
        <v>4.92</v>
      </c>
      <c r="F45" s="49">
        <f>VLOOKUP($A45,'Data shares'!$C:$FA,129)</f>
        <v>570500</v>
      </c>
      <c r="G45" s="17"/>
    </row>
    <row r="46" spans="1:7" x14ac:dyDescent="0.25">
      <c r="A46" s="101" t="s">
        <v>275</v>
      </c>
      <c r="B46" s="17">
        <v>591377974</v>
      </c>
      <c r="C46" s="17">
        <v>493488000</v>
      </c>
      <c r="D46" s="17">
        <f t="shared" si="0"/>
        <v>493488000</v>
      </c>
      <c r="E46" s="49">
        <f>VLOOKUP($A46,'Data shares'!$C:$FA,128)*100</f>
        <v>9.86</v>
      </c>
      <c r="F46" s="49">
        <f>VLOOKUP($A46,'Data shares'!$C:$FA,129)</f>
        <v>21648000</v>
      </c>
      <c r="G46" s="17"/>
    </row>
    <row r="47" spans="1:7" x14ac:dyDescent="0.25">
      <c r="A47" s="101" t="s">
        <v>277</v>
      </c>
      <c r="B47" s="17">
        <v>10116165</v>
      </c>
      <c r="C47" s="17">
        <v>7378910</v>
      </c>
      <c r="D47" s="17">
        <f t="shared" si="0"/>
        <v>7378910</v>
      </c>
      <c r="E47" s="49">
        <f>VLOOKUP($A47,'Data shares'!$C:$FA,128)*100</f>
        <v>2.98</v>
      </c>
      <c r="F47" s="49">
        <f>VLOOKUP($A47,'Data shares'!$C:$FA,129)</f>
        <v>121500</v>
      </c>
      <c r="G47" s="17"/>
    </row>
    <row r="48" spans="1:7" x14ac:dyDescent="0.25">
      <c r="A48" s="101" t="s">
        <v>196</v>
      </c>
      <c r="B48" s="17">
        <v>134484114</v>
      </c>
      <c r="C48" s="17">
        <v>73278000</v>
      </c>
      <c r="D48" s="17">
        <f t="shared" si="0"/>
        <v>73278000</v>
      </c>
      <c r="E48" s="49">
        <f>VLOOKUP($A48,'Data shares'!$C:$FA,128)*100</f>
        <v>9.9</v>
      </c>
      <c r="F48" s="49">
        <f>VLOOKUP($A48,'Data shares'!$C:$FA,129)</f>
        <v>23901750</v>
      </c>
      <c r="G48" s="17"/>
    </row>
    <row r="49" spans="1:7" x14ac:dyDescent="0.25">
      <c r="A49" s="101" t="s">
        <v>287</v>
      </c>
      <c r="B49" s="17">
        <v>40005132</v>
      </c>
      <c r="C49" s="17">
        <v>6264400</v>
      </c>
      <c r="D49" s="17">
        <f t="shared" si="0"/>
        <v>6264400</v>
      </c>
      <c r="E49" s="49">
        <f>VLOOKUP($A49,'Data shares'!$C:$FA,128)*100</f>
        <v>2.13</v>
      </c>
      <c r="F49" s="49">
        <f>VLOOKUP($A49,'Data shares'!$C:$FA,129)</f>
        <v>50200</v>
      </c>
      <c r="G49" s="17"/>
    </row>
    <row r="50" spans="1:7" x14ac:dyDescent="0.25">
      <c r="A50" s="101" t="s">
        <v>553</v>
      </c>
      <c r="B50" s="17">
        <v>10595418</v>
      </c>
      <c r="C50" s="17">
        <v>250250</v>
      </c>
      <c r="D50" s="17">
        <f t="shared" si="0"/>
        <v>250250</v>
      </c>
      <c r="E50" s="49">
        <f>VLOOKUP($A50,'Data shares'!$C:$FA,128)*100</f>
        <v>7.9799999999999995</v>
      </c>
      <c r="F50" s="49">
        <f>VLOOKUP($A50,'Data shares'!$C:$FA,129)</f>
        <v>146125</v>
      </c>
      <c r="G50" s="17"/>
    </row>
    <row r="51" spans="1:7" x14ac:dyDescent="0.25">
      <c r="A51" s="101" t="s">
        <v>519</v>
      </c>
      <c r="B51" s="17">
        <v>9516271</v>
      </c>
      <c r="C51" s="17">
        <v>1000800</v>
      </c>
      <c r="D51" s="17">
        <f t="shared" si="0"/>
        <v>1000800</v>
      </c>
      <c r="E51" s="49">
        <f>VLOOKUP($A51,'Data shares'!$C:$FA,128)*100</f>
        <v>3.0300000000000002</v>
      </c>
      <c r="F51" s="49">
        <f>VLOOKUP($A51,'Data shares'!$C:$FA,129)</f>
        <v>50875</v>
      </c>
      <c r="G51" s="17"/>
    </row>
    <row r="52" spans="1:7" x14ac:dyDescent="0.25">
      <c r="A52" s="101" t="s">
        <v>550</v>
      </c>
      <c r="B52" s="17">
        <v>137684181</v>
      </c>
      <c r="C52" s="17">
        <v>42696000</v>
      </c>
      <c r="D52" s="17">
        <f t="shared" si="0"/>
        <v>42696000</v>
      </c>
      <c r="E52" s="49">
        <f>VLOOKUP($A52,'Data shares'!$C:$FA,128)*100</f>
        <v>7.1</v>
      </c>
      <c r="F52" s="49">
        <f>VLOOKUP($A52,'Data shares'!$C:$FA,129)</f>
        <v>3958500</v>
      </c>
      <c r="G52" s="17"/>
    </row>
    <row r="53" spans="1:7" x14ac:dyDescent="0.25">
      <c r="A53" s="101" t="s">
        <v>284</v>
      </c>
      <c r="B53" s="17">
        <v>2702190</v>
      </c>
      <c r="C53" s="17">
        <v>250575</v>
      </c>
      <c r="D53" s="17">
        <f t="shared" si="0"/>
        <v>250575</v>
      </c>
      <c r="E53" s="49">
        <f>VLOOKUP($A53,'Data shares'!$C:$FA,128)*100</f>
        <v>1.0999999999999999</v>
      </c>
      <c r="F53" s="49">
        <f>VLOOKUP($A53,'Data shares'!$C:$FA,129)</f>
        <v>2100</v>
      </c>
      <c r="G53" s="17"/>
    </row>
    <row r="54" spans="1:7" x14ac:dyDescent="0.25">
      <c r="A54" s="101" t="s">
        <v>488</v>
      </c>
      <c r="B54" s="17">
        <v>5499709</v>
      </c>
      <c r="C54" s="17">
        <v>1097600</v>
      </c>
      <c r="D54" s="17">
        <f t="shared" si="0"/>
        <v>1097600</v>
      </c>
      <c r="E54" s="49">
        <f>VLOOKUP($A54,'Data shares'!$C:$FA,128)*100</f>
        <v>7.51</v>
      </c>
      <c r="F54" s="49">
        <f>VLOOKUP($A54,'Data shares'!$C:$FA,129)</f>
        <v>193350</v>
      </c>
      <c r="G54" s="17"/>
    </row>
    <row r="55" spans="1:7" x14ac:dyDescent="0.25">
      <c r="A55" s="101" t="s">
        <v>523</v>
      </c>
      <c r="B55" s="17">
        <v>118085392</v>
      </c>
      <c r="C55" s="17">
        <v>6549400</v>
      </c>
      <c r="D55" s="17">
        <f t="shared" si="0"/>
        <v>6549400</v>
      </c>
      <c r="E55" s="49">
        <f>VLOOKUP($A55,'Data shares'!$C:$FA,128)*100</f>
        <v>7.8</v>
      </c>
      <c r="F55" s="49">
        <f>VLOOKUP($A55,'Data shares'!$C:$FA,129)</f>
        <v>3776400</v>
      </c>
      <c r="G55" s="17"/>
    </row>
    <row r="56" spans="1:7" x14ac:dyDescent="0.25">
      <c r="A56" s="101" t="s">
        <v>485</v>
      </c>
      <c r="B56" s="17">
        <v>6917069</v>
      </c>
      <c r="C56" s="17">
        <v>762075</v>
      </c>
      <c r="D56" s="17">
        <f t="shared" si="0"/>
        <v>762075</v>
      </c>
      <c r="E56" s="49">
        <f>VLOOKUP($A56,'Data shares'!$C:$FA,128)*100</f>
        <v>1.5</v>
      </c>
      <c r="F56" s="49">
        <f>VLOOKUP($A56,'Data shares'!$C:$FA,129)</f>
        <v>146250</v>
      </c>
      <c r="G56" s="17"/>
    </row>
    <row r="57" spans="1:7" x14ac:dyDescent="0.25">
      <c r="A57" s="101" t="s">
        <v>178</v>
      </c>
      <c r="B57" s="17">
        <v>16125398</v>
      </c>
      <c r="C57" s="17">
        <v>1552600</v>
      </c>
      <c r="D57" s="17">
        <f t="shared" si="0"/>
        <v>1552600</v>
      </c>
      <c r="E57" s="49">
        <f>VLOOKUP($A57,'Data shares'!$C:$FA,128)*100</f>
        <v>3.16</v>
      </c>
      <c r="F57" s="49">
        <f>VLOOKUP($A57,'Data shares'!$C:$FA,129)</f>
        <v>2420250</v>
      </c>
      <c r="G57" s="17"/>
    </row>
    <row r="58" spans="1:7" x14ac:dyDescent="0.25">
      <c r="A58" s="101" t="s">
        <v>240</v>
      </c>
      <c r="B58" s="17">
        <v>727896180</v>
      </c>
      <c r="C58" s="17">
        <v>46526100</v>
      </c>
      <c r="D58" s="17">
        <f t="shared" si="0"/>
        <v>46526100</v>
      </c>
      <c r="E58" s="49">
        <f>VLOOKUP($A58,'Data shares'!$C:$FA,128)*100</f>
        <v>33.86</v>
      </c>
      <c r="F58" s="49">
        <f>VLOOKUP($A58,'Data shares'!$C:$FA,129)</f>
        <v>21334000</v>
      </c>
      <c r="G58" s="17"/>
    </row>
    <row r="59" spans="1:7" x14ac:dyDescent="0.25">
      <c r="A59" s="101" t="s">
        <v>202</v>
      </c>
      <c r="B59" s="17">
        <v>55081874</v>
      </c>
      <c r="C59" s="17">
        <v>10856000</v>
      </c>
      <c r="D59" s="17">
        <f t="shared" si="0"/>
        <v>10856000</v>
      </c>
      <c r="E59" s="49">
        <f>VLOOKUP($A59,'Data shares'!$C:$FA,128)*100</f>
        <v>15.25</v>
      </c>
      <c r="F59" s="49">
        <f>VLOOKUP($A59,'Data shares'!$C:$FA,129)</f>
        <v>3840000</v>
      </c>
      <c r="G59" s="17"/>
    </row>
    <row r="60" spans="1:7" x14ac:dyDescent="0.25">
      <c r="A60" s="101" t="s">
        <v>245</v>
      </c>
      <c r="B60" s="17">
        <v>15273675</v>
      </c>
      <c r="C60" s="17">
        <v>5077125</v>
      </c>
      <c r="D60" s="17">
        <f t="shared" si="0"/>
        <v>5077125</v>
      </c>
      <c r="E60" s="49">
        <f>VLOOKUP($A60,'Data shares'!$C:$FA,128)*100</f>
        <v>5.24</v>
      </c>
      <c r="F60" s="49">
        <f>VLOOKUP($A60,'Data shares'!$C:$FA,129)</f>
        <v>1080000</v>
      </c>
      <c r="G60" s="17"/>
    </row>
    <row r="61" spans="1:7" x14ac:dyDescent="0.25">
      <c r="A61" s="101" t="s">
        <v>173</v>
      </c>
      <c r="B61" s="17">
        <v>541823383</v>
      </c>
      <c r="C61" s="17">
        <v>95378400</v>
      </c>
      <c r="D61" s="17">
        <f t="shared" si="0"/>
        <v>95378400</v>
      </c>
      <c r="E61" s="49">
        <f>VLOOKUP($A61,'Data shares'!$C:$FA,128)*100</f>
        <v>4.1099999999999994</v>
      </c>
      <c r="F61" s="49">
        <f>VLOOKUP($A61,'Data shares'!$C:$FA,129)</f>
        <v>2518750</v>
      </c>
      <c r="G61" s="17"/>
    </row>
    <row r="62" spans="1:7" x14ac:dyDescent="0.25">
      <c r="A62" s="101" t="s">
        <v>234</v>
      </c>
      <c r="B62" s="17">
        <v>1606294231</v>
      </c>
      <c r="C62" s="17">
        <v>1302000000</v>
      </c>
      <c r="D62" s="17">
        <f t="shared" si="0"/>
        <v>1302000000</v>
      </c>
      <c r="E62" s="49">
        <f>VLOOKUP($A62,'Data shares'!$C:$FA,128)*100</f>
        <v>10.42</v>
      </c>
      <c r="F62" s="49">
        <f>VLOOKUP($A62,'Data shares'!$C:$FA,129)</f>
        <v>637842900</v>
      </c>
      <c r="G62" s="17"/>
    </row>
    <row r="63" spans="1:7" x14ac:dyDescent="0.25">
      <c r="A63" s="101" t="s">
        <v>235</v>
      </c>
      <c r="B63" s="17">
        <v>789260827</v>
      </c>
      <c r="C63" s="17">
        <v>462303900</v>
      </c>
      <c r="D63" s="17">
        <f t="shared" si="0"/>
        <v>462303900</v>
      </c>
      <c r="E63" s="49">
        <f>VLOOKUP($A63,'Data shares'!$C:$FA,128)*100</f>
        <v>13.19</v>
      </c>
      <c r="F63" s="49">
        <f>VLOOKUP($A63,'Data shares'!$C:$FA,129)</f>
        <v>40772900</v>
      </c>
      <c r="G63" s="17"/>
    </row>
    <row r="64" spans="1:7" x14ac:dyDescent="0.25">
      <c r="A64" s="101" t="s">
        <v>482</v>
      </c>
      <c r="B64" s="17">
        <v>44785930</v>
      </c>
      <c r="C64" s="17">
        <v>4025925</v>
      </c>
      <c r="D64" s="17">
        <f t="shared" si="0"/>
        <v>4025925</v>
      </c>
      <c r="E64" s="49">
        <f>VLOOKUP($A64,'Data shares'!$C:$FA,128)*100</f>
        <v>9.1</v>
      </c>
      <c r="F64" s="49">
        <f>VLOOKUP($A64,'Data shares'!$C:$FA,129)</f>
        <v>678400</v>
      </c>
      <c r="G64" s="17"/>
    </row>
    <row r="65" spans="1:7" x14ac:dyDescent="0.25">
      <c r="A65" s="101" t="s">
        <v>475</v>
      </c>
      <c r="B65" s="17">
        <v>13287700</v>
      </c>
      <c r="C65" s="17">
        <v>3968400</v>
      </c>
      <c r="D65" s="17">
        <f t="shared" si="0"/>
        <v>3968400</v>
      </c>
      <c r="E65" s="49">
        <f>VLOOKUP($A65,'Data shares'!$C:$FA,128)*100</f>
        <v>3.29</v>
      </c>
      <c r="F65" s="49">
        <f>VLOOKUP($A65,'Data shares'!$C:$FA,129)</f>
        <v>61050</v>
      </c>
      <c r="G65" s="17"/>
    </row>
    <row r="66" spans="1:7" x14ac:dyDescent="0.25">
      <c r="A66" s="101" t="s">
        <v>306</v>
      </c>
      <c r="B66" s="17">
        <v>292716179</v>
      </c>
      <c r="C66" s="17">
        <v>57797600</v>
      </c>
      <c r="D66" s="17">
        <f t="shared" si="0"/>
        <v>57797600</v>
      </c>
      <c r="E66" s="49">
        <f>VLOOKUP($A66,'Data shares'!$C:$FA,128)*100</f>
        <v>14.41</v>
      </c>
      <c r="F66" s="49">
        <f>VLOOKUP($A66,'Data shares'!$C:$FA,129)</f>
        <v>20988000</v>
      </c>
      <c r="G66" s="17"/>
    </row>
    <row r="67" spans="1:7" x14ac:dyDescent="0.25">
      <c r="A67" s="101" t="s">
        <v>262</v>
      </c>
      <c r="B67" s="17">
        <v>21376133</v>
      </c>
      <c r="C67" s="17">
        <v>5958375</v>
      </c>
      <c r="D67" s="17">
        <f t="shared" si="0"/>
        <v>5958375</v>
      </c>
      <c r="E67" s="49">
        <f>VLOOKUP($A67,'Data shares'!$C:$FA,128)*100</f>
        <v>6.3299999999999992</v>
      </c>
      <c r="F67" s="49">
        <f>VLOOKUP($A67,'Data shares'!$C:$FA,129)</f>
        <v>134200</v>
      </c>
      <c r="G67" s="17"/>
    </row>
    <row r="68" spans="1:7" x14ac:dyDescent="0.25">
      <c r="A68" s="101" t="s">
        <v>174</v>
      </c>
      <c r="B68" s="17">
        <v>26775498</v>
      </c>
      <c r="C68" s="17">
        <v>3494750</v>
      </c>
      <c r="D68" s="17">
        <f t="shared" si="0"/>
        <v>3494750</v>
      </c>
      <c r="E68" s="49">
        <f>VLOOKUP($A68,'Data shares'!$C:$FA,128)*100</f>
        <v>5.6899999999999995</v>
      </c>
      <c r="F68" s="49">
        <f>VLOOKUP($A68,'Data shares'!$C:$FA,129)</f>
        <v>156750</v>
      </c>
      <c r="G68" s="17"/>
    </row>
    <row r="69" spans="1:7" x14ac:dyDescent="0.25">
      <c r="A69" s="101" t="s">
        <v>286</v>
      </c>
      <c r="B69" s="17">
        <v>29168705</v>
      </c>
      <c r="C69" s="17">
        <v>6373125</v>
      </c>
      <c r="D69" s="17">
        <f t="shared" si="0"/>
        <v>6373125</v>
      </c>
      <c r="E69" s="49">
        <f>VLOOKUP($A69,'Data shares'!$C:$FA,128)*100</f>
        <v>2.13</v>
      </c>
      <c r="F69" s="49">
        <f>VLOOKUP($A69,'Data shares'!$C:$FA,129)</f>
        <v>50200</v>
      </c>
      <c r="G69" s="17"/>
    </row>
    <row r="70" spans="1:7" x14ac:dyDescent="0.25">
      <c r="A70" s="101" t="s">
        <v>297</v>
      </c>
      <c r="B70" s="17">
        <v>83636848</v>
      </c>
      <c r="C70" s="17">
        <v>13455750</v>
      </c>
      <c r="D70" s="17">
        <f t="shared" si="0"/>
        <v>13455750</v>
      </c>
      <c r="E70" s="49">
        <f>VLOOKUP($A70,'Data shares'!$C:$FA,128)*100</f>
        <v>3.4099999999999997</v>
      </c>
      <c r="F70" s="49">
        <f>VLOOKUP($A70,'Data shares'!$C:$FA,129)</f>
        <v>324450</v>
      </c>
      <c r="G70" s="17"/>
    </row>
    <row r="71" spans="1:7" x14ac:dyDescent="0.25">
      <c r="A71" s="101" t="s">
        <v>302</v>
      </c>
      <c r="B71" s="17">
        <v>23058222</v>
      </c>
      <c r="C71" s="17">
        <v>3980500</v>
      </c>
      <c r="D71" s="17">
        <f t="shared" ref="D71:D134" si="1">C71</f>
        <v>3980500</v>
      </c>
      <c r="E71" s="49">
        <f>VLOOKUP($A71,'Data shares'!$C:$FA,128)*100</f>
        <v>2.79</v>
      </c>
      <c r="F71" s="49">
        <f>VLOOKUP($A71,'Data shares'!$C:$FA,129)</f>
        <v>54100</v>
      </c>
      <c r="G71" s="17"/>
    </row>
    <row r="72" spans="1:7" x14ac:dyDescent="0.25">
      <c r="A72" s="101" t="s">
        <v>307</v>
      </c>
      <c r="B72" s="17">
        <v>184439886</v>
      </c>
      <c r="C72" s="17">
        <v>122460000</v>
      </c>
      <c r="D72" s="17">
        <f t="shared" si="1"/>
        <v>122460000</v>
      </c>
      <c r="E72" s="49">
        <f>VLOOKUP($A72,'Data shares'!$C:$FA,128)*100</f>
        <v>13.86</v>
      </c>
      <c r="F72" s="49">
        <f>VLOOKUP($A72,'Data shares'!$C:$FA,129)</f>
        <v>123342600</v>
      </c>
      <c r="G72" s="17"/>
    </row>
    <row r="73" spans="1:7" x14ac:dyDescent="0.25">
      <c r="A73" s="101" t="s">
        <v>177</v>
      </c>
      <c r="B73" s="17">
        <v>52956314</v>
      </c>
      <c r="C73" s="17">
        <v>7784625</v>
      </c>
      <c r="D73" s="17">
        <f t="shared" si="1"/>
        <v>7784625</v>
      </c>
      <c r="E73" s="49">
        <f>VLOOKUP($A73,'Data shares'!$C:$FA,128)*100</f>
        <v>3.16</v>
      </c>
      <c r="F73" s="49">
        <f>VLOOKUP($A73,'Data shares'!$C:$FA,129)</f>
        <v>2420250</v>
      </c>
      <c r="G73" s="17"/>
    </row>
    <row r="74" spans="1:7" x14ac:dyDescent="0.25">
      <c r="A74" s="101" t="s">
        <v>545</v>
      </c>
      <c r="B74" s="17">
        <v>23498849</v>
      </c>
      <c r="C74" s="17">
        <v>15745600</v>
      </c>
      <c r="D74" s="17">
        <f t="shared" si="1"/>
        <v>15745600</v>
      </c>
      <c r="E74" s="49">
        <f>VLOOKUP($A74,'Data shares'!$C:$FA,128)*100</f>
        <v>3.16</v>
      </c>
      <c r="F74" s="49">
        <f>VLOOKUP($A74,'Data shares'!$C:$FA,129)</f>
        <v>2420250</v>
      </c>
      <c r="G74" s="17"/>
    </row>
    <row r="75" spans="1:7" x14ac:dyDescent="0.25">
      <c r="A75" s="101" t="s">
        <v>185</v>
      </c>
      <c r="B75" s="17">
        <v>238123793</v>
      </c>
      <c r="C75" s="17">
        <v>59926000</v>
      </c>
      <c r="D75" s="17">
        <f t="shared" si="1"/>
        <v>59926000</v>
      </c>
      <c r="E75" s="49">
        <f>VLOOKUP($A75,'Data shares'!$C:$FA,128)*100</f>
        <v>10.7</v>
      </c>
      <c r="F75" s="49">
        <f>VLOOKUP($A75,'Data shares'!$C:$FA,129)</f>
        <v>11243250</v>
      </c>
      <c r="G75" s="17"/>
    </row>
    <row r="76" spans="1:7" x14ac:dyDescent="0.25">
      <c r="A76" s="101" t="s">
        <v>219</v>
      </c>
      <c r="B76" s="17">
        <v>75317259</v>
      </c>
      <c r="C76" s="17">
        <v>12188500</v>
      </c>
      <c r="D76" s="17">
        <f t="shared" si="1"/>
        <v>12188500</v>
      </c>
      <c r="E76" s="49">
        <f>VLOOKUP($A76,'Data shares'!$C:$FA,128)*100</f>
        <v>1.46</v>
      </c>
      <c r="F76" s="49">
        <f>VLOOKUP($A76,'Data shares'!$C:$FA,129)</f>
        <v>176000</v>
      </c>
      <c r="G76" s="17"/>
    </row>
    <row r="77" spans="1:7" x14ac:dyDescent="0.25">
      <c r="A77" s="101" t="s">
        <v>534</v>
      </c>
      <c r="B77" s="17">
        <v>70381221</v>
      </c>
      <c r="C77" s="17">
        <v>3354100</v>
      </c>
      <c r="D77" s="17">
        <f t="shared" si="1"/>
        <v>3354100</v>
      </c>
      <c r="E77" s="49">
        <f>VLOOKUP($A77,'Data shares'!$C:$FA,128)*100</f>
        <v>1.46</v>
      </c>
      <c r="F77" s="49">
        <f>VLOOKUP($A77,'Data shares'!$C:$FA,129)</f>
        <v>176000</v>
      </c>
      <c r="G77" s="17"/>
    </row>
    <row r="78" spans="1:7" x14ac:dyDescent="0.25">
      <c r="A78" s="101" t="s">
        <v>516</v>
      </c>
      <c r="B78" s="17">
        <v>27254349</v>
      </c>
      <c r="C78" s="17">
        <v>1133550</v>
      </c>
      <c r="D78" s="17">
        <f t="shared" si="1"/>
        <v>1133550</v>
      </c>
      <c r="E78" s="49">
        <f>VLOOKUP($A78,'Data shares'!$C:$FA,128)*100</f>
        <v>7.22</v>
      </c>
      <c r="F78" s="49">
        <f>VLOOKUP($A78,'Data shares'!$C:$FA,129)</f>
        <v>6625125</v>
      </c>
      <c r="G78" s="17"/>
    </row>
    <row r="79" spans="1:7" x14ac:dyDescent="0.25">
      <c r="A79" s="101" t="s">
        <v>271</v>
      </c>
      <c r="B79" s="17">
        <v>26746179</v>
      </c>
      <c r="C79" s="17">
        <v>5445825</v>
      </c>
      <c r="D79" s="17">
        <f t="shared" si="1"/>
        <v>5445825</v>
      </c>
      <c r="E79" s="49">
        <f>VLOOKUP($A79,'Data shares'!$C:$FA,128)*100</f>
        <v>2.86</v>
      </c>
      <c r="F79" s="49">
        <f>VLOOKUP($A79,'Data shares'!$C:$FA,129)</f>
        <v>540125</v>
      </c>
      <c r="G79" s="17"/>
    </row>
    <row r="80" spans="1:7" x14ac:dyDescent="0.25">
      <c r="A80" s="101" t="s">
        <v>264</v>
      </c>
      <c r="B80" s="17">
        <v>15844192</v>
      </c>
      <c r="C80" s="17">
        <v>2354125</v>
      </c>
      <c r="D80" s="17">
        <f t="shared" si="1"/>
        <v>2354125</v>
      </c>
      <c r="E80" s="49">
        <f>VLOOKUP($A80,'Data shares'!$C:$FA,128)*100</f>
        <v>1.5</v>
      </c>
      <c r="F80" s="49">
        <f>VLOOKUP($A80,'Data shares'!$C:$FA,129)</f>
        <v>146250</v>
      </c>
      <c r="G80" s="17"/>
    </row>
    <row r="81" spans="1:7" x14ac:dyDescent="0.25">
      <c r="A81" s="101" t="s">
        <v>208</v>
      </c>
      <c r="B81" s="17">
        <v>24296838</v>
      </c>
      <c r="C81" s="17">
        <v>5125750</v>
      </c>
      <c r="D81" s="17">
        <f t="shared" si="1"/>
        <v>5125750</v>
      </c>
      <c r="E81" s="49">
        <f>VLOOKUP($A81,'Data shares'!$C:$FA,128)*100</f>
        <v>5.7799999999999994</v>
      </c>
      <c r="F81" s="49">
        <f>VLOOKUP($A81,'Data shares'!$C:$FA,129)</f>
        <v>600625</v>
      </c>
      <c r="G81" s="17"/>
    </row>
    <row r="82" spans="1:7" x14ac:dyDescent="0.25">
      <c r="A82" s="101" t="s">
        <v>552</v>
      </c>
      <c r="B82" s="17">
        <v>23447901</v>
      </c>
      <c r="C82" s="17">
        <v>3785600</v>
      </c>
      <c r="D82" s="17">
        <f t="shared" si="1"/>
        <v>3785600</v>
      </c>
      <c r="E82" s="49">
        <f>VLOOKUP($A82,'Data shares'!$C:$FA,128)*100</f>
        <v>6.84</v>
      </c>
      <c r="F82" s="49">
        <f>VLOOKUP($A82,'Data shares'!$C:$FA,129)</f>
        <v>735000</v>
      </c>
      <c r="G82" s="17"/>
    </row>
    <row r="83" spans="1:7" x14ac:dyDescent="0.25">
      <c r="A83" s="101" t="s">
        <v>204</v>
      </c>
      <c r="B83" s="17">
        <v>115362060</v>
      </c>
      <c r="C83" s="17">
        <v>19043750</v>
      </c>
      <c r="D83" s="17">
        <f t="shared" si="1"/>
        <v>19043750</v>
      </c>
      <c r="E83" s="49">
        <f>VLOOKUP($A83,'Data shares'!$C:$FA,128)*100</f>
        <v>7.9600000000000009</v>
      </c>
      <c r="F83" s="49">
        <f>VLOOKUP($A83,'Data shares'!$C:$FA,129)</f>
        <v>2063750</v>
      </c>
      <c r="G83" s="17"/>
    </row>
    <row r="84" spans="1:7" x14ac:dyDescent="0.25">
      <c r="A84" s="101" t="s">
        <v>528</v>
      </c>
      <c r="B84" s="17">
        <v>23485458</v>
      </c>
      <c r="C84" s="17">
        <v>4272800</v>
      </c>
      <c r="D84" s="17">
        <f t="shared" si="1"/>
        <v>4272800</v>
      </c>
      <c r="E84" s="49">
        <f>VLOOKUP($A84,'Data shares'!$C:$FA,128)*100</f>
        <v>3.5700000000000003</v>
      </c>
      <c r="F84" s="49">
        <f>VLOOKUP($A84,'Data shares'!$C:$FA,129)</f>
        <v>134400</v>
      </c>
      <c r="G84" s="17"/>
    </row>
    <row r="85" spans="1:7" x14ac:dyDescent="0.25">
      <c r="A85" s="101" t="s">
        <v>551</v>
      </c>
      <c r="B85" s="17">
        <v>39593365</v>
      </c>
      <c r="C85" s="17">
        <v>12215000</v>
      </c>
      <c r="D85" s="17">
        <f t="shared" si="1"/>
        <v>12215000</v>
      </c>
      <c r="E85" s="49">
        <f>VLOOKUP($A85,'Data shares'!$C:$FA,128)*100</f>
        <v>2.98</v>
      </c>
      <c r="F85" s="49">
        <f>VLOOKUP($A85,'Data shares'!$C:$FA,129)</f>
        <v>121500</v>
      </c>
      <c r="G85" s="17"/>
    </row>
    <row r="86" spans="1:7" x14ac:dyDescent="0.25">
      <c r="A86" s="101" t="s">
        <v>292</v>
      </c>
      <c r="B86" s="17">
        <v>355933451</v>
      </c>
      <c r="C86" s="17">
        <v>204117000</v>
      </c>
      <c r="D86" s="17">
        <f t="shared" si="1"/>
        <v>204117000</v>
      </c>
      <c r="E86" s="49">
        <f>VLOOKUP($A86,'Data shares'!$C:$FA,128)*100</f>
        <v>23.9</v>
      </c>
      <c r="F86" s="49">
        <f>VLOOKUP($A86,'Data shares'!$C:$FA,129)</f>
        <v>8631200</v>
      </c>
      <c r="G86" s="17"/>
    </row>
    <row r="87" spans="1:7" x14ac:dyDescent="0.25">
      <c r="A87" s="101" t="s">
        <v>239</v>
      </c>
      <c r="B87" s="17">
        <v>117569462</v>
      </c>
      <c r="C87" s="17">
        <v>39785400</v>
      </c>
      <c r="D87" s="17">
        <f t="shared" si="1"/>
        <v>39785400</v>
      </c>
      <c r="E87" s="49">
        <f>VLOOKUP($A87,'Data shares'!$C:$FA,128)*100</f>
        <v>8.07</v>
      </c>
      <c r="F87" s="49">
        <f>VLOOKUP($A87,'Data shares'!$C:$FA,129)</f>
        <v>3706500</v>
      </c>
      <c r="G87" s="17"/>
    </row>
    <row r="88" spans="1:7" x14ac:dyDescent="0.25">
      <c r="A88" s="101" t="s">
        <v>513</v>
      </c>
      <c r="B88" s="17">
        <v>16619018</v>
      </c>
      <c r="C88" s="17">
        <v>3155425</v>
      </c>
      <c r="D88" s="17">
        <f t="shared" si="1"/>
        <v>3155425</v>
      </c>
      <c r="E88" s="49">
        <f>VLOOKUP($A88,'Data shares'!$C:$FA,128)*100</f>
        <v>8.27</v>
      </c>
      <c r="F88" s="49">
        <f>VLOOKUP($A88,'Data shares'!$C:$FA,129)</f>
        <v>702750</v>
      </c>
      <c r="G88" s="17"/>
    </row>
    <row r="89" spans="1:7" x14ac:dyDescent="0.25">
      <c r="A89" s="101" t="s">
        <v>224</v>
      </c>
      <c r="B89" s="17">
        <v>669931623</v>
      </c>
      <c r="C89" s="17">
        <v>82663350</v>
      </c>
      <c r="D89" s="17">
        <f t="shared" si="1"/>
        <v>82663350</v>
      </c>
      <c r="E89" s="49">
        <f>VLOOKUP($A89,'Data shares'!$C:$FA,128)*100</f>
        <v>5.4</v>
      </c>
      <c r="F89" s="49">
        <f>VLOOKUP($A89,'Data shares'!$C:$FA,129)</f>
        <v>9969300</v>
      </c>
      <c r="G89" s="17"/>
    </row>
    <row r="90" spans="1:7" x14ac:dyDescent="0.25">
      <c r="A90" s="101" t="s">
        <v>232</v>
      </c>
      <c r="B90" s="17">
        <v>1110506052</v>
      </c>
      <c r="C90" s="17">
        <v>174065375</v>
      </c>
      <c r="D90" s="17">
        <f t="shared" si="1"/>
        <v>174065375</v>
      </c>
      <c r="E90" s="49">
        <f>VLOOKUP($A90,'Data shares'!$C:$FA,128)*100</f>
        <v>6.65</v>
      </c>
      <c r="F90" s="49">
        <f>VLOOKUP($A90,'Data shares'!$C:$FA,129)</f>
        <v>6006000</v>
      </c>
      <c r="G90" s="17"/>
    </row>
    <row r="91" spans="1:7" x14ac:dyDescent="0.25">
      <c r="A91" s="101" t="s">
        <v>223</v>
      </c>
      <c r="B91" s="17">
        <v>362202362</v>
      </c>
      <c r="C91" s="17">
        <v>34249800</v>
      </c>
      <c r="D91" s="17">
        <f t="shared" si="1"/>
        <v>34249800</v>
      </c>
      <c r="E91" s="49">
        <f>VLOOKUP($A91,'Data shares'!$C:$FA,128)*100</f>
        <v>5.6000000000000005</v>
      </c>
      <c r="F91" s="49">
        <f>VLOOKUP($A91,'Data shares'!$C:$FA,129)</f>
        <v>912450</v>
      </c>
      <c r="G91" s="17"/>
    </row>
    <row r="92" spans="1:7" x14ac:dyDescent="0.25">
      <c r="A92" s="101" t="s">
        <v>218</v>
      </c>
      <c r="B92" s="17">
        <v>23110810</v>
      </c>
      <c r="C92" s="17">
        <v>6940375</v>
      </c>
      <c r="D92" s="17">
        <f t="shared" si="1"/>
        <v>6940375</v>
      </c>
      <c r="E92" s="49">
        <f>VLOOKUP($A92,'Data shares'!$C:$FA,128)*100</f>
        <v>4.3099999999999996</v>
      </c>
      <c r="F92" s="49">
        <f>VLOOKUP($A92,'Data shares'!$C:$FA,129)</f>
        <v>266200</v>
      </c>
      <c r="G92" s="17"/>
    </row>
    <row r="93" spans="1:7" x14ac:dyDescent="0.25">
      <c r="A93" s="101" t="s">
        <v>236</v>
      </c>
      <c r="B93" s="17">
        <v>77000080</v>
      </c>
      <c r="C93" s="17">
        <v>25785375</v>
      </c>
      <c r="D93" s="17">
        <f t="shared" si="1"/>
        <v>25785375</v>
      </c>
      <c r="E93" s="49">
        <f>VLOOKUP($A93,'Data shares'!$C:$FA,128)*100</f>
        <v>9.4499999999999993</v>
      </c>
      <c r="F93" s="49">
        <f>VLOOKUP($A93,'Data shares'!$C:$FA,129)</f>
        <v>1798500</v>
      </c>
      <c r="G93" s="17"/>
    </row>
    <row r="94" spans="1:7" x14ac:dyDescent="0.25">
      <c r="A94" s="101" t="s">
        <v>246</v>
      </c>
      <c r="B94" s="17">
        <v>293666614</v>
      </c>
      <c r="C94" s="17">
        <v>30730800</v>
      </c>
      <c r="D94" s="17">
        <f t="shared" si="1"/>
        <v>30730800</v>
      </c>
      <c r="E94" s="49">
        <f>VLOOKUP($A94,'Data shares'!$C:$FA,128)*100</f>
        <v>5.9700000000000006</v>
      </c>
      <c r="F94" s="49">
        <f>VLOOKUP($A94,'Data shares'!$C:$FA,129)</f>
        <v>1681200</v>
      </c>
      <c r="G94" s="17"/>
    </row>
    <row r="95" spans="1:7" x14ac:dyDescent="0.25">
      <c r="A95" s="101" t="s">
        <v>532</v>
      </c>
      <c r="B95" s="17">
        <v>32892110</v>
      </c>
      <c r="C95" s="17">
        <v>6216000</v>
      </c>
      <c r="D95" s="17">
        <f t="shared" si="1"/>
        <v>6216000</v>
      </c>
      <c r="E95" s="49">
        <f>VLOOKUP($A95,'Data shares'!$C:$FA,128)*100</f>
        <v>3.25</v>
      </c>
      <c r="F95" s="49">
        <f>VLOOKUP($A95,'Data shares'!$C:$FA,129)</f>
        <v>521050</v>
      </c>
      <c r="G95" s="17"/>
    </row>
    <row r="96" spans="1:7" x14ac:dyDescent="0.25">
      <c r="A96" s="101" t="s">
        <v>242</v>
      </c>
      <c r="B96" s="17">
        <v>2461627231</v>
      </c>
      <c r="C96" s="17">
        <v>322832000</v>
      </c>
      <c r="D96" s="17">
        <f t="shared" si="1"/>
        <v>322832000</v>
      </c>
      <c r="E96" s="49">
        <f>VLOOKUP($A96,'Data shares'!$C:$FA,128)*100</f>
        <v>10.23</v>
      </c>
      <c r="F96" s="49">
        <f>VLOOKUP($A96,'Data shares'!$C:$FA,129)</f>
        <v>11929600</v>
      </c>
      <c r="G96" s="17"/>
    </row>
    <row r="97" spans="1:7" x14ac:dyDescent="0.25">
      <c r="A97" s="101" t="s">
        <v>165</v>
      </c>
      <c r="B97" s="17">
        <v>20321931</v>
      </c>
      <c r="C97" s="17">
        <v>3675125</v>
      </c>
      <c r="D97" s="17">
        <f t="shared" si="1"/>
        <v>3675125</v>
      </c>
      <c r="E97" s="49">
        <f>VLOOKUP($A97,'Data shares'!$C:$FA,128)*100</f>
        <v>2.1800000000000002</v>
      </c>
      <c r="F97" s="49">
        <f>VLOOKUP($A97,'Data shares'!$C:$FA,129)</f>
        <v>55375</v>
      </c>
      <c r="G97" s="17"/>
    </row>
    <row r="98" spans="1:7" x14ac:dyDescent="0.25">
      <c r="A98" s="101" t="s">
        <v>503</v>
      </c>
      <c r="B98" s="17">
        <v>17788750</v>
      </c>
      <c r="C98" s="17">
        <v>925925</v>
      </c>
      <c r="D98" s="17">
        <f t="shared" si="1"/>
        <v>925925</v>
      </c>
      <c r="E98" s="49">
        <f>VLOOKUP($A98,'Data shares'!$C:$FA,128)*100</f>
        <v>4.46</v>
      </c>
      <c r="F98" s="49">
        <f>VLOOKUP($A98,'Data shares'!$C:$FA,129)</f>
        <v>371025</v>
      </c>
      <c r="G98" s="17"/>
    </row>
    <row r="99" spans="1:7" x14ac:dyDescent="0.25">
      <c r="A99" s="101" t="s">
        <v>192</v>
      </c>
      <c r="B99" s="17">
        <v>1737683</v>
      </c>
      <c r="C99" s="17">
        <v>235900</v>
      </c>
      <c r="D99" s="17">
        <f t="shared" si="1"/>
        <v>235900</v>
      </c>
      <c r="E99" s="49">
        <f>VLOOKUP($A99,'Data shares'!$C:$FA,128)*100</f>
        <v>3.37</v>
      </c>
      <c r="F99" s="49">
        <f>VLOOKUP($A99,'Data shares'!$C:$FA,129)</f>
        <v>8175</v>
      </c>
      <c r="G99" s="17"/>
    </row>
    <row r="100" spans="1:7" x14ac:dyDescent="0.25">
      <c r="A100" s="101" t="s">
        <v>531</v>
      </c>
      <c r="B100" s="17">
        <v>33015657</v>
      </c>
      <c r="C100" s="17">
        <v>9033700</v>
      </c>
      <c r="D100" s="17">
        <f t="shared" si="1"/>
        <v>9033700</v>
      </c>
      <c r="E100" s="49">
        <f>VLOOKUP($A100,'Data shares'!$C:$FA,128)*100</f>
        <v>10.190000000000001</v>
      </c>
      <c r="F100" s="49">
        <f>VLOOKUP($A100,'Data shares'!$C:$FA,129)</f>
        <v>1205625</v>
      </c>
      <c r="G100" s="17"/>
    </row>
    <row r="101" spans="1:7" x14ac:dyDescent="0.25">
      <c r="A101" s="101" t="s">
        <v>494</v>
      </c>
      <c r="B101" s="17">
        <v>147873568</v>
      </c>
      <c r="C101" s="17">
        <v>20386400</v>
      </c>
      <c r="D101" s="17">
        <f t="shared" si="1"/>
        <v>20386400</v>
      </c>
      <c r="E101" s="49">
        <f>VLOOKUP($A101,'Data shares'!$C:$FA,128)*100</f>
        <v>7.8</v>
      </c>
      <c r="F101" s="49">
        <f>VLOOKUP($A101,'Data shares'!$C:$FA,129)</f>
        <v>3776400</v>
      </c>
      <c r="G101" s="17"/>
    </row>
    <row r="102" spans="1:7" x14ac:dyDescent="0.25">
      <c r="A102" s="101" t="s">
        <v>473</v>
      </c>
      <c r="B102" s="17">
        <v>162372116</v>
      </c>
      <c r="C102" s="17">
        <v>43206800</v>
      </c>
      <c r="D102" s="17">
        <f t="shared" si="1"/>
        <v>43206800</v>
      </c>
      <c r="E102" s="49">
        <f>VLOOKUP($A102,'Data shares'!$C:$FA,128)*100</f>
        <v>3.49</v>
      </c>
      <c r="F102" s="49">
        <f>VLOOKUP($A102,'Data shares'!$C:$FA,129)</f>
        <v>2913800</v>
      </c>
      <c r="G102" s="17"/>
    </row>
    <row r="103" spans="1:7" x14ac:dyDescent="0.25">
      <c r="A103" s="101" t="s">
        <v>225</v>
      </c>
      <c r="B103" s="17">
        <v>187118353</v>
      </c>
      <c r="C103" s="17">
        <v>49800300</v>
      </c>
      <c r="D103" s="17">
        <f t="shared" si="1"/>
        <v>49800300</v>
      </c>
      <c r="E103" s="49">
        <f>VLOOKUP($A103,'Data shares'!$C:$FA,128)*100</f>
        <v>4.78</v>
      </c>
      <c r="F103" s="49">
        <f>VLOOKUP($A103,'Data shares'!$C:$FA,129)</f>
        <v>697400</v>
      </c>
      <c r="G103" s="17"/>
    </row>
    <row r="104" spans="1:7" x14ac:dyDescent="0.25">
      <c r="A104" s="101" t="s">
        <v>504</v>
      </c>
      <c r="B104" s="17">
        <v>12641694</v>
      </c>
      <c r="C104" s="17">
        <v>6728400</v>
      </c>
      <c r="D104" s="17">
        <f t="shared" si="1"/>
        <v>6728400</v>
      </c>
      <c r="E104" s="49">
        <f>VLOOKUP($A104,'Data shares'!$C:$FA,128)*100</f>
        <v>2.13</v>
      </c>
      <c r="F104" s="49">
        <f>VLOOKUP($A104,'Data shares'!$C:$FA,129)</f>
        <v>50200</v>
      </c>
      <c r="G104" s="17"/>
    </row>
    <row r="105" spans="1:7" x14ac:dyDescent="0.25">
      <c r="A105" s="101" t="s">
        <v>537</v>
      </c>
      <c r="B105" s="17">
        <v>6343591</v>
      </c>
      <c r="C105" s="17">
        <v>1262250</v>
      </c>
      <c r="D105" s="17">
        <f t="shared" si="1"/>
        <v>1262250</v>
      </c>
      <c r="E105" s="49">
        <f>VLOOKUP($A105,'Data shares'!$C:$FA,128)*100</f>
        <v>12.76</v>
      </c>
      <c r="F105" s="49">
        <f>VLOOKUP($A105,'Data shares'!$C:$FA,129)</f>
        <v>1390875</v>
      </c>
      <c r="G105" s="17"/>
    </row>
    <row r="106" spans="1:7" x14ac:dyDescent="0.25">
      <c r="A106" s="101" t="s">
        <v>256</v>
      </c>
      <c r="B106" s="17">
        <v>62880735</v>
      </c>
      <c r="C106" s="17">
        <v>20391250</v>
      </c>
      <c r="D106" s="17">
        <f t="shared" si="1"/>
        <v>20391250</v>
      </c>
      <c r="E106" s="49">
        <f>VLOOKUP($A106,'Data shares'!$C:$FA,128)*100</f>
        <v>8.76</v>
      </c>
      <c r="F106" s="49">
        <f>VLOOKUP($A106,'Data shares'!$C:$FA,129)</f>
        <v>274925</v>
      </c>
      <c r="G106" s="17"/>
    </row>
    <row r="107" spans="1:7" x14ac:dyDescent="0.25">
      <c r="A107" s="101" t="s">
        <v>514</v>
      </c>
      <c r="B107" s="17">
        <v>179174844</v>
      </c>
      <c r="C107" s="17">
        <v>67477500</v>
      </c>
      <c r="D107" s="17">
        <f t="shared" si="1"/>
        <v>67477500</v>
      </c>
      <c r="E107" s="49">
        <f>VLOOKUP($A107,'Data shares'!$C:$FA,128)*100</f>
        <v>18.14</v>
      </c>
      <c r="F107" s="49">
        <f>VLOOKUP($A107,'Data shares'!$C:$FA,129)</f>
        <v>11617500</v>
      </c>
      <c r="G107" s="17"/>
    </row>
    <row r="108" spans="1:7" x14ac:dyDescent="0.25">
      <c r="A108" s="101" t="s">
        <v>272</v>
      </c>
      <c r="B108" s="17">
        <v>150000017</v>
      </c>
      <c r="C108" s="17">
        <v>35217000</v>
      </c>
      <c r="D108" s="17">
        <f t="shared" si="1"/>
        <v>35217000</v>
      </c>
      <c r="E108" s="49">
        <f>VLOOKUP($A108,'Data shares'!$C:$FA,128)*100</f>
        <v>10.16</v>
      </c>
      <c r="F108" s="49">
        <f>VLOOKUP($A108,'Data shares'!$C:$FA,129)</f>
        <v>2023200</v>
      </c>
      <c r="G108" s="17"/>
    </row>
    <row r="109" spans="1:7" x14ac:dyDescent="0.25">
      <c r="A109" s="101" t="s">
        <v>470</v>
      </c>
      <c r="B109" s="17">
        <v>6091932</v>
      </c>
      <c r="C109" s="17">
        <v>1893300</v>
      </c>
      <c r="D109" s="17">
        <f t="shared" si="1"/>
        <v>1893300</v>
      </c>
      <c r="E109" s="49">
        <f>VLOOKUP($A109,'Data shares'!$C:$FA,128)*100</f>
        <v>2.7199999999999998</v>
      </c>
      <c r="F109" s="49">
        <f>VLOOKUP($A109,'Data shares'!$C:$FA,129)</f>
        <v>299250</v>
      </c>
      <c r="G109" s="17"/>
    </row>
    <row r="110" spans="1:7" x14ac:dyDescent="0.25">
      <c r="A110" s="101" t="s">
        <v>176</v>
      </c>
      <c r="B110" s="17">
        <v>12437219</v>
      </c>
      <c r="C110" s="17">
        <v>1155950</v>
      </c>
      <c r="D110" s="17">
        <f t="shared" si="1"/>
        <v>1155950</v>
      </c>
      <c r="E110" s="49">
        <f>VLOOKUP($A110,'Data shares'!$C:$FA,128)*100</f>
        <v>2.92</v>
      </c>
      <c r="F110" s="49">
        <f>VLOOKUP($A110,'Data shares'!$C:$FA,129)</f>
        <v>404000</v>
      </c>
      <c r="G110" s="17"/>
    </row>
    <row r="111" spans="1:7" x14ac:dyDescent="0.25">
      <c r="A111" s="101" t="s">
        <v>524</v>
      </c>
      <c r="B111" s="17">
        <v>16479425</v>
      </c>
      <c r="C111" s="17">
        <v>1670750</v>
      </c>
      <c r="D111" s="17">
        <f t="shared" si="1"/>
        <v>1670750</v>
      </c>
      <c r="E111" s="49">
        <f>VLOOKUP($A111,'Data shares'!$C:$FA,128)*100</f>
        <v>3.46</v>
      </c>
      <c r="F111" s="49">
        <f>VLOOKUP($A111,'Data shares'!$C:$FA,129)</f>
        <v>58825</v>
      </c>
      <c r="G111" s="17"/>
    </row>
    <row r="112" spans="1:7" x14ac:dyDescent="0.25">
      <c r="A112" s="101" t="s">
        <v>487</v>
      </c>
      <c r="B112" s="17">
        <v>16533935</v>
      </c>
      <c r="C112" s="17">
        <v>1807050</v>
      </c>
      <c r="D112" s="17">
        <f t="shared" si="1"/>
        <v>1807050</v>
      </c>
      <c r="E112" s="49">
        <f>VLOOKUP($A112,'Data shares'!$C:$FA,128)*100</f>
        <v>2.08</v>
      </c>
      <c r="F112" s="49">
        <f>VLOOKUP($A112,'Data shares'!$C:$FA,129)</f>
        <v>78925</v>
      </c>
      <c r="G112" s="17"/>
    </row>
    <row r="113" spans="1:7" x14ac:dyDescent="0.25">
      <c r="A113" s="101" t="s">
        <v>305</v>
      </c>
      <c r="B113" s="17">
        <v>46126252</v>
      </c>
      <c r="C113" s="17">
        <v>7513500</v>
      </c>
      <c r="D113" s="17">
        <f t="shared" si="1"/>
        <v>7513500</v>
      </c>
      <c r="E113" s="49">
        <f>VLOOKUP($A113,'Data shares'!$C:$FA,128)*100</f>
        <v>12.76</v>
      </c>
      <c r="F113" s="49">
        <f>VLOOKUP($A113,'Data shares'!$C:$FA,129)</f>
        <v>1390875</v>
      </c>
      <c r="G113" s="17"/>
    </row>
    <row r="114" spans="1:7" x14ac:dyDescent="0.25">
      <c r="A114" s="101" t="s">
        <v>238</v>
      </c>
      <c r="B114" s="17">
        <v>19428657</v>
      </c>
      <c r="C114" s="17">
        <v>5637750</v>
      </c>
      <c r="D114" s="17">
        <f t="shared" si="1"/>
        <v>5637750</v>
      </c>
      <c r="E114" s="49">
        <f>VLOOKUP($A114,'Data shares'!$C:$FA,128)*100</f>
        <v>5.47</v>
      </c>
      <c r="F114" s="49">
        <f>VLOOKUP($A114,'Data shares'!$C:$FA,129)</f>
        <v>316950</v>
      </c>
      <c r="G114" s="17"/>
    </row>
    <row r="115" spans="1:7" x14ac:dyDescent="0.25">
      <c r="A115" s="101" t="s">
        <v>527</v>
      </c>
      <c r="B115" s="17">
        <v>7494363</v>
      </c>
      <c r="C115" s="17">
        <v>739375</v>
      </c>
      <c r="D115" s="17">
        <f t="shared" si="1"/>
        <v>739375</v>
      </c>
      <c r="E115" s="49">
        <f>VLOOKUP($A115,'Data shares'!$C:$FA,128)*100</f>
        <v>12.870000000000001</v>
      </c>
      <c r="F115" s="49">
        <f>VLOOKUP($A115,'Data shares'!$C:$FA,129)</f>
        <v>15547600</v>
      </c>
      <c r="G115" s="17"/>
    </row>
    <row r="116" spans="1:7" x14ac:dyDescent="0.25">
      <c r="A116" s="101" t="s">
        <v>489</v>
      </c>
      <c r="B116" s="17">
        <v>9087752</v>
      </c>
      <c r="C116" s="17">
        <v>1575750</v>
      </c>
      <c r="D116" s="17">
        <f t="shared" si="1"/>
        <v>1575750</v>
      </c>
      <c r="E116" s="49">
        <f>VLOOKUP($A116,'Data shares'!$C:$FA,128)*100</f>
        <v>7.870000000000001</v>
      </c>
      <c r="F116" s="49">
        <f>VLOOKUP($A116,'Data shares'!$C:$FA,129)</f>
        <v>2953844</v>
      </c>
      <c r="G116" s="17"/>
    </row>
    <row r="117" spans="1:7" x14ac:dyDescent="0.25">
      <c r="A117" s="101" t="s">
        <v>484</v>
      </c>
      <c r="B117" s="17">
        <v>3300938</v>
      </c>
      <c r="C117" s="17">
        <v>190125</v>
      </c>
      <c r="D117" s="17">
        <f t="shared" si="1"/>
        <v>190125</v>
      </c>
      <c r="E117" s="49">
        <f>VLOOKUP($A117,'Data shares'!$C:$FA,128)*100</f>
        <v>13.03</v>
      </c>
      <c r="F117" s="49">
        <f>VLOOKUP($A117,'Data shares'!$C:$FA,129)</f>
        <v>6197100</v>
      </c>
      <c r="G117" s="17"/>
    </row>
    <row r="118" spans="1:7" x14ac:dyDescent="0.25">
      <c r="A118" s="101" t="s">
        <v>285</v>
      </c>
      <c r="B118" s="17">
        <v>17806068</v>
      </c>
      <c r="C118" s="17">
        <v>1857900</v>
      </c>
      <c r="D118" s="17">
        <f t="shared" si="1"/>
        <v>1857900</v>
      </c>
      <c r="E118" s="49">
        <f>VLOOKUP($A118,'Data shares'!$C:$FA,128)*100</f>
        <v>6.3299999999999992</v>
      </c>
      <c r="F118" s="49">
        <f>VLOOKUP($A118,'Data shares'!$C:$FA,129)</f>
        <v>105125</v>
      </c>
      <c r="G118" s="17"/>
    </row>
    <row r="119" spans="1:7" x14ac:dyDescent="0.25">
      <c r="A119" s="101" t="s">
        <v>554</v>
      </c>
      <c r="B119" s="17">
        <v>18562709</v>
      </c>
      <c r="C119" s="17">
        <v>2173500</v>
      </c>
      <c r="D119" s="17">
        <f t="shared" si="1"/>
        <v>2173500</v>
      </c>
      <c r="E119" s="49">
        <f>VLOOKUP($A119,'Data shares'!$C:$FA,128)*100</f>
        <v>6.25</v>
      </c>
      <c r="F119" s="49">
        <f>VLOOKUP($A119,'Data shares'!$C:$FA,129)</f>
        <v>2781200</v>
      </c>
      <c r="G119" s="17"/>
    </row>
    <row r="120" spans="1:7" x14ac:dyDescent="0.25">
      <c r="A120" s="101" t="s">
        <v>293</v>
      </c>
      <c r="B120" s="17">
        <v>339616396</v>
      </c>
      <c r="C120" s="17">
        <v>214528500</v>
      </c>
      <c r="D120" s="17">
        <f t="shared" si="1"/>
        <v>214528500</v>
      </c>
      <c r="E120" s="49">
        <f>VLOOKUP($A120,'Data shares'!$C:$FA,128)*100</f>
        <v>4.4799999999999995</v>
      </c>
      <c r="F120" s="49">
        <f>VLOOKUP($A120,'Data shares'!$C:$FA,129)</f>
        <v>2147450</v>
      </c>
      <c r="G120" s="17"/>
    </row>
    <row r="121" spans="1:7" x14ac:dyDescent="0.25">
      <c r="A121" s="101" t="s">
        <v>282</v>
      </c>
      <c r="B121" s="17">
        <v>289139949</v>
      </c>
      <c r="C121" s="17">
        <v>230878500</v>
      </c>
      <c r="D121" s="17">
        <f t="shared" si="1"/>
        <v>230878500</v>
      </c>
      <c r="E121" s="49">
        <f>VLOOKUP($A121,'Data shares'!$C:$FA,128)*100</f>
        <v>6.75</v>
      </c>
      <c r="F121" s="49">
        <f>VLOOKUP($A121,'Data shares'!$C:$FA,129)</f>
        <v>12976700</v>
      </c>
      <c r="G121" s="17"/>
    </row>
    <row r="122" spans="1:7" x14ac:dyDescent="0.25">
      <c r="A122" s="101" t="s">
        <v>248</v>
      </c>
      <c r="B122" s="17">
        <v>60244101</v>
      </c>
      <c r="C122" s="17">
        <v>36578000</v>
      </c>
      <c r="D122" s="17">
        <f t="shared" si="1"/>
        <v>36578000</v>
      </c>
      <c r="E122" s="49">
        <f>VLOOKUP($A122,'Data shares'!$C:$FA,128)*100</f>
        <v>6.2</v>
      </c>
      <c r="F122" s="49">
        <f>VLOOKUP($A122,'Data shares'!$C:$FA,129)</f>
        <v>1620000</v>
      </c>
      <c r="G122" s="17"/>
    </row>
    <row r="123" spans="1:7" x14ac:dyDescent="0.25">
      <c r="A123" s="101" t="s">
        <v>189</v>
      </c>
      <c r="B123" s="17">
        <v>510707358</v>
      </c>
      <c r="C123" s="17">
        <v>94385350</v>
      </c>
      <c r="D123" s="17">
        <f t="shared" si="1"/>
        <v>94385350</v>
      </c>
      <c r="E123" s="49">
        <f>VLOOKUP($A123,'Data shares'!$C:$FA,128)*100</f>
        <v>8.73</v>
      </c>
      <c r="F123" s="49">
        <f>VLOOKUP($A123,'Data shares'!$C:$FA,129)</f>
        <v>3625200</v>
      </c>
      <c r="G123" s="17"/>
    </row>
    <row r="124" spans="1:7" x14ac:dyDescent="0.25">
      <c r="A124" s="101" t="s">
        <v>213</v>
      </c>
      <c r="B124" s="17">
        <v>425164259</v>
      </c>
      <c r="C124" s="17">
        <v>85375600</v>
      </c>
      <c r="D124" s="17">
        <f t="shared" si="1"/>
        <v>85375600</v>
      </c>
      <c r="E124" s="49">
        <f>VLOOKUP($A124,'Data shares'!$C:$FA,128)*100</f>
        <v>6.65</v>
      </c>
      <c r="F124" s="49">
        <f>VLOOKUP($A124,'Data shares'!$C:$FA,129)</f>
        <v>6375600</v>
      </c>
      <c r="G124" s="17"/>
    </row>
    <row r="125" spans="1:7" x14ac:dyDescent="0.25">
      <c r="A125" s="101" t="s">
        <v>295</v>
      </c>
      <c r="B125" s="17">
        <v>205769415</v>
      </c>
      <c r="C125" s="17">
        <v>21452100</v>
      </c>
      <c r="D125" s="17">
        <f t="shared" si="1"/>
        <v>21452100</v>
      </c>
      <c r="E125" s="49">
        <f>VLOOKUP($A125,'Data shares'!$C:$FA,128)*100</f>
        <v>12.509999999999998</v>
      </c>
      <c r="F125" s="49">
        <f>VLOOKUP($A125,'Data shares'!$C:$FA,129)</f>
        <v>3311000</v>
      </c>
      <c r="G125" s="17"/>
    </row>
    <row r="126" spans="1:7" x14ac:dyDescent="0.25">
      <c r="A126" s="101" t="s">
        <v>490</v>
      </c>
      <c r="B126" s="17">
        <v>52165566</v>
      </c>
      <c r="C126" s="17">
        <v>22212750</v>
      </c>
      <c r="D126" s="17">
        <f t="shared" si="1"/>
        <v>22212750</v>
      </c>
      <c r="E126" s="49">
        <f>VLOOKUP($A126,'Data shares'!$C:$FA,128)*100</f>
        <v>14.31</v>
      </c>
      <c r="F126" s="49">
        <f>VLOOKUP($A126,'Data shares'!$C:$FA,129)</f>
        <v>2134125</v>
      </c>
      <c r="G126" s="17"/>
    </row>
    <row r="127" spans="1:7" x14ac:dyDescent="0.25">
      <c r="A127" s="101" t="s">
        <v>260</v>
      </c>
      <c r="B127" s="17">
        <v>241729538</v>
      </c>
      <c r="C127" s="17">
        <v>65383500</v>
      </c>
      <c r="D127" s="17">
        <f t="shared" si="1"/>
        <v>65383500</v>
      </c>
      <c r="E127" s="49">
        <f>VLOOKUP($A127,'Data shares'!$C:$FA,128)*100</f>
        <v>5.26</v>
      </c>
      <c r="F127" s="49">
        <f>VLOOKUP($A127,'Data shares'!$C:$FA,129)</f>
        <v>8118000</v>
      </c>
      <c r="G127" s="17"/>
    </row>
    <row r="128" spans="1:7" x14ac:dyDescent="0.25">
      <c r="A128" s="101" t="s">
        <v>171</v>
      </c>
      <c r="B128" s="17">
        <v>56444627</v>
      </c>
      <c r="C128" s="17">
        <v>23336250</v>
      </c>
      <c r="D128" s="17">
        <f t="shared" si="1"/>
        <v>23336250</v>
      </c>
      <c r="E128" s="49">
        <f>VLOOKUP($A128,'Data shares'!$C:$FA,128)*100</f>
        <v>3.56</v>
      </c>
      <c r="F128" s="49">
        <f>VLOOKUP($A128,'Data shares'!$C:$FA,129)</f>
        <v>635800</v>
      </c>
      <c r="G128" s="17"/>
    </row>
    <row r="129" spans="1:7" x14ac:dyDescent="0.25">
      <c r="A129" s="101" t="s">
        <v>462</v>
      </c>
      <c r="B129" s="17">
        <v>88648462</v>
      </c>
      <c r="C129" s="17">
        <v>11150250</v>
      </c>
      <c r="D129" s="17">
        <f t="shared" si="1"/>
        <v>11150250</v>
      </c>
      <c r="E129" s="49">
        <f>VLOOKUP($A129,'Data shares'!$C:$FA,128)*100</f>
        <v>3.9899999999999998</v>
      </c>
      <c r="F129" s="49">
        <f>VLOOKUP($A129,'Data shares'!$C:$FA,129)</f>
        <v>239625</v>
      </c>
      <c r="G129" s="17"/>
    </row>
    <row r="130" spans="1:7" x14ac:dyDescent="0.25">
      <c r="A130" s="101" t="s">
        <v>274</v>
      </c>
      <c r="B130" s="17">
        <v>30511703</v>
      </c>
      <c r="C130" s="17">
        <v>3556000</v>
      </c>
      <c r="D130" s="17">
        <f t="shared" si="1"/>
        <v>3556000</v>
      </c>
      <c r="E130" s="49">
        <f>VLOOKUP($A130,'Data shares'!$C:$FA,128)*100</f>
        <v>1.44</v>
      </c>
      <c r="F130" s="49">
        <f>VLOOKUP($A130,'Data shares'!$C:$FA,129)</f>
        <v>126000</v>
      </c>
      <c r="G130" s="17"/>
    </row>
    <row r="131" spans="1:7" x14ac:dyDescent="0.25">
      <c r="A131" s="101" t="s">
        <v>279</v>
      </c>
      <c r="B131" s="17">
        <v>119890099</v>
      </c>
      <c r="C131" s="17">
        <v>77232800</v>
      </c>
      <c r="D131" s="17">
        <f t="shared" si="1"/>
        <v>77232800</v>
      </c>
      <c r="E131" s="49">
        <f>VLOOKUP($A131,'Data shares'!$C:$FA,128)*100</f>
        <v>27.51</v>
      </c>
      <c r="F131" s="49">
        <f>VLOOKUP($A131,'Data shares'!$C:$FA,129)</f>
        <v>3276600</v>
      </c>
      <c r="G131" s="17"/>
    </row>
    <row r="132" spans="1:7" x14ac:dyDescent="0.25">
      <c r="A132" s="101" t="s">
        <v>247</v>
      </c>
      <c r="B132" s="17">
        <v>180580821</v>
      </c>
      <c r="C132" s="17">
        <v>128041552</v>
      </c>
      <c r="D132" s="17">
        <f t="shared" si="1"/>
        <v>128041552</v>
      </c>
      <c r="E132" s="49">
        <f>VLOOKUP($A132,'Data shares'!$C:$FA,128)*100</f>
        <v>11.85</v>
      </c>
      <c r="F132" s="49">
        <f>VLOOKUP($A132,'Data shares'!$C:$FA,129)</f>
        <v>511600</v>
      </c>
      <c r="G132" s="17"/>
    </row>
    <row r="133" spans="1:7" x14ac:dyDescent="0.25">
      <c r="A133" s="101" t="s">
        <v>291</v>
      </c>
      <c r="B133" s="17">
        <v>120211514</v>
      </c>
      <c r="C133" s="17">
        <v>18359325</v>
      </c>
      <c r="D133" s="17">
        <f t="shared" si="1"/>
        <v>18359325</v>
      </c>
      <c r="E133" s="49">
        <f>VLOOKUP($A133,'Data shares'!$C:$FA,128)*100</f>
        <v>2.19</v>
      </c>
      <c r="F133" s="49">
        <f>VLOOKUP($A133,'Data shares'!$C:$FA,129)</f>
        <v>323400</v>
      </c>
      <c r="G133" s="17"/>
    </row>
    <row r="134" spans="1:7" x14ac:dyDescent="0.25">
      <c r="A134" s="101" t="s">
        <v>269</v>
      </c>
      <c r="B134" s="17">
        <v>996134149</v>
      </c>
      <c r="C134" s="17">
        <v>204565900</v>
      </c>
      <c r="D134" s="17">
        <f t="shared" si="1"/>
        <v>204565900</v>
      </c>
      <c r="E134" s="49">
        <f>VLOOKUP($A134,'Data shares'!$C:$FA,128)*100</f>
        <v>3.92</v>
      </c>
      <c r="F134" s="49">
        <f>VLOOKUP($A134,'Data shares'!$C:$FA,129)</f>
        <v>3325500</v>
      </c>
      <c r="G134" s="17"/>
    </row>
    <row r="135" spans="1:7" x14ac:dyDescent="0.25">
      <c r="A135" s="101" t="s">
        <v>217</v>
      </c>
      <c r="B135" s="17">
        <v>75218562</v>
      </c>
      <c r="C135" s="17">
        <v>11613000</v>
      </c>
      <c r="D135" s="17">
        <f t="shared" ref="D135:D161" si="2">C135</f>
        <v>11613000</v>
      </c>
      <c r="E135" s="49">
        <f>VLOOKUP($A135,'Data shares'!$C:$FA,128)*100</f>
        <v>5.48</v>
      </c>
      <c r="F135" s="49">
        <f>VLOOKUP($A135,'Data shares'!$C:$FA,129)</f>
        <v>597500</v>
      </c>
      <c r="G135" s="17"/>
    </row>
    <row r="136" spans="1:7" x14ac:dyDescent="0.25">
      <c r="A136" s="101" t="s">
        <v>495</v>
      </c>
      <c r="B136" s="17">
        <v>44974045</v>
      </c>
      <c r="C136" s="17">
        <v>4232500</v>
      </c>
      <c r="D136" s="17">
        <f t="shared" si="2"/>
        <v>4232500</v>
      </c>
      <c r="E136" s="49">
        <f>VLOOKUP($A136,'Data shares'!$C:$FA,128)*100</f>
        <v>3.37</v>
      </c>
      <c r="F136" s="49">
        <f>VLOOKUP($A136,'Data shares'!$C:$FA,129)</f>
        <v>504000</v>
      </c>
      <c r="G136" s="17"/>
    </row>
    <row r="137" spans="1:7" x14ac:dyDescent="0.25">
      <c r="A137" s="101" t="s">
        <v>250</v>
      </c>
      <c r="B137" s="17">
        <v>48318354</v>
      </c>
      <c r="C137" s="17">
        <v>18007250</v>
      </c>
      <c r="D137" s="17">
        <f t="shared" si="2"/>
        <v>18007250</v>
      </c>
      <c r="E137" s="49">
        <f>VLOOKUP($A137,'Data shares'!$C:$FA,128)*100</f>
        <v>2.27</v>
      </c>
      <c r="F137" s="49">
        <f>VLOOKUP($A137,'Data shares'!$C:$FA,129)</f>
        <v>213350</v>
      </c>
      <c r="G137" s="17"/>
    </row>
    <row r="138" spans="1:7" x14ac:dyDescent="0.25">
      <c r="A138" s="101" t="s">
        <v>278</v>
      </c>
      <c r="B138" s="17">
        <v>27187764</v>
      </c>
      <c r="C138" s="17">
        <v>3521550</v>
      </c>
      <c r="D138" s="17">
        <f t="shared" si="2"/>
        <v>3521550</v>
      </c>
      <c r="E138" s="49">
        <f>VLOOKUP($A138,'Data shares'!$C:$FA,128)*100</f>
        <v>2.98</v>
      </c>
      <c r="F138" s="49">
        <f>VLOOKUP($A138,'Data shares'!$C:$FA,129)</f>
        <v>121500</v>
      </c>
      <c r="G138" s="17"/>
    </row>
    <row r="139" spans="1:7" x14ac:dyDescent="0.25">
      <c r="A139" s="101" t="s">
        <v>163</v>
      </c>
      <c r="B139" s="17">
        <v>24576009</v>
      </c>
      <c r="C139" s="17">
        <v>11979000</v>
      </c>
      <c r="D139" s="17">
        <f t="shared" si="2"/>
        <v>11979000</v>
      </c>
      <c r="E139" s="49">
        <f>VLOOKUP($A139,'Data shares'!$C:$FA,128)*100</f>
        <v>1.1100000000000001</v>
      </c>
      <c r="F139" s="49">
        <f>VLOOKUP($A139,'Data shares'!$C:$FA,129)</f>
        <v>16250</v>
      </c>
      <c r="G139" s="17"/>
    </row>
    <row r="140" spans="1:7" x14ac:dyDescent="0.25">
      <c r="A140" s="101" t="s">
        <v>289</v>
      </c>
      <c r="B140" s="17">
        <v>19704232</v>
      </c>
      <c r="C140" s="17">
        <v>15520500</v>
      </c>
      <c r="D140" s="17">
        <f t="shared" si="2"/>
        <v>15520500</v>
      </c>
      <c r="E140" s="49">
        <f>VLOOKUP($A140,'Data shares'!$C:$FA,128)*100</f>
        <v>4.92</v>
      </c>
      <c r="F140" s="49">
        <f>VLOOKUP($A140,'Data shares'!$C:$FA,129)</f>
        <v>570500</v>
      </c>
      <c r="G140" s="17"/>
    </row>
    <row r="141" spans="1:7" x14ac:dyDescent="0.25">
      <c r="A141" s="101" t="s">
        <v>529</v>
      </c>
      <c r="B141" s="17">
        <v>10012679</v>
      </c>
      <c r="C141" s="17">
        <v>530550</v>
      </c>
      <c r="D141" s="17">
        <f t="shared" si="2"/>
        <v>530550</v>
      </c>
      <c r="E141" s="49">
        <f>VLOOKUP($A141,'Data shares'!$C:$FA,128)*100</f>
        <v>3.6900000000000004</v>
      </c>
      <c r="F141" s="49">
        <f>VLOOKUP($A141,'Data shares'!$C:$FA,129)</f>
        <v>97200</v>
      </c>
      <c r="G141" s="17"/>
    </row>
    <row r="142" spans="1:7" x14ac:dyDescent="0.25">
      <c r="A142" s="101" t="s">
        <v>265</v>
      </c>
      <c r="B142" s="17">
        <v>7180127</v>
      </c>
      <c r="C142" s="17">
        <v>429550</v>
      </c>
      <c r="D142" s="17">
        <f t="shared" si="2"/>
        <v>429550</v>
      </c>
      <c r="E142" s="49">
        <f>VLOOKUP($A142,'Data shares'!$C:$FA,128)*100</f>
        <v>9.7799999999999994</v>
      </c>
      <c r="F142" s="49">
        <f>VLOOKUP($A142,'Data shares'!$C:$FA,129)</f>
        <v>1653500</v>
      </c>
      <c r="G142" s="17"/>
    </row>
    <row r="143" spans="1:7" x14ac:dyDescent="0.25">
      <c r="A143" s="101" t="s">
        <v>486</v>
      </c>
      <c r="B143" s="17">
        <v>32559242</v>
      </c>
      <c r="C143" s="17">
        <v>4156800</v>
      </c>
      <c r="D143" s="17">
        <f t="shared" si="2"/>
        <v>4156800</v>
      </c>
      <c r="E143" s="49">
        <f>VLOOKUP($A143,'Data shares'!$C:$FA,128)*100</f>
        <v>6.3299999999999992</v>
      </c>
      <c r="F143" s="49">
        <f>VLOOKUP($A143,'Data shares'!$C:$FA,129)</f>
        <v>134200</v>
      </c>
      <c r="G143" s="17"/>
    </row>
    <row r="144" spans="1:7" x14ac:dyDescent="0.25">
      <c r="A144" s="101" t="s">
        <v>190</v>
      </c>
      <c r="B144" s="17">
        <v>256482590</v>
      </c>
      <c r="C144" s="17">
        <v>208761000</v>
      </c>
      <c r="D144" s="17">
        <f t="shared" si="2"/>
        <v>208761000</v>
      </c>
      <c r="E144" s="49">
        <f>VLOOKUP($A144,'Data shares'!$C:$FA,128)*100</f>
        <v>5.27</v>
      </c>
      <c r="F144" s="49">
        <f>VLOOKUP($A144,'Data shares'!$C:$FA,129)</f>
        <v>2709000</v>
      </c>
      <c r="G144" s="17"/>
    </row>
    <row r="145" spans="1:7" x14ac:dyDescent="0.25">
      <c r="A145" s="101" t="s">
        <v>303</v>
      </c>
      <c r="B145" s="17">
        <v>109653438</v>
      </c>
      <c r="C145" s="17">
        <v>37709100</v>
      </c>
      <c r="D145" s="17">
        <f t="shared" si="2"/>
        <v>37709100</v>
      </c>
      <c r="E145" s="49">
        <f>VLOOKUP($A145,'Data shares'!$C:$FA,128)*100</f>
        <v>3.35</v>
      </c>
      <c r="F145" s="49">
        <f>VLOOKUP($A145,'Data shares'!$C:$FA,129)</f>
        <v>1056900</v>
      </c>
      <c r="G145" s="17"/>
    </row>
    <row r="146" spans="1:7" x14ac:dyDescent="0.25">
      <c r="A146" s="101" t="s">
        <v>255</v>
      </c>
      <c r="B146" s="17">
        <v>26359259</v>
      </c>
      <c r="C146" s="17">
        <v>6916100</v>
      </c>
      <c r="D146" s="17">
        <f t="shared" si="2"/>
        <v>6916100</v>
      </c>
      <c r="E146" s="49">
        <f>VLOOKUP($A146,'Data shares'!$C:$FA,128)*100</f>
        <v>5.56</v>
      </c>
      <c r="F146" s="49">
        <f>VLOOKUP($A146,'Data shares'!$C:$FA,129)</f>
        <v>131300</v>
      </c>
      <c r="G146" s="17"/>
    </row>
    <row r="147" spans="1:7" x14ac:dyDescent="0.25">
      <c r="A147" s="101" t="s">
        <v>180</v>
      </c>
      <c r="B147" s="17">
        <v>372635498</v>
      </c>
      <c r="C147" s="17">
        <v>233426700</v>
      </c>
      <c r="D147" s="17">
        <f t="shared" si="2"/>
        <v>233426700</v>
      </c>
      <c r="E147" s="49">
        <f>VLOOKUP($A147,'Data shares'!$C:$FA,128)*100</f>
        <v>4.7300000000000004</v>
      </c>
      <c r="F147" s="49">
        <f>VLOOKUP($A147,'Data shares'!$C:$FA,129)</f>
        <v>5039775</v>
      </c>
      <c r="G147" s="17"/>
    </row>
    <row r="148" spans="1:7" x14ac:dyDescent="0.25">
      <c r="A148" s="101" t="s">
        <v>179</v>
      </c>
      <c r="B148" s="17">
        <v>193321473</v>
      </c>
      <c r="C148" s="17">
        <v>47098800</v>
      </c>
      <c r="D148" s="17">
        <f t="shared" si="2"/>
        <v>47098800</v>
      </c>
      <c r="E148" s="49">
        <f>VLOOKUP($A148,'Data shares'!$C:$FA,128)*100</f>
        <v>18.360000000000003</v>
      </c>
      <c r="F148" s="49">
        <f>VLOOKUP($A148,'Data shares'!$C:$FA,129)</f>
        <v>17110800</v>
      </c>
    </row>
    <row r="149" spans="1:7" x14ac:dyDescent="0.25">
      <c r="A149" s="101" t="s">
        <v>253</v>
      </c>
      <c r="B149" s="17">
        <v>109926618</v>
      </c>
      <c r="C149" s="17">
        <v>54285000</v>
      </c>
      <c r="D149" s="17">
        <f t="shared" si="2"/>
        <v>54285000</v>
      </c>
      <c r="E149" s="49">
        <f>VLOOKUP($A149,'Data shares'!$C:$FA,128)*100</f>
        <v>6.68</v>
      </c>
      <c r="F149" s="49">
        <f>VLOOKUP($A149,'Data shares'!$C:$FA,129)</f>
        <v>1605000</v>
      </c>
    </row>
    <row r="150" spans="1:7" x14ac:dyDescent="0.25">
      <c r="A150" s="101" t="s">
        <v>261</v>
      </c>
      <c r="B150" s="17">
        <v>611563</v>
      </c>
      <c r="C150" s="17">
        <v>120180</v>
      </c>
      <c r="D150" s="17">
        <f t="shared" si="2"/>
        <v>120180</v>
      </c>
      <c r="E150" s="49">
        <f>VLOOKUP($A150,'Data shares'!$C:$FA,128)*100</f>
        <v>2.08</v>
      </c>
      <c r="F150" s="49">
        <f>VLOOKUP($A150,'Data shares'!$C:$FA,129)</f>
        <v>78925</v>
      </c>
    </row>
    <row r="151" spans="1:7" x14ac:dyDescent="0.25">
      <c r="A151" s="101" t="s">
        <v>164</v>
      </c>
      <c r="B151" s="17">
        <v>145854205</v>
      </c>
      <c r="C151" s="17">
        <v>46824000</v>
      </c>
      <c r="D151" s="17">
        <f t="shared" si="2"/>
        <v>46824000</v>
      </c>
      <c r="E151" s="49">
        <f>VLOOKUP($A151,'Data shares'!$C:$FA,128)*100</f>
        <v>3.75</v>
      </c>
      <c r="F151" s="49">
        <f>VLOOKUP($A151,'Data shares'!$C:$FA,129)</f>
        <v>1389150</v>
      </c>
    </row>
    <row r="152" spans="1:7" x14ac:dyDescent="0.25">
      <c r="A152" s="101" t="s">
        <v>526</v>
      </c>
      <c r="B152" s="17">
        <v>44365911</v>
      </c>
      <c r="C152" s="17">
        <v>20668300</v>
      </c>
      <c r="D152" s="17">
        <f t="shared" si="2"/>
        <v>20668300</v>
      </c>
      <c r="E152" s="49">
        <f>VLOOKUP($A152,'Data shares'!$C:$FA,128)*100</f>
        <v>6.58</v>
      </c>
      <c r="F152" s="49">
        <f>VLOOKUP($A152,'Data shares'!$C:$FA,129)</f>
        <v>1910000</v>
      </c>
    </row>
    <row r="153" spans="1:7" x14ac:dyDescent="0.25">
      <c r="A153" s="101" t="s">
        <v>515</v>
      </c>
      <c r="B153" s="17">
        <v>3083179</v>
      </c>
      <c r="C153" s="17">
        <v>492075</v>
      </c>
      <c r="D153" s="17">
        <f t="shared" si="2"/>
        <v>492075</v>
      </c>
      <c r="E153" s="49">
        <f>VLOOKUP($A153,'Data shares'!$C:$FA,128)*100</f>
        <v>6.58</v>
      </c>
      <c r="F153" s="49">
        <f>VLOOKUP($A153,'Data shares'!$C:$FA,129)</f>
        <v>1910000</v>
      </c>
    </row>
    <row r="154" spans="1:7" x14ac:dyDescent="0.25">
      <c r="A154" s="101" t="s">
        <v>226</v>
      </c>
      <c r="B154" s="17">
        <v>26072630</v>
      </c>
      <c r="C154" s="17">
        <v>9897900</v>
      </c>
      <c r="D154" s="17">
        <f t="shared" si="2"/>
        <v>9897900</v>
      </c>
      <c r="E154" s="49">
        <f>VLOOKUP($A154,'Data shares'!$C:$FA,128)*100</f>
        <v>8.15</v>
      </c>
      <c r="F154" s="49">
        <f>VLOOKUP($A154,'Data shares'!$C:$FA,129)</f>
        <v>356100</v>
      </c>
    </row>
    <row r="155" spans="1:7" x14ac:dyDescent="0.25">
      <c r="A155" s="101" t="s">
        <v>544</v>
      </c>
      <c r="B155" s="17">
        <v>139989683</v>
      </c>
      <c r="C155" s="17">
        <v>28415200</v>
      </c>
      <c r="D155" s="17">
        <f t="shared" si="2"/>
        <v>28415200</v>
      </c>
      <c r="E155" s="49">
        <f>VLOOKUP($A155,'Data shares'!$C:$FA,128)*100</f>
        <v>3.8899999999999997</v>
      </c>
      <c r="F155" s="49">
        <f>VLOOKUP($A155,'Data shares'!$C:$FA,129)</f>
        <v>2768300</v>
      </c>
    </row>
    <row r="156" spans="1:7" x14ac:dyDescent="0.25">
      <c r="A156" s="101" t="s">
        <v>547</v>
      </c>
      <c r="B156" s="17">
        <v>65482129</v>
      </c>
      <c r="C156" s="17">
        <v>33944200</v>
      </c>
      <c r="D156" s="17">
        <f t="shared" si="2"/>
        <v>33944200</v>
      </c>
      <c r="E156" s="49">
        <f>VLOOKUP($A156,'Data shares'!$C:$FA,128)*100</f>
        <v>3.0300000000000002</v>
      </c>
      <c r="F156" s="49">
        <f>VLOOKUP($A156,'Data shares'!$C:$FA,129)</f>
        <v>1958600</v>
      </c>
    </row>
    <row r="157" spans="1:7" x14ac:dyDescent="0.25">
      <c r="A157" s="101" t="s">
        <v>499</v>
      </c>
      <c r="B157" s="17">
        <v>66687240</v>
      </c>
      <c r="C157" s="17">
        <v>16125200</v>
      </c>
      <c r="D157" s="17">
        <f t="shared" si="2"/>
        <v>16125200</v>
      </c>
      <c r="E157" s="49">
        <f>VLOOKUP($A157,'Data shares'!$C:$FA,128)*100</f>
        <v>3.8899999999999997</v>
      </c>
      <c r="F157" s="49">
        <f>VLOOKUP($A157,'Data shares'!$C:$FA,129)</f>
        <v>2768300</v>
      </c>
    </row>
    <row r="158" spans="1:7" x14ac:dyDescent="0.25">
      <c r="A158" s="101" t="s">
        <v>483</v>
      </c>
      <c r="B158" s="17">
        <v>16146181</v>
      </c>
      <c r="C158" s="17">
        <v>1914250</v>
      </c>
      <c r="D158" s="17">
        <f t="shared" si="2"/>
        <v>1914250</v>
      </c>
      <c r="E158" s="49">
        <f>VLOOKUP($A158,'Data shares'!$C:$FA,128)*100</f>
        <v>2.94</v>
      </c>
      <c r="F158" s="49">
        <f>VLOOKUP($A158,'Data shares'!$C:$FA,129)</f>
        <v>50050</v>
      </c>
    </row>
    <row r="159" spans="1:7" x14ac:dyDescent="0.25">
      <c r="A159" s="101" t="s">
        <v>546</v>
      </c>
      <c r="B159" s="17">
        <v>18282414</v>
      </c>
      <c r="C159" s="17">
        <v>13742300</v>
      </c>
      <c r="D159" s="17">
        <f t="shared" si="2"/>
        <v>13742300</v>
      </c>
      <c r="E159" s="49">
        <f>VLOOKUP($A159,'Data shares'!$C:$FA,128)*100</f>
        <v>7.57</v>
      </c>
      <c r="F159" s="49">
        <f>VLOOKUP($A159,'Data shares'!$C:$FA,129)</f>
        <v>15826275</v>
      </c>
    </row>
    <row r="160" spans="1:7" x14ac:dyDescent="0.25">
      <c r="A160" s="101" t="s">
        <v>220</v>
      </c>
      <c r="B160" s="17">
        <v>50687734</v>
      </c>
      <c r="C160" s="17">
        <v>6783500</v>
      </c>
      <c r="D160" s="17">
        <f t="shared" si="2"/>
        <v>6783500</v>
      </c>
      <c r="E160" s="49">
        <f>VLOOKUP($A160,'Data shares'!$C:$FA,128)*100</f>
        <v>4.87</v>
      </c>
      <c r="F160" s="49">
        <f>VLOOKUP($A160,'Data shares'!$C:$FA,129)</f>
        <v>472000</v>
      </c>
    </row>
    <row r="161" spans="1:6" x14ac:dyDescent="0.25">
      <c r="A161" s="101" t="s">
        <v>472</v>
      </c>
      <c r="B161" s="17">
        <v>50993734</v>
      </c>
      <c r="C161" s="17">
        <v>3803750</v>
      </c>
      <c r="D161" s="17">
        <f t="shared" si="2"/>
        <v>3803750</v>
      </c>
      <c r="E161" s="49">
        <f>VLOOKUP($A161,'Data shares'!$C:$FA,128)*100</f>
        <v>4.51</v>
      </c>
      <c r="F161" s="49">
        <f>VLOOKUP($A161,'Data shares'!$C:$FA,129)</f>
        <v>239200</v>
      </c>
    </row>
    <row r="162" spans="1:6" x14ac:dyDescent="0.25">
      <c r="A162" t="s">
        <v>535</v>
      </c>
      <c r="B162">
        <v>78168147</v>
      </c>
      <c r="C162">
        <v>9571500</v>
      </c>
      <c r="D162" s="17">
        <f t="shared" ref="D162:D204" si="3">C162</f>
        <v>9571500</v>
      </c>
      <c r="E162" s="49">
        <f>VLOOKUP($A162,'Data shares'!$C:$FA,128)*100</f>
        <v>9.09</v>
      </c>
      <c r="F162" s="49">
        <f>VLOOKUP($A162,'Data shares'!$C:$FA,129)</f>
        <v>2006000</v>
      </c>
    </row>
    <row r="163" spans="1:6" x14ac:dyDescent="0.25">
      <c r="A163" t="s">
        <v>492</v>
      </c>
      <c r="B163">
        <v>28779078</v>
      </c>
      <c r="C163">
        <v>14404150</v>
      </c>
      <c r="D163" s="17">
        <f t="shared" si="3"/>
        <v>14404150</v>
      </c>
      <c r="E163" s="49">
        <f>VLOOKUP($A163,'Data shares'!$C:$FA,128)*100</f>
        <v>4.3099999999999996</v>
      </c>
      <c r="F163" s="49">
        <f>VLOOKUP($A163,'Data shares'!$C:$FA,129)</f>
        <v>266200</v>
      </c>
    </row>
    <row r="164" spans="1:6" x14ac:dyDescent="0.25">
      <c r="A164" t="s">
        <v>298</v>
      </c>
      <c r="B164">
        <v>9731600</v>
      </c>
      <c r="C164">
        <v>863500</v>
      </c>
      <c r="D164" s="17">
        <f t="shared" si="3"/>
        <v>863500</v>
      </c>
      <c r="E164" s="49">
        <f>VLOOKUP($A164,'Data shares'!$C:$FA,128)*100</f>
        <v>0.80999999999999994</v>
      </c>
      <c r="F164" s="49">
        <f>VLOOKUP($A164,'Data shares'!$C:$FA,129)</f>
        <v>16250</v>
      </c>
    </row>
    <row r="165" spans="1:6" x14ac:dyDescent="0.25">
      <c r="A165" t="s">
        <v>548</v>
      </c>
      <c r="B165">
        <v>442076</v>
      </c>
      <c r="C165">
        <v>9615</v>
      </c>
      <c r="D165" s="17">
        <f t="shared" si="3"/>
        <v>9615</v>
      </c>
      <c r="E165" s="49">
        <f>VLOOKUP($A165,'Data shares'!$C:$FA,128)*100</f>
        <v>11.110000000000001</v>
      </c>
      <c r="F165" s="49">
        <f>VLOOKUP($A165,'Data shares'!$C:$FA,129)</f>
        <v>3367525</v>
      </c>
    </row>
    <row r="166" spans="1:6" x14ac:dyDescent="0.25">
      <c r="A166" t="s">
        <v>530</v>
      </c>
      <c r="B166">
        <v>3258166</v>
      </c>
      <c r="C166">
        <v>219750</v>
      </c>
      <c r="D166" s="17">
        <f t="shared" si="3"/>
        <v>219750</v>
      </c>
      <c r="E166" s="49">
        <f>VLOOKUP($A166,'Data shares'!$C:$FA,128)*100</f>
        <v>4.46</v>
      </c>
      <c r="F166" s="49">
        <f>VLOOKUP($A166,'Data shares'!$C:$FA,129)</f>
        <v>371025</v>
      </c>
    </row>
    <row r="167" spans="1:6" x14ac:dyDescent="0.25">
      <c r="A167" t="s">
        <v>249</v>
      </c>
      <c r="B167">
        <v>277168216</v>
      </c>
      <c r="C167">
        <v>21795375</v>
      </c>
      <c r="D167" s="17">
        <f t="shared" si="3"/>
        <v>21795375</v>
      </c>
      <c r="E167" s="49">
        <f>VLOOKUP($A167,'Data shares'!$C:$FA,128)*100</f>
        <v>5.27</v>
      </c>
      <c r="F167" s="49">
        <f>VLOOKUP($A167,'Data shares'!$C:$FA,129)</f>
        <v>734650</v>
      </c>
    </row>
    <row r="168" spans="1:6" x14ac:dyDescent="0.25">
      <c r="A168" t="s">
        <v>216</v>
      </c>
      <c r="B168">
        <v>484955219</v>
      </c>
      <c r="C168">
        <v>230400000</v>
      </c>
      <c r="D168" s="17">
        <f t="shared" si="3"/>
        <v>230400000</v>
      </c>
      <c r="E168" s="49">
        <f>VLOOKUP($A168,'Data shares'!$C:$FA,128)*100</f>
        <v>7.57</v>
      </c>
      <c r="F168" s="49">
        <f>VLOOKUP($A168,'Data shares'!$C:$FA,129)</f>
        <v>15826275</v>
      </c>
    </row>
    <row r="169" spans="1:6" x14ac:dyDescent="0.25">
      <c r="A169" t="s">
        <v>252</v>
      </c>
      <c r="B169">
        <v>117640832</v>
      </c>
      <c r="C169">
        <v>52456000</v>
      </c>
      <c r="D169" s="17">
        <f t="shared" si="3"/>
        <v>52456000</v>
      </c>
      <c r="E169" s="49">
        <f>VLOOKUP($A169,'Data shares'!$C:$FA,128)*100</f>
        <v>3.71</v>
      </c>
      <c r="F169" s="49">
        <f>VLOOKUP($A169,'Data shares'!$C:$FA,129)</f>
        <v>590800</v>
      </c>
    </row>
    <row r="170" spans="1:6" x14ac:dyDescent="0.25">
      <c r="A170" t="s">
        <v>205</v>
      </c>
      <c r="B170">
        <v>25513876</v>
      </c>
      <c r="C170">
        <v>3302300</v>
      </c>
      <c r="D170" s="17">
        <f t="shared" si="3"/>
        <v>3302300</v>
      </c>
      <c r="E170" s="49">
        <f>VLOOKUP($A170,'Data shares'!$C:$FA,128)*100</f>
        <v>5.86</v>
      </c>
      <c r="F170" s="49">
        <f>VLOOKUP($A170,'Data shares'!$C:$FA,129)</f>
        <v>159100</v>
      </c>
    </row>
    <row r="171" spans="1:6" x14ac:dyDescent="0.25">
      <c r="A171" t="s">
        <v>194</v>
      </c>
      <c r="B171">
        <v>202646440</v>
      </c>
      <c r="C171">
        <v>52470000</v>
      </c>
      <c r="D171" s="17">
        <f t="shared" si="3"/>
        <v>52470000</v>
      </c>
      <c r="E171" s="49">
        <f>VLOOKUP($A171,'Data shares'!$C:$FA,128)*100</f>
        <v>4.87</v>
      </c>
      <c r="F171" s="49">
        <f>VLOOKUP($A171,'Data shares'!$C:$FA,129)</f>
        <v>1653075</v>
      </c>
    </row>
    <row r="172" spans="1:6" x14ac:dyDescent="0.25">
      <c r="A172" t="s">
        <v>263</v>
      </c>
      <c r="B172">
        <v>178967755</v>
      </c>
      <c r="C172">
        <v>142910500</v>
      </c>
      <c r="D172" s="17">
        <f t="shared" si="3"/>
        <v>142910500</v>
      </c>
      <c r="E172" s="49">
        <f>VLOOKUP($A172,'Data shares'!$C:$FA,128)*100</f>
        <v>6.92</v>
      </c>
      <c r="F172" s="49">
        <f>VLOOKUP($A172,'Data shares'!$C:$FA,129)</f>
        <v>4736250</v>
      </c>
    </row>
    <row r="173" spans="1:6" x14ac:dyDescent="0.25">
      <c r="A173" t="s">
        <v>476</v>
      </c>
      <c r="B173">
        <v>40446155</v>
      </c>
      <c r="C173">
        <v>4358800</v>
      </c>
      <c r="D173" s="17">
        <f t="shared" si="3"/>
        <v>4358800</v>
      </c>
      <c r="E173" s="49">
        <f>VLOOKUP($A173,'Data shares'!$C:$FA,128)*100</f>
        <v>5.3199999999999994</v>
      </c>
      <c r="F173" s="49">
        <f>VLOOKUP($A173,'Data shares'!$C:$FA,129)</f>
        <v>128000</v>
      </c>
    </row>
    <row r="174" spans="1:6" x14ac:dyDescent="0.25">
      <c r="A174" t="s">
        <v>187</v>
      </c>
      <c r="B174">
        <v>51436398</v>
      </c>
      <c r="C174">
        <v>7413750</v>
      </c>
      <c r="D174" s="17">
        <f t="shared" si="3"/>
        <v>7413750</v>
      </c>
      <c r="E174" s="49">
        <f>VLOOKUP($A174,'Data shares'!$C:$FA,128)*100</f>
        <v>14.49</v>
      </c>
      <c r="F174" s="49">
        <f>VLOOKUP($A174,'Data shares'!$C:$FA,129)</f>
        <v>1278500</v>
      </c>
    </row>
    <row r="175" spans="1:6" x14ac:dyDescent="0.25">
      <c r="A175" t="s">
        <v>493</v>
      </c>
      <c r="B175">
        <v>14814614</v>
      </c>
      <c r="C175">
        <v>3344250</v>
      </c>
      <c r="D175" s="17">
        <f t="shared" si="3"/>
        <v>3344250</v>
      </c>
      <c r="E175" s="49">
        <f>VLOOKUP($A175,'Data shares'!$C:$FA,128)*100</f>
        <v>3.46</v>
      </c>
      <c r="F175" s="49">
        <f>VLOOKUP($A175,'Data shares'!$C:$FA,129)</f>
        <v>58825</v>
      </c>
    </row>
    <row r="176" spans="1:6" x14ac:dyDescent="0.25">
      <c r="A176" t="s">
        <v>525</v>
      </c>
      <c r="B176">
        <v>35635456</v>
      </c>
      <c r="C176">
        <v>28959300</v>
      </c>
      <c r="D176" s="17">
        <f t="shared" si="3"/>
        <v>28959300</v>
      </c>
      <c r="E176" s="49">
        <f>VLOOKUP($A176,'Data shares'!$C:$FA,128)*100</f>
        <v>7.1099999999999994</v>
      </c>
      <c r="F176" s="49">
        <f>VLOOKUP($A176,'Data shares'!$C:$FA,129)</f>
        <v>1022975</v>
      </c>
    </row>
    <row r="177" spans="1:6" x14ac:dyDescent="0.25">
      <c r="A177" t="s">
        <v>512</v>
      </c>
      <c r="B177">
        <v>7771646</v>
      </c>
      <c r="C177">
        <v>1119375</v>
      </c>
      <c r="D177" s="17">
        <f t="shared" si="3"/>
        <v>1119375</v>
      </c>
      <c r="E177" s="49">
        <f>VLOOKUP($A177,'Data shares'!$C:$FA,128)*100</f>
        <v>8.35</v>
      </c>
      <c r="F177" s="49">
        <f>VLOOKUP($A177,'Data shares'!$C:$FA,129)</f>
        <v>114500</v>
      </c>
    </row>
    <row r="178" spans="1:6" x14ac:dyDescent="0.25">
      <c r="A178" t="s">
        <v>233</v>
      </c>
      <c r="B178">
        <v>76432837</v>
      </c>
      <c r="C178">
        <v>9804000</v>
      </c>
      <c r="D178" s="17">
        <f t="shared" si="3"/>
        <v>9804000</v>
      </c>
      <c r="E178" s="49">
        <f>VLOOKUP($A178,'Data shares'!$C:$FA,128)*100</f>
        <v>4.34</v>
      </c>
      <c r="F178" s="49">
        <f>VLOOKUP($A178,'Data shares'!$C:$FA,129)</f>
        <v>453250</v>
      </c>
    </row>
    <row r="179" spans="1:6" x14ac:dyDescent="0.25">
      <c r="A179" t="s">
        <v>183</v>
      </c>
      <c r="B179">
        <v>12092405</v>
      </c>
      <c r="C179">
        <v>2606450</v>
      </c>
      <c r="D179" s="17">
        <f t="shared" si="3"/>
        <v>2606450</v>
      </c>
      <c r="E179" s="49">
        <f>VLOOKUP($A179,'Data shares'!$C:$FA,128)*100</f>
        <v>14.64</v>
      </c>
      <c r="F179" s="49">
        <f>VLOOKUP($A179,'Data shares'!$C:$FA,129)</f>
        <v>252805</v>
      </c>
    </row>
    <row r="180" spans="1:6" x14ac:dyDescent="0.25">
      <c r="A180" t="s">
        <v>280</v>
      </c>
      <c r="B180">
        <v>187084550</v>
      </c>
      <c r="C180">
        <v>50568000</v>
      </c>
      <c r="D180" s="17">
        <f t="shared" si="3"/>
        <v>50568000</v>
      </c>
      <c r="E180" s="49">
        <f>VLOOKUP($A180,'Data shares'!$C:$FA,128)*100</f>
        <v>24.11</v>
      </c>
      <c r="F180" s="49">
        <f>VLOOKUP($A180,'Data shares'!$C:$FA,129)</f>
        <v>21801225</v>
      </c>
    </row>
    <row r="181" spans="1:6" x14ac:dyDescent="0.25">
      <c r="A181" t="s">
        <v>166</v>
      </c>
      <c r="B181">
        <v>79597108</v>
      </c>
      <c r="C181">
        <v>26630000</v>
      </c>
      <c r="D181" s="17">
        <f t="shared" si="3"/>
        <v>26630000</v>
      </c>
      <c r="E181" s="49">
        <f>VLOOKUP($A181,'Data shares'!$C:$FA,128)*100</f>
        <v>2.1800000000000002</v>
      </c>
      <c r="F181" s="49">
        <f>VLOOKUP($A181,'Data shares'!$C:$FA,129)</f>
        <v>55375</v>
      </c>
    </row>
    <row r="182" spans="1:6" x14ac:dyDescent="0.25">
      <c r="A182" t="s">
        <v>241</v>
      </c>
      <c r="B182">
        <v>913205148</v>
      </c>
      <c r="C182">
        <v>118527500</v>
      </c>
      <c r="D182" s="17">
        <f t="shared" si="3"/>
        <v>118527500</v>
      </c>
      <c r="E182" s="49">
        <f>VLOOKUP($A182,'Data shares'!$C:$FA,128)*100</f>
        <v>7.22</v>
      </c>
      <c r="F182" s="49">
        <f>VLOOKUP($A182,'Data shares'!$C:$FA,129)</f>
        <v>6625125</v>
      </c>
    </row>
    <row r="183" spans="1:6" x14ac:dyDescent="0.25">
      <c r="A183" t="s">
        <v>517</v>
      </c>
      <c r="B183">
        <v>10180563</v>
      </c>
      <c r="C183">
        <v>3926650</v>
      </c>
      <c r="D183" s="17">
        <f t="shared" si="3"/>
        <v>3926650</v>
      </c>
      <c r="E183" s="49">
        <f>VLOOKUP($A183,'Data shares'!$C:$FA,128)*100</f>
        <v>7.41</v>
      </c>
      <c r="F183" s="49">
        <f>VLOOKUP($A183,'Data shares'!$C:$FA,129)</f>
        <v>173125</v>
      </c>
    </row>
    <row r="184" spans="1:6" x14ac:dyDescent="0.25">
      <c r="A184" t="s">
        <v>211</v>
      </c>
      <c r="B184">
        <v>91809066</v>
      </c>
      <c r="C184">
        <v>33516000</v>
      </c>
      <c r="D184" s="17">
        <f t="shared" si="3"/>
        <v>33516000</v>
      </c>
      <c r="E184" s="49">
        <f>VLOOKUP($A184,'Data shares'!$C:$FA,128)*100</f>
        <v>8.15</v>
      </c>
      <c r="F184" s="49">
        <f>VLOOKUP($A184,'Data shares'!$C:$FA,129)</f>
        <v>2070000</v>
      </c>
    </row>
    <row r="185" spans="1:6" x14ac:dyDescent="0.25">
      <c r="A185" t="s">
        <v>518</v>
      </c>
      <c r="B185">
        <v>4636018</v>
      </c>
      <c r="C185">
        <v>608375</v>
      </c>
      <c r="D185" s="17">
        <f t="shared" si="3"/>
        <v>608375</v>
      </c>
      <c r="E185" s="49">
        <f>VLOOKUP($A185,'Data shares'!$C:$FA,128)*100</f>
        <v>6.72</v>
      </c>
      <c r="F185" s="49">
        <f>VLOOKUP($A185,'Data shares'!$C:$FA,129)</f>
        <v>68775</v>
      </c>
    </row>
    <row r="186" spans="1:6" x14ac:dyDescent="0.25">
      <c r="A186" t="s">
        <v>511</v>
      </c>
      <c r="B186">
        <v>18644752</v>
      </c>
      <c r="C186">
        <v>4227600</v>
      </c>
      <c r="D186" s="17">
        <f t="shared" si="3"/>
        <v>4227600</v>
      </c>
      <c r="E186" s="49">
        <f>VLOOKUP($A186,'Data shares'!$C:$FA,128)*100</f>
        <v>9.9</v>
      </c>
      <c r="F186" s="49">
        <f>VLOOKUP($A186,'Data shares'!$C:$FA,129)</f>
        <v>23901750</v>
      </c>
    </row>
    <row r="187" spans="1:6" x14ac:dyDescent="0.25">
      <c r="A187" t="s">
        <v>186</v>
      </c>
      <c r="B187">
        <v>48589957</v>
      </c>
      <c r="C187">
        <v>5942200</v>
      </c>
      <c r="D187" s="17">
        <f t="shared" si="3"/>
        <v>5942200</v>
      </c>
      <c r="E187" s="49">
        <f>VLOOKUP($A187,'Data shares'!$C:$FA,128)*100</f>
        <v>10.7</v>
      </c>
      <c r="F187" s="49">
        <f>VLOOKUP($A187,'Data shares'!$C:$FA,129)</f>
        <v>11243250</v>
      </c>
    </row>
    <row r="188" spans="1:6" x14ac:dyDescent="0.25">
      <c r="A188" t="s">
        <v>522</v>
      </c>
      <c r="B188">
        <v>1063050</v>
      </c>
      <c r="C188">
        <v>54050</v>
      </c>
      <c r="D188" s="17">
        <f t="shared" si="3"/>
        <v>54050</v>
      </c>
      <c r="E188" s="49">
        <f>VLOOKUP($A188,'Data shares'!$C:$FA,128)*100</f>
        <v>7.9799999999999995</v>
      </c>
      <c r="F188" s="49">
        <f>VLOOKUP($A188,'Data shares'!$C:$FA,129)</f>
        <v>146125</v>
      </c>
    </row>
    <row r="189" spans="1:6" x14ac:dyDescent="0.25">
      <c r="A189" t="s">
        <v>300</v>
      </c>
      <c r="B189">
        <v>45360865</v>
      </c>
      <c r="C189">
        <v>14277200</v>
      </c>
      <c r="D189" s="17">
        <f t="shared" si="3"/>
        <v>14277200</v>
      </c>
      <c r="E189" s="49">
        <f>VLOOKUP($A189,'Data shares'!$C:$FA,128)*100</f>
        <v>1.91</v>
      </c>
      <c r="F189" s="49">
        <f>VLOOKUP($A189,'Data shares'!$C:$FA,129)</f>
        <v>146300</v>
      </c>
    </row>
    <row r="190" spans="1:6" x14ac:dyDescent="0.25">
      <c r="A190" t="s">
        <v>520</v>
      </c>
      <c r="B190">
        <v>23139622</v>
      </c>
      <c r="C190">
        <v>1555500</v>
      </c>
      <c r="D190" s="17">
        <f t="shared" si="3"/>
        <v>1555500</v>
      </c>
      <c r="E190" s="49">
        <f>VLOOKUP($A190,'Data shares'!$C:$FA,128)*100</f>
        <v>6.84</v>
      </c>
      <c r="F190" s="49">
        <f>VLOOKUP($A190,'Data shares'!$C:$FA,129)</f>
        <v>735000</v>
      </c>
    </row>
    <row r="191" spans="1:6" x14ac:dyDescent="0.25">
      <c r="A191" t="s">
        <v>294</v>
      </c>
      <c r="B191">
        <v>161436977</v>
      </c>
      <c r="C191">
        <v>59382700</v>
      </c>
      <c r="D191" s="17">
        <f t="shared" si="3"/>
        <v>59382700</v>
      </c>
      <c r="E191" s="49">
        <f>VLOOKUP($A191,'Data shares'!$C:$FA,128)*100</f>
        <v>6.13</v>
      </c>
      <c r="F191" s="49">
        <f>VLOOKUP($A191,'Data shares'!$C:$FA,129)</f>
        <v>11170500</v>
      </c>
    </row>
    <row r="192" spans="1:6" x14ac:dyDescent="0.25">
      <c r="A192" t="s">
        <v>244</v>
      </c>
      <c r="B192">
        <v>265685393</v>
      </c>
      <c r="C192">
        <v>44023500</v>
      </c>
      <c r="D192" s="17">
        <f t="shared" si="3"/>
        <v>44023500</v>
      </c>
      <c r="E192" s="49">
        <f>VLOOKUP($A192,'Data shares'!$C:$FA,128)*100</f>
        <v>1.35</v>
      </c>
      <c r="F192" s="49">
        <f>VLOOKUP($A192,'Data shares'!$C:$FA,129)</f>
        <v>579825</v>
      </c>
    </row>
    <row r="193" spans="1:6" x14ac:dyDescent="0.25">
      <c r="A193" t="s">
        <v>160</v>
      </c>
      <c r="B193">
        <v>145684825</v>
      </c>
      <c r="C193">
        <v>110820000</v>
      </c>
      <c r="D193" s="17">
        <f t="shared" si="3"/>
        <v>110820000</v>
      </c>
      <c r="E193" s="49">
        <f>VLOOKUP($A193,'Data shares'!$C:$FA,128)*100</f>
        <v>4.66</v>
      </c>
      <c r="F193" s="49">
        <f>VLOOKUP($A193,'Data shares'!$C:$FA,129)</f>
        <v>887300</v>
      </c>
    </row>
    <row r="194" spans="1:6" x14ac:dyDescent="0.25">
      <c r="A194" t="s">
        <v>496</v>
      </c>
      <c r="B194">
        <v>11999202</v>
      </c>
      <c r="C194">
        <v>2345700</v>
      </c>
      <c r="D194" s="17">
        <f t="shared" si="3"/>
        <v>2345700</v>
      </c>
      <c r="E194" s="49">
        <f>VLOOKUP($A194,'Data shares'!$C:$FA,128)*100</f>
        <v>1.0999999999999999</v>
      </c>
      <c r="F194" s="49">
        <f>VLOOKUP($A194,'Data shares'!$C:$FA,129)</f>
        <v>94850</v>
      </c>
    </row>
    <row r="195" spans="1:6" x14ac:dyDescent="0.25">
      <c r="A195" t="s">
        <v>230</v>
      </c>
      <c r="B195">
        <v>179034270</v>
      </c>
      <c r="C195">
        <v>24257400</v>
      </c>
      <c r="D195" s="17">
        <f t="shared" si="3"/>
        <v>24257400</v>
      </c>
      <c r="E195" s="49">
        <f>VLOOKUP($A195,'Data shares'!$C:$FA,128)*100</f>
        <v>6.58</v>
      </c>
      <c r="F195" s="49">
        <f>VLOOKUP($A195,'Data shares'!$C:$FA,129)</f>
        <v>831300</v>
      </c>
    </row>
    <row r="196" spans="1:6" x14ac:dyDescent="0.25">
      <c r="A196" t="s">
        <v>203</v>
      </c>
      <c r="B196">
        <v>27165463</v>
      </c>
      <c r="C196">
        <v>3318000</v>
      </c>
      <c r="D196" s="17">
        <f t="shared" si="3"/>
        <v>3318000</v>
      </c>
      <c r="E196" s="49">
        <f>VLOOKUP($A196,'Data shares'!$C:$FA,128)*100</f>
        <v>2.27</v>
      </c>
      <c r="F196" s="49">
        <f>VLOOKUP($A196,'Data shares'!$C:$FA,129)</f>
        <v>47400</v>
      </c>
    </row>
    <row r="197" spans="1:6" x14ac:dyDescent="0.25">
      <c r="A197" t="s">
        <v>251</v>
      </c>
      <c r="B197">
        <v>184464522</v>
      </c>
      <c r="C197">
        <v>32566800</v>
      </c>
      <c r="D197" s="17">
        <f t="shared" si="3"/>
        <v>32566800</v>
      </c>
      <c r="E197" s="49">
        <f>VLOOKUP($A197,'Data shares'!$C:$FA,128)*100</f>
        <v>3.71</v>
      </c>
      <c r="F197" s="49">
        <f>VLOOKUP($A197,'Data shares'!$C:$FA,129)</f>
        <v>590800</v>
      </c>
    </row>
    <row r="198" spans="1:6" x14ac:dyDescent="0.25">
      <c r="A198" t="s">
        <v>254</v>
      </c>
      <c r="B198">
        <v>104419539</v>
      </c>
      <c r="C198">
        <v>12741000</v>
      </c>
      <c r="D198" s="17">
        <f t="shared" si="3"/>
        <v>12741000</v>
      </c>
      <c r="E198" s="49">
        <f>VLOOKUP($A198,'Data shares'!$C:$FA,128)*100</f>
        <v>0.74</v>
      </c>
      <c r="F198" s="49">
        <f>VLOOKUP($A198,'Data shares'!$C:$FA,129)</f>
        <v>181200</v>
      </c>
    </row>
    <row r="199" spans="1:6" x14ac:dyDescent="0.25">
      <c r="A199" t="s">
        <v>159</v>
      </c>
      <c r="B199">
        <v>55169320</v>
      </c>
      <c r="C199">
        <v>29565500</v>
      </c>
      <c r="D199" s="17">
        <f t="shared" si="3"/>
        <v>29565500</v>
      </c>
      <c r="E199" s="49">
        <f>VLOOKUP($A199,'Data shares'!$C:$FA,128)*100</f>
        <v>5.0999999999999996</v>
      </c>
      <c r="F199" s="49">
        <f>VLOOKUP($A199,'Data shares'!$C:$FA,129)</f>
        <v>527400</v>
      </c>
    </row>
    <row r="200" spans="1:6" x14ac:dyDescent="0.25">
      <c r="A200" t="s">
        <v>201</v>
      </c>
      <c r="B200">
        <v>26654592</v>
      </c>
      <c r="C200">
        <v>3469200</v>
      </c>
      <c r="D200" s="17">
        <f t="shared" si="3"/>
        <v>3469200</v>
      </c>
      <c r="E200" s="49">
        <f>VLOOKUP($A200,'Data shares'!$C:$FA,128)*100</f>
        <v>13.530000000000001</v>
      </c>
      <c r="F200" s="49">
        <f>VLOOKUP($A200,'Data shares'!$C:$FA,129)</f>
        <v>677250</v>
      </c>
    </row>
    <row r="201" spans="1:6" x14ac:dyDescent="0.25">
      <c r="A201" t="s">
        <v>199</v>
      </c>
      <c r="B201">
        <v>102562642</v>
      </c>
      <c r="C201">
        <v>20641400</v>
      </c>
      <c r="D201" s="17">
        <f t="shared" si="3"/>
        <v>20641400</v>
      </c>
      <c r="E201" s="49">
        <f>VLOOKUP($A201,'Data shares'!$C:$FA,128)*100</f>
        <v>2.91</v>
      </c>
      <c r="F201" s="49">
        <f>VLOOKUP($A201,'Data shares'!$C:$FA,129)</f>
        <v>318375</v>
      </c>
    </row>
    <row r="202" spans="1:6" x14ac:dyDescent="0.25">
      <c r="A202" t="s">
        <v>296</v>
      </c>
      <c r="B202">
        <v>124861039</v>
      </c>
      <c r="C202">
        <v>20543400</v>
      </c>
      <c r="D202" s="17">
        <f t="shared" si="3"/>
        <v>20543400</v>
      </c>
      <c r="E202" s="49">
        <f>VLOOKUP($A202,'Data shares'!$C:$FA,128)*100</f>
        <v>11.42</v>
      </c>
      <c r="F202" s="49">
        <f>VLOOKUP($A202,'Data shares'!$C:$FA,129)</f>
        <v>1846800</v>
      </c>
    </row>
    <row r="203" spans="1:6" x14ac:dyDescent="0.25">
      <c r="A203" t="s">
        <v>229</v>
      </c>
      <c r="B203">
        <v>127940594</v>
      </c>
      <c r="C203">
        <v>33552900</v>
      </c>
      <c r="D203" s="17">
        <f t="shared" si="3"/>
        <v>33552900</v>
      </c>
      <c r="E203" s="49">
        <f>VLOOKUP($A203,'Data shares'!$C:$FA,128)*100</f>
        <v>3.47</v>
      </c>
      <c r="F203" s="49">
        <f>VLOOKUP($A203,'Data shares'!$C:$FA,129)</f>
        <v>1705050</v>
      </c>
    </row>
    <row r="204" spans="1:6" x14ac:dyDescent="0.25">
      <c r="A204" t="s">
        <v>497</v>
      </c>
      <c r="B204">
        <v>10251929</v>
      </c>
      <c r="C204">
        <v>266200</v>
      </c>
      <c r="D204" s="17">
        <f t="shared" si="3"/>
        <v>266200</v>
      </c>
      <c r="E204" s="49">
        <f>VLOOKUP($A204,'Data shares'!$C:$FA,128)*100</f>
        <v>1.1100000000000001</v>
      </c>
      <c r="F204" s="49">
        <f>VLOOKUP($A204,'Data shares'!$C:$FA,129)</f>
        <v>16250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G13" sqref="G13"/>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U113" zoomScale="86" zoomScaleNormal="86" workbookViewId="0">
      <selection activeCell="AE124" sqref="AE124"/>
    </sheetView>
  </sheetViews>
  <sheetFormatPr defaultRowHeight="15" x14ac:dyDescent="0.25"/>
  <cols>
    <col min="1" max="1" width="12.140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8.28515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57031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9.140625"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19.1406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45946</v>
      </c>
      <c r="B2" s="227" t="s">
        <v>175</v>
      </c>
      <c r="C2" s="227" t="s">
        <v>683</v>
      </c>
      <c r="D2" s="228">
        <v>500</v>
      </c>
      <c r="E2" s="228">
        <v>12</v>
      </c>
      <c r="F2" s="231">
        <v>1171.5999999999999</v>
      </c>
      <c r="G2" s="231">
        <v>1162.5</v>
      </c>
      <c r="H2" s="228">
        <v>9.1</v>
      </c>
      <c r="I2" s="229">
        <v>7.7999999999999996E-3</v>
      </c>
      <c r="J2" s="231">
        <v>1171.8</v>
      </c>
      <c r="K2" s="231">
        <v>1160.4000000000001</v>
      </c>
      <c r="L2" s="228">
        <v>11.4</v>
      </c>
      <c r="M2" s="229">
        <v>9.7999999999999997E-3</v>
      </c>
      <c r="N2" s="231">
        <v>1171.5999999999999</v>
      </c>
      <c r="O2" s="231">
        <v>1162.5</v>
      </c>
      <c r="P2" s="228">
        <v>9.1</v>
      </c>
      <c r="Q2" s="229">
        <v>7.7999999999999996E-3</v>
      </c>
      <c r="R2" s="231">
        <v>1175.7</v>
      </c>
      <c r="S2" s="231">
        <v>1163.3</v>
      </c>
      <c r="T2" s="228">
        <v>12.4</v>
      </c>
      <c r="U2" s="229">
        <v>1.0699999999999999E-2</v>
      </c>
      <c r="V2" s="231">
        <v>1170.5</v>
      </c>
      <c r="W2" s="231">
        <v>1165.2</v>
      </c>
      <c r="X2" s="228">
        <v>5.3</v>
      </c>
      <c r="Y2" s="229">
        <v>4.4999999999999997E-3</v>
      </c>
      <c r="Z2" s="228">
        <v>-0.2</v>
      </c>
      <c r="AA2" s="228">
        <v>2.1</v>
      </c>
      <c r="AB2" s="228">
        <v>-2.2999999999999998</v>
      </c>
      <c r="AC2" s="229">
        <v>-2.0000000000000001E-4</v>
      </c>
      <c r="AD2" s="228">
        <v>-0.2</v>
      </c>
      <c r="AE2" s="228">
        <v>2.1</v>
      </c>
      <c r="AF2" s="228">
        <v>-2.2999999999999998</v>
      </c>
      <c r="AG2" s="229">
        <v>-2.0000000000000001E-4</v>
      </c>
      <c r="AH2" s="228">
        <v>3.9</v>
      </c>
      <c r="AI2" s="228">
        <v>2.9</v>
      </c>
      <c r="AJ2" s="228">
        <v>1</v>
      </c>
      <c r="AK2" s="229">
        <v>3.3E-3</v>
      </c>
      <c r="AL2" s="228">
        <v>-1.3</v>
      </c>
      <c r="AM2" s="228">
        <v>4.8</v>
      </c>
      <c r="AN2" s="228">
        <v>-6.1</v>
      </c>
      <c r="AO2" s="229">
        <v>-1.1000000000000001E-3</v>
      </c>
      <c r="AP2" s="231">
        <v>1170.58</v>
      </c>
      <c r="AQ2" s="231">
        <v>1175.72</v>
      </c>
      <c r="AR2" s="228">
        <v>0</v>
      </c>
      <c r="AS2" s="228">
        <v>218</v>
      </c>
      <c r="AT2" s="228">
        <v>395</v>
      </c>
      <c r="AU2" s="228">
        <v>-177</v>
      </c>
      <c r="AV2" s="229">
        <v>-0.44840000000000002</v>
      </c>
      <c r="AW2" s="228">
        <v>196</v>
      </c>
      <c r="AX2" s="228">
        <v>378</v>
      </c>
      <c r="AY2" s="228">
        <v>-182</v>
      </c>
      <c r="AZ2" s="229">
        <v>-0.48259999999999997</v>
      </c>
      <c r="BA2" s="228">
        <v>22</v>
      </c>
      <c r="BB2" s="228">
        <v>17</v>
      </c>
      <c r="BC2" s="228">
        <v>5</v>
      </c>
      <c r="BD2" s="229">
        <v>0.31619999999999998</v>
      </c>
      <c r="BE2" s="228">
        <v>0</v>
      </c>
      <c r="BF2" s="228">
        <v>0</v>
      </c>
      <c r="BG2" s="228">
        <v>0</v>
      </c>
      <c r="BH2" s="229">
        <v>-0.75</v>
      </c>
      <c r="BI2" s="228">
        <v>496</v>
      </c>
      <c r="BJ2" s="230">
        <v>1176</v>
      </c>
      <c r="BK2" s="228">
        <v>-680</v>
      </c>
      <c r="BL2" s="229">
        <v>-0.57840000000000003</v>
      </c>
      <c r="BM2" s="228">
        <v>202</v>
      </c>
      <c r="BN2" s="228">
        <v>328</v>
      </c>
      <c r="BO2" s="228">
        <v>-126</v>
      </c>
      <c r="BP2" s="229">
        <v>-0.38329999999999997</v>
      </c>
      <c r="BQ2" s="228">
        <v>916</v>
      </c>
      <c r="BR2" s="230">
        <v>1899</v>
      </c>
      <c r="BS2" s="228">
        <v>-983</v>
      </c>
      <c r="BT2" s="229">
        <v>-0.51770000000000005</v>
      </c>
      <c r="BU2" s="230">
        <v>1024484</v>
      </c>
      <c r="BV2" s="230">
        <v>2059296</v>
      </c>
      <c r="BW2" s="230">
        <v>-1034812</v>
      </c>
      <c r="BX2" s="229">
        <v>-0.50249999999999995</v>
      </c>
      <c r="BY2" s="228">
        <v>425</v>
      </c>
      <c r="BZ2" s="228">
        <v>412</v>
      </c>
      <c r="CA2" s="228">
        <v>14</v>
      </c>
      <c r="CB2" s="229">
        <v>3.3399999999999999E-2</v>
      </c>
      <c r="CC2" s="228">
        <v>403</v>
      </c>
      <c r="CD2" s="228">
        <v>397</v>
      </c>
      <c r="CE2" s="228">
        <v>6</v>
      </c>
      <c r="CF2" s="229">
        <v>1.55E-2</v>
      </c>
      <c r="CG2" s="228">
        <v>22</v>
      </c>
      <c r="CH2" s="228">
        <v>15</v>
      </c>
      <c r="CI2" s="228">
        <v>8</v>
      </c>
      <c r="CJ2" s="229">
        <v>0.52400000000000002</v>
      </c>
      <c r="CK2" s="228">
        <v>0</v>
      </c>
      <c r="CL2" s="228">
        <v>0</v>
      </c>
      <c r="CM2" s="228">
        <v>0</v>
      </c>
      <c r="CN2" s="229">
        <v>-0.16669999999999999</v>
      </c>
      <c r="CO2" s="228">
        <v>221</v>
      </c>
      <c r="CP2" s="228">
        <v>200</v>
      </c>
      <c r="CQ2" s="228">
        <v>20</v>
      </c>
      <c r="CR2" s="229">
        <v>0.10199999999999999</v>
      </c>
      <c r="CS2" s="228">
        <v>129</v>
      </c>
      <c r="CT2" s="228">
        <v>122</v>
      </c>
      <c r="CU2" s="228">
        <v>7</v>
      </c>
      <c r="CV2" s="229">
        <v>5.8299999999999998E-2</v>
      </c>
      <c r="CW2" s="228">
        <v>775</v>
      </c>
      <c r="CX2" s="228">
        <v>734</v>
      </c>
      <c r="CY2" s="228">
        <v>41</v>
      </c>
      <c r="CZ2" s="229">
        <v>5.6300000000000003E-2</v>
      </c>
      <c r="DA2" s="228">
        <v>37.200000000000003</v>
      </c>
      <c r="DB2" s="228">
        <v>35.28</v>
      </c>
      <c r="DC2" s="228">
        <v>1.92</v>
      </c>
      <c r="DD2" s="228">
        <v>1.92</v>
      </c>
      <c r="DE2" s="228">
        <v>46</v>
      </c>
      <c r="DF2" s="228">
        <v>46.11</v>
      </c>
      <c r="DG2" s="228">
        <v>-8.8000000000000007</v>
      </c>
      <c r="DH2" s="228">
        <v>-0.11</v>
      </c>
      <c r="DI2" s="228">
        <v>37.43</v>
      </c>
      <c r="DJ2" s="228">
        <v>35.18</v>
      </c>
      <c r="DK2" s="228">
        <v>2.25</v>
      </c>
      <c r="DL2" s="228">
        <v>2.25</v>
      </c>
      <c r="DM2" s="228">
        <v>36.630000000000003</v>
      </c>
      <c r="DN2" s="228">
        <v>35.67</v>
      </c>
      <c r="DO2" s="228">
        <v>0.96</v>
      </c>
      <c r="DP2" s="228">
        <v>0.96</v>
      </c>
      <c r="DQ2" s="228">
        <v>0.57999999999999996</v>
      </c>
      <c r="DR2" s="228">
        <v>0.61</v>
      </c>
      <c r="DS2" s="228">
        <v>-0.03</v>
      </c>
      <c r="DT2" s="229">
        <v>-4.9200000000000001E-2</v>
      </c>
      <c r="DU2" s="231">
        <v>1200</v>
      </c>
      <c r="DV2" s="231">
        <v>1100</v>
      </c>
      <c r="DW2" s="228">
        <v>0.41</v>
      </c>
      <c r="DX2" s="228">
        <v>0.28000000000000003</v>
      </c>
      <c r="DY2" s="228">
        <v>0.13</v>
      </c>
      <c r="DZ2" s="229">
        <v>0.46429999999999999</v>
      </c>
      <c r="EA2" s="229">
        <v>5.3199999999999997E-2</v>
      </c>
      <c r="EB2" s="230">
        <v>128000</v>
      </c>
      <c r="EC2" s="229">
        <v>3.5000000000000001E-3</v>
      </c>
      <c r="ED2" s="229">
        <v>5.3199999999999997E-2</v>
      </c>
      <c r="EE2" s="228">
        <v>5.14</v>
      </c>
      <c r="EF2" s="229">
        <v>4.4000000000000003E-3</v>
      </c>
      <c r="EG2" s="230">
        <v>338228</v>
      </c>
      <c r="EH2" s="230">
        <v>986793</v>
      </c>
      <c r="EI2" s="229">
        <v>-0.65720000000000001</v>
      </c>
      <c r="EJ2" s="229">
        <v>0.3301</v>
      </c>
      <c r="EK2" s="228">
        <v>513.87</v>
      </c>
      <c r="EL2" s="228">
        <v>200.21</v>
      </c>
      <c r="EM2" s="228">
        <v>218</v>
      </c>
      <c r="EN2" s="228">
        <v>26.89</v>
      </c>
      <c r="EO2" s="228">
        <v>932.08</v>
      </c>
      <c r="EP2" s="231">
        <v>1899.78</v>
      </c>
      <c r="EQ2" s="228">
        <v>-967.7</v>
      </c>
      <c r="ER2" s="229">
        <v>-0.50939999999999996</v>
      </c>
      <c r="ES2" s="228">
        <v>220.29</v>
      </c>
      <c r="ET2" s="228">
        <v>120.81</v>
      </c>
      <c r="EU2" s="228">
        <v>425.49</v>
      </c>
      <c r="EV2" s="231">
        <v>44660948</v>
      </c>
      <c r="EW2" s="228">
        <v>766.59</v>
      </c>
      <c r="EX2" s="228">
        <v>719.61</v>
      </c>
      <c r="EY2" s="228">
        <v>46.98</v>
      </c>
      <c r="EZ2" s="229">
        <v>6.5299999999999997E-2</v>
      </c>
      <c r="FA2" s="229">
        <v>0.14810000000000001</v>
      </c>
      <c r="FB2" s="227" t="s">
        <v>555</v>
      </c>
      <c r="FC2">
        <f>BY2-CC2</f>
        <v>22</v>
      </c>
    </row>
    <row r="3" spans="1:159" ht="17.25" thickBot="1" x14ac:dyDescent="0.3">
      <c r="A3" s="226">
        <v>45946</v>
      </c>
      <c r="B3" s="227" t="s">
        <v>184</v>
      </c>
      <c r="C3" s="227" t="s">
        <v>553</v>
      </c>
      <c r="D3" s="228">
        <v>125</v>
      </c>
      <c r="E3" s="228">
        <v>12</v>
      </c>
      <c r="F3" s="231">
        <v>5213.5</v>
      </c>
      <c r="G3" s="231">
        <v>5192.5</v>
      </c>
      <c r="H3" s="228">
        <v>21</v>
      </c>
      <c r="I3" s="229">
        <v>4.0000000000000001E-3</v>
      </c>
      <c r="J3" s="231">
        <v>5212</v>
      </c>
      <c r="K3" s="231">
        <v>5173.5</v>
      </c>
      <c r="L3" s="228">
        <v>38.5</v>
      </c>
      <c r="M3" s="229">
        <v>7.4000000000000003E-3</v>
      </c>
      <c r="N3" s="231">
        <v>5213.5</v>
      </c>
      <c r="O3" s="231">
        <v>5192.5</v>
      </c>
      <c r="P3" s="228">
        <v>21</v>
      </c>
      <c r="Q3" s="229">
        <v>4.0000000000000001E-3</v>
      </c>
      <c r="R3" s="231">
        <v>5240.5</v>
      </c>
      <c r="S3" s="231">
        <v>5222</v>
      </c>
      <c r="T3" s="228">
        <v>18.5</v>
      </c>
      <c r="U3" s="229">
        <v>3.5000000000000001E-3</v>
      </c>
      <c r="V3" s="231">
        <v>5275</v>
      </c>
      <c r="W3" s="231">
        <v>5262</v>
      </c>
      <c r="X3" s="228">
        <v>13</v>
      </c>
      <c r="Y3" s="229">
        <v>2.5000000000000001E-3</v>
      </c>
      <c r="Z3" s="228">
        <v>1.5</v>
      </c>
      <c r="AA3" s="228">
        <v>19</v>
      </c>
      <c r="AB3" s="228">
        <v>-17.5</v>
      </c>
      <c r="AC3" s="229">
        <v>2.9999999999999997E-4</v>
      </c>
      <c r="AD3" s="228">
        <v>1.5</v>
      </c>
      <c r="AE3" s="228">
        <v>19</v>
      </c>
      <c r="AF3" s="228">
        <v>-17.5</v>
      </c>
      <c r="AG3" s="229">
        <v>2.9999999999999997E-4</v>
      </c>
      <c r="AH3" s="228">
        <v>28.5</v>
      </c>
      <c r="AI3" s="228">
        <v>48.5</v>
      </c>
      <c r="AJ3" s="228">
        <v>-20</v>
      </c>
      <c r="AK3" s="229">
        <v>5.4999999999999997E-3</v>
      </c>
      <c r="AL3" s="228">
        <v>63</v>
      </c>
      <c r="AM3" s="228">
        <v>88.5</v>
      </c>
      <c r="AN3" s="228">
        <v>-25.5</v>
      </c>
      <c r="AO3" s="229">
        <v>1.21E-2</v>
      </c>
      <c r="AP3" s="231">
        <v>5178.43</v>
      </c>
      <c r="AQ3" s="231">
        <v>5202.63</v>
      </c>
      <c r="AR3" s="228">
        <v>0</v>
      </c>
      <c r="AS3" s="228">
        <v>935</v>
      </c>
      <c r="AT3" s="228">
        <v>251</v>
      </c>
      <c r="AU3" s="228">
        <v>684</v>
      </c>
      <c r="AV3" s="229">
        <v>2.7199</v>
      </c>
      <c r="AW3" s="228">
        <v>803</v>
      </c>
      <c r="AX3" s="228">
        <v>214</v>
      </c>
      <c r="AY3" s="228">
        <v>589</v>
      </c>
      <c r="AZ3" s="229">
        <v>2.7488999999999999</v>
      </c>
      <c r="BA3" s="228">
        <v>128</v>
      </c>
      <c r="BB3" s="228">
        <v>32</v>
      </c>
      <c r="BC3" s="228">
        <v>95</v>
      </c>
      <c r="BD3" s="229">
        <v>2.9378000000000002</v>
      </c>
      <c r="BE3" s="228">
        <v>5</v>
      </c>
      <c r="BF3" s="228">
        <v>5</v>
      </c>
      <c r="BG3" s="228">
        <v>0</v>
      </c>
      <c r="BH3" s="229">
        <v>0</v>
      </c>
      <c r="BI3" s="230">
        <v>2099</v>
      </c>
      <c r="BJ3" s="230">
        <v>1271</v>
      </c>
      <c r="BK3" s="228">
        <v>828</v>
      </c>
      <c r="BL3" s="229">
        <v>0.65190000000000003</v>
      </c>
      <c r="BM3" s="230">
        <v>1338</v>
      </c>
      <c r="BN3" s="228">
        <v>388</v>
      </c>
      <c r="BO3" s="228">
        <v>950</v>
      </c>
      <c r="BP3" s="229">
        <v>2.4455</v>
      </c>
      <c r="BQ3" s="230">
        <v>4372</v>
      </c>
      <c r="BR3" s="230">
        <v>1910</v>
      </c>
      <c r="BS3" s="230">
        <v>2462</v>
      </c>
      <c r="BT3" s="229">
        <v>1.2886</v>
      </c>
      <c r="BU3" s="230">
        <v>558566</v>
      </c>
      <c r="BV3" s="230">
        <v>223018</v>
      </c>
      <c r="BW3" s="230">
        <v>335548</v>
      </c>
      <c r="BX3" s="229">
        <v>1.5045999999999999</v>
      </c>
      <c r="BY3" s="230">
        <v>1295</v>
      </c>
      <c r="BZ3" s="230">
        <v>1294</v>
      </c>
      <c r="CA3" s="228">
        <v>1</v>
      </c>
      <c r="CB3" s="229">
        <v>8.0000000000000004E-4</v>
      </c>
      <c r="CC3" s="230">
        <v>1192</v>
      </c>
      <c r="CD3" s="230">
        <v>1218</v>
      </c>
      <c r="CE3" s="228">
        <v>-26</v>
      </c>
      <c r="CF3" s="229">
        <v>-2.1499999999999998E-2</v>
      </c>
      <c r="CG3" s="228">
        <v>93</v>
      </c>
      <c r="CH3" s="228">
        <v>67</v>
      </c>
      <c r="CI3" s="228">
        <v>25</v>
      </c>
      <c r="CJ3" s="229">
        <v>0.37580000000000002</v>
      </c>
      <c r="CK3" s="228">
        <v>11</v>
      </c>
      <c r="CL3" s="228">
        <v>9</v>
      </c>
      <c r="CM3" s="228">
        <v>2</v>
      </c>
      <c r="CN3" s="229">
        <v>0.20899999999999999</v>
      </c>
      <c r="CO3" s="228">
        <v>688</v>
      </c>
      <c r="CP3" s="228">
        <v>698</v>
      </c>
      <c r="CQ3" s="228">
        <v>-10</v>
      </c>
      <c r="CR3" s="229">
        <v>-1.38E-2</v>
      </c>
      <c r="CS3" s="228">
        <v>472</v>
      </c>
      <c r="CT3" s="228">
        <v>430</v>
      </c>
      <c r="CU3" s="228">
        <v>42</v>
      </c>
      <c r="CV3" s="229">
        <v>9.7799999999999998E-2</v>
      </c>
      <c r="CW3" s="230">
        <v>2455</v>
      </c>
      <c r="CX3" s="230">
        <v>2422</v>
      </c>
      <c r="CY3" s="228">
        <v>33</v>
      </c>
      <c r="CZ3" s="229">
        <v>1.38E-2</v>
      </c>
      <c r="DA3" s="228">
        <v>25.42</v>
      </c>
      <c r="DB3" s="228">
        <v>25.86</v>
      </c>
      <c r="DC3" s="228">
        <v>-0.44</v>
      </c>
      <c r="DD3" s="228">
        <v>-0.44</v>
      </c>
      <c r="DE3" s="228">
        <v>36.57</v>
      </c>
      <c r="DF3" s="228">
        <v>36.65</v>
      </c>
      <c r="DG3" s="228">
        <v>-11.15</v>
      </c>
      <c r="DH3" s="228">
        <v>-0.08</v>
      </c>
      <c r="DI3" s="228">
        <v>25.22</v>
      </c>
      <c r="DJ3" s="228">
        <v>25.87</v>
      </c>
      <c r="DK3" s="228">
        <v>-0.65</v>
      </c>
      <c r="DL3" s="228">
        <v>-0.65</v>
      </c>
      <c r="DM3" s="228">
        <v>25.72</v>
      </c>
      <c r="DN3" s="228">
        <v>25.84</v>
      </c>
      <c r="DO3" s="228">
        <v>-0.12</v>
      </c>
      <c r="DP3" s="228">
        <v>-0.12</v>
      </c>
      <c r="DQ3" s="228">
        <v>0.69</v>
      </c>
      <c r="DR3" s="228">
        <v>0.62</v>
      </c>
      <c r="DS3" s="228">
        <v>7.0000000000000007E-2</v>
      </c>
      <c r="DT3" s="229">
        <v>0.1129</v>
      </c>
      <c r="DU3" s="231">
        <v>5300</v>
      </c>
      <c r="DV3" s="231">
        <v>5200</v>
      </c>
      <c r="DW3" s="228">
        <v>0.64</v>
      </c>
      <c r="DX3" s="228">
        <v>0.31</v>
      </c>
      <c r="DY3" s="228">
        <v>0.33</v>
      </c>
      <c r="DZ3" s="229">
        <v>1.0645</v>
      </c>
      <c r="EA3" s="229">
        <v>7.9799999999999996E-2</v>
      </c>
      <c r="EB3" s="230">
        <v>146125</v>
      </c>
      <c r="EC3" s="229">
        <v>5.1999999999999998E-3</v>
      </c>
      <c r="ED3" s="229">
        <v>7.9799999999999996E-2</v>
      </c>
      <c r="EE3" s="228">
        <v>24.2</v>
      </c>
      <c r="EF3" s="229">
        <v>4.7000000000000002E-3</v>
      </c>
      <c r="EG3" s="230">
        <v>233091</v>
      </c>
      <c r="EH3" s="230">
        <v>118839</v>
      </c>
      <c r="EI3" s="229">
        <v>0.96140000000000003</v>
      </c>
      <c r="EJ3" s="229">
        <v>0.4173</v>
      </c>
      <c r="EK3" s="231">
        <v>2160.35</v>
      </c>
      <c r="EL3" s="231">
        <v>1328.91</v>
      </c>
      <c r="EM3" s="228">
        <v>929.85</v>
      </c>
      <c r="EN3" s="228">
        <v>31.35</v>
      </c>
      <c r="EO3" s="231">
        <v>4419.1099999999997</v>
      </c>
      <c r="EP3" s="231">
        <v>1944.14</v>
      </c>
      <c r="EQ3" s="231">
        <v>2474.9699999999998</v>
      </c>
      <c r="ER3" s="229">
        <v>1.2729999999999999</v>
      </c>
      <c r="ES3" s="228">
        <v>715.95</v>
      </c>
      <c r="ET3" s="228">
        <v>470.24</v>
      </c>
      <c r="EU3" s="231">
        <v>1295.57</v>
      </c>
      <c r="EV3" s="231">
        <v>7946564</v>
      </c>
      <c r="EW3" s="231">
        <v>2481.7600000000002</v>
      </c>
      <c r="EX3" s="231">
        <v>2444.4899999999998</v>
      </c>
      <c r="EY3" s="228">
        <v>37.270000000000003</v>
      </c>
      <c r="EZ3" s="229">
        <v>1.52E-2</v>
      </c>
      <c r="FA3" s="229">
        <v>0.59260000000000002</v>
      </c>
      <c r="FB3" s="227" t="s">
        <v>555</v>
      </c>
      <c r="FC3">
        <f t="shared" ref="FC3:FC66" si="0">BY3-CC3</f>
        <v>103</v>
      </c>
    </row>
    <row r="4" spans="1:159" ht="17.25" thickBot="1" x14ac:dyDescent="0.3">
      <c r="A4" s="226">
        <v>45946</v>
      </c>
      <c r="B4" s="227" t="s">
        <v>175</v>
      </c>
      <c r="C4" s="227" t="s">
        <v>544</v>
      </c>
      <c r="D4" s="228">
        <v>3100</v>
      </c>
      <c r="E4" s="228">
        <v>12</v>
      </c>
      <c r="F4" s="228">
        <v>301</v>
      </c>
      <c r="G4" s="228">
        <v>304.75</v>
      </c>
      <c r="H4" s="228">
        <v>-3.75</v>
      </c>
      <c r="I4" s="229">
        <v>-1.23E-2</v>
      </c>
      <c r="J4" s="228">
        <v>300</v>
      </c>
      <c r="K4" s="228">
        <v>303.5</v>
      </c>
      <c r="L4" s="228">
        <v>-3.5</v>
      </c>
      <c r="M4" s="229">
        <v>-1.15E-2</v>
      </c>
      <c r="N4" s="228">
        <v>301</v>
      </c>
      <c r="O4" s="228">
        <v>304.75</v>
      </c>
      <c r="P4" s="228">
        <v>-3.75</v>
      </c>
      <c r="Q4" s="229">
        <v>-1.23E-2</v>
      </c>
      <c r="R4" s="228">
        <v>302.75</v>
      </c>
      <c r="S4" s="228">
        <v>306.10000000000002</v>
      </c>
      <c r="T4" s="228">
        <v>-3.35</v>
      </c>
      <c r="U4" s="229">
        <v>-1.09E-2</v>
      </c>
      <c r="V4" s="228">
        <v>304.35000000000002</v>
      </c>
      <c r="W4" s="228">
        <v>307.75</v>
      </c>
      <c r="X4" s="228">
        <v>-3.4</v>
      </c>
      <c r="Y4" s="229">
        <v>-1.0999999999999999E-2</v>
      </c>
      <c r="Z4" s="228">
        <v>1</v>
      </c>
      <c r="AA4" s="228">
        <v>1.25</v>
      </c>
      <c r="AB4" s="228">
        <v>-0.25</v>
      </c>
      <c r="AC4" s="229">
        <v>3.3E-3</v>
      </c>
      <c r="AD4" s="228">
        <v>1</v>
      </c>
      <c r="AE4" s="228">
        <v>1.25</v>
      </c>
      <c r="AF4" s="228">
        <v>-0.25</v>
      </c>
      <c r="AG4" s="229">
        <v>3.3E-3</v>
      </c>
      <c r="AH4" s="228">
        <v>2.75</v>
      </c>
      <c r="AI4" s="228">
        <v>2.6</v>
      </c>
      <c r="AJ4" s="228">
        <v>0.15</v>
      </c>
      <c r="AK4" s="229">
        <v>9.1999999999999998E-3</v>
      </c>
      <c r="AL4" s="228">
        <v>4.3499999999999996</v>
      </c>
      <c r="AM4" s="228">
        <v>4.25</v>
      </c>
      <c r="AN4" s="228">
        <v>0.1</v>
      </c>
      <c r="AO4" s="229">
        <v>1.4500000000000001E-2</v>
      </c>
      <c r="AP4" s="228">
        <v>303.29000000000002</v>
      </c>
      <c r="AQ4" s="228">
        <v>305.20999999999998</v>
      </c>
      <c r="AR4" s="228">
        <v>0</v>
      </c>
      <c r="AS4" s="228">
        <v>269</v>
      </c>
      <c r="AT4" s="228">
        <v>329</v>
      </c>
      <c r="AU4" s="228">
        <v>-60</v>
      </c>
      <c r="AV4" s="229">
        <v>-0.18260000000000001</v>
      </c>
      <c r="AW4" s="228">
        <v>228</v>
      </c>
      <c r="AX4" s="228">
        <v>279</v>
      </c>
      <c r="AY4" s="228">
        <v>-51</v>
      </c>
      <c r="AZ4" s="229">
        <v>-0.18290000000000001</v>
      </c>
      <c r="BA4" s="228">
        <v>39</v>
      </c>
      <c r="BB4" s="228">
        <v>47</v>
      </c>
      <c r="BC4" s="228">
        <v>-8</v>
      </c>
      <c r="BD4" s="229">
        <v>-0.18060000000000001</v>
      </c>
      <c r="BE4" s="228">
        <v>3</v>
      </c>
      <c r="BF4" s="228">
        <v>3</v>
      </c>
      <c r="BG4" s="228">
        <v>-1</v>
      </c>
      <c r="BH4" s="229">
        <v>-0.18179999999999999</v>
      </c>
      <c r="BI4" s="228">
        <v>609</v>
      </c>
      <c r="BJ4" s="228">
        <v>847</v>
      </c>
      <c r="BK4" s="228">
        <v>-237</v>
      </c>
      <c r="BL4" s="229">
        <v>-0.28029999999999999</v>
      </c>
      <c r="BM4" s="228">
        <v>273</v>
      </c>
      <c r="BN4" s="228">
        <v>447</v>
      </c>
      <c r="BO4" s="228">
        <v>-174</v>
      </c>
      <c r="BP4" s="229">
        <v>-0.38900000000000001</v>
      </c>
      <c r="BQ4" s="230">
        <v>1151</v>
      </c>
      <c r="BR4" s="230">
        <v>1623</v>
      </c>
      <c r="BS4" s="228">
        <v>-471</v>
      </c>
      <c r="BT4" s="229">
        <v>-0.29039999999999999</v>
      </c>
      <c r="BU4" s="230">
        <v>2232565</v>
      </c>
      <c r="BV4" s="230">
        <v>3752233</v>
      </c>
      <c r="BW4" s="230">
        <v>-1519668</v>
      </c>
      <c r="BX4" s="229">
        <v>-0.40500000000000003</v>
      </c>
      <c r="BY4" s="230">
        <v>2335</v>
      </c>
      <c r="BZ4" s="230">
        <v>2322</v>
      </c>
      <c r="CA4" s="228">
        <v>12</v>
      </c>
      <c r="CB4" s="229">
        <v>5.3E-3</v>
      </c>
      <c r="CC4" s="230">
        <v>2244</v>
      </c>
      <c r="CD4" s="230">
        <v>2239</v>
      </c>
      <c r="CE4" s="228">
        <v>5</v>
      </c>
      <c r="CF4" s="229">
        <v>2.0999999999999999E-3</v>
      </c>
      <c r="CG4" s="228">
        <v>79</v>
      </c>
      <c r="CH4" s="228">
        <v>72</v>
      </c>
      <c r="CI4" s="228">
        <v>7</v>
      </c>
      <c r="CJ4" s="229">
        <v>9.5500000000000002E-2</v>
      </c>
      <c r="CK4" s="228">
        <v>12</v>
      </c>
      <c r="CL4" s="228">
        <v>11</v>
      </c>
      <c r="CM4" s="228">
        <v>1</v>
      </c>
      <c r="CN4" s="229">
        <v>5.9299999999999999E-2</v>
      </c>
      <c r="CO4" s="228">
        <v>739</v>
      </c>
      <c r="CP4" s="228">
        <v>718</v>
      </c>
      <c r="CQ4" s="228">
        <v>21</v>
      </c>
      <c r="CR4" s="229">
        <v>2.87E-2</v>
      </c>
      <c r="CS4" s="228">
        <v>417</v>
      </c>
      <c r="CT4" s="228">
        <v>407</v>
      </c>
      <c r="CU4" s="228">
        <v>9</v>
      </c>
      <c r="CV4" s="229">
        <v>2.3099999999999999E-2</v>
      </c>
      <c r="CW4" s="230">
        <v>3490</v>
      </c>
      <c r="CX4" s="230">
        <v>3448</v>
      </c>
      <c r="CY4" s="228">
        <v>42</v>
      </c>
      <c r="CZ4" s="229">
        <v>1.23E-2</v>
      </c>
      <c r="DA4" s="228">
        <v>30.79</v>
      </c>
      <c r="DB4" s="228">
        <v>30.78</v>
      </c>
      <c r="DC4" s="228">
        <v>0.01</v>
      </c>
      <c r="DD4" s="228">
        <v>0.01</v>
      </c>
      <c r="DE4" s="228">
        <v>40.29</v>
      </c>
      <c r="DF4" s="228">
        <v>40.35</v>
      </c>
      <c r="DG4" s="228">
        <v>-9.5</v>
      </c>
      <c r="DH4" s="228">
        <v>-0.06</v>
      </c>
      <c r="DI4" s="228">
        <v>30.97</v>
      </c>
      <c r="DJ4" s="228">
        <v>30.51</v>
      </c>
      <c r="DK4" s="228">
        <v>0.46</v>
      </c>
      <c r="DL4" s="228">
        <v>0.46</v>
      </c>
      <c r="DM4" s="228">
        <v>30.4</v>
      </c>
      <c r="DN4" s="228">
        <v>31.31</v>
      </c>
      <c r="DO4" s="228">
        <v>-0.91</v>
      </c>
      <c r="DP4" s="228">
        <v>-0.91</v>
      </c>
      <c r="DQ4" s="228">
        <v>0.56000000000000005</v>
      </c>
      <c r="DR4" s="228">
        <v>0.56999999999999995</v>
      </c>
      <c r="DS4" s="228">
        <v>-0.01</v>
      </c>
      <c r="DT4" s="229">
        <v>-1.7500000000000002E-2</v>
      </c>
      <c r="DU4" s="228">
        <v>310</v>
      </c>
      <c r="DV4" s="228">
        <v>300</v>
      </c>
      <c r="DW4" s="228">
        <v>0.45</v>
      </c>
      <c r="DX4" s="228">
        <v>0.53</v>
      </c>
      <c r="DY4" s="228">
        <v>-0.08</v>
      </c>
      <c r="DZ4" s="229">
        <v>-0.15090000000000001</v>
      </c>
      <c r="EA4" s="229">
        <v>3.8899999999999997E-2</v>
      </c>
      <c r="EB4" s="230">
        <v>2768300</v>
      </c>
      <c r="EC4" s="229">
        <v>5.7999999999999996E-3</v>
      </c>
      <c r="ED4" s="229">
        <v>3.8899999999999997E-2</v>
      </c>
      <c r="EE4" s="228">
        <v>1.92</v>
      </c>
      <c r="EF4" s="229">
        <v>6.3E-3</v>
      </c>
      <c r="EG4" s="230">
        <v>722191</v>
      </c>
      <c r="EH4" s="230">
        <v>1614882</v>
      </c>
      <c r="EI4" s="229">
        <v>-0.55279999999999996</v>
      </c>
      <c r="EJ4" s="229">
        <v>0.32350000000000001</v>
      </c>
      <c r="EK4" s="228">
        <v>640.33000000000004</v>
      </c>
      <c r="EL4" s="228">
        <v>271.72000000000003</v>
      </c>
      <c r="EM4" s="228">
        <v>271.33</v>
      </c>
      <c r="EN4" s="228">
        <v>34.21</v>
      </c>
      <c r="EO4" s="231">
        <v>1183.3800000000001</v>
      </c>
      <c r="EP4" s="231">
        <v>1662.41</v>
      </c>
      <c r="EQ4" s="228">
        <v>-479.03</v>
      </c>
      <c r="ER4" s="229">
        <v>-0.28820000000000001</v>
      </c>
      <c r="ES4" s="228">
        <v>761.02</v>
      </c>
      <c r="ET4" s="228">
        <v>396.72</v>
      </c>
      <c r="EU4" s="231">
        <v>2335.21</v>
      </c>
      <c r="EV4" s="231">
        <v>122316423</v>
      </c>
      <c r="EW4" s="231">
        <v>3492.94</v>
      </c>
      <c r="EX4" s="231">
        <v>3478.97</v>
      </c>
      <c r="EY4" s="228">
        <v>13.97</v>
      </c>
      <c r="EZ4" s="229">
        <v>4.0000000000000001E-3</v>
      </c>
      <c r="FA4" s="229">
        <v>0.94799999999999995</v>
      </c>
      <c r="FB4" s="227" t="s">
        <v>567</v>
      </c>
      <c r="FC4">
        <f t="shared" si="0"/>
        <v>91</v>
      </c>
    </row>
    <row r="5" spans="1:159" ht="17.25" thickBot="1" x14ac:dyDescent="0.3">
      <c r="A5" s="226">
        <v>45946</v>
      </c>
      <c r="B5" s="227" t="s">
        <v>161</v>
      </c>
      <c r="C5" s="227" t="s">
        <v>579</v>
      </c>
      <c r="D5" s="228">
        <v>675</v>
      </c>
      <c r="E5" s="228">
        <v>12</v>
      </c>
      <c r="F5" s="228">
        <v>948.7</v>
      </c>
      <c r="G5" s="228">
        <v>948.55</v>
      </c>
      <c r="H5" s="228">
        <v>0.15</v>
      </c>
      <c r="I5" s="229">
        <v>2.0000000000000001E-4</v>
      </c>
      <c r="J5" s="228">
        <v>947.95</v>
      </c>
      <c r="K5" s="228">
        <v>944.2</v>
      </c>
      <c r="L5" s="228">
        <v>3.75</v>
      </c>
      <c r="M5" s="229">
        <v>4.0000000000000001E-3</v>
      </c>
      <c r="N5" s="228">
        <v>948.7</v>
      </c>
      <c r="O5" s="228">
        <v>948.55</v>
      </c>
      <c r="P5" s="228">
        <v>0.15</v>
      </c>
      <c r="Q5" s="229">
        <v>2.0000000000000001E-4</v>
      </c>
      <c r="R5" s="228">
        <v>953.85</v>
      </c>
      <c r="S5" s="228">
        <v>954.7</v>
      </c>
      <c r="T5" s="228">
        <v>-0.85</v>
      </c>
      <c r="U5" s="229">
        <v>-8.9999999999999998E-4</v>
      </c>
      <c r="V5" s="228">
        <v>958.4</v>
      </c>
      <c r="W5" s="228">
        <v>962.75</v>
      </c>
      <c r="X5" s="228">
        <v>-4.3499999999999996</v>
      </c>
      <c r="Y5" s="229">
        <v>-4.4999999999999997E-3</v>
      </c>
      <c r="Z5" s="228">
        <v>0.75</v>
      </c>
      <c r="AA5" s="228">
        <v>4.3499999999999996</v>
      </c>
      <c r="AB5" s="228">
        <v>-3.6</v>
      </c>
      <c r="AC5" s="229">
        <v>8.0000000000000004E-4</v>
      </c>
      <c r="AD5" s="228">
        <v>0.75</v>
      </c>
      <c r="AE5" s="228">
        <v>4.3499999999999996</v>
      </c>
      <c r="AF5" s="228">
        <v>-3.6</v>
      </c>
      <c r="AG5" s="229">
        <v>8.0000000000000004E-4</v>
      </c>
      <c r="AH5" s="228">
        <v>5.9</v>
      </c>
      <c r="AI5" s="228">
        <v>10.5</v>
      </c>
      <c r="AJ5" s="228">
        <v>-4.5999999999999996</v>
      </c>
      <c r="AK5" s="229">
        <v>6.1999999999999998E-3</v>
      </c>
      <c r="AL5" s="228">
        <v>10.45</v>
      </c>
      <c r="AM5" s="228">
        <v>18.55</v>
      </c>
      <c r="AN5" s="228">
        <v>-8.1</v>
      </c>
      <c r="AO5" s="229">
        <v>1.0999999999999999E-2</v>
      </c>
      <c r="AP5" s="228">
        <v>953.41</v>
      </c>
      <c r="AQ5" s="228">
        <v>958.5</v>
      </c>
      <c r="AR5" s="228">
        <v>0</v>
      </c>
      <c r="AS5" s="228">
        <v>190</v>
      </c>
      <c r="AT5" s="228">
        <v>241</v>
      </c>
      <c r="AU5" s="228">
        <v>-51</v>
      </c>
      <c r="AV5" s="229">
        <v>-0.21240000000000001</v>
      </c>
      <c r="AW5" s="228">
        <v>175</v>
      </c>
      <c r="AX5" s="228">
        <v>225</v>
      </c>
      <c r="AY5" s="228">
        <v>-50</v>
      </c>
      <c r="AZ5" s="229">
        <v>-0.22059999999999999</v>
      </c>
      <c r="BA5" s="228">
        <v>12</v>
      </c>
      <c r="BB5" s="228">
        <v>15</v>
      </c>
      <c r="BC5" s="228">
        <v>-2</v>
      </c>
      <c r="BD5" s="229">
        <v>-0.1595</v>
      </c>
      <c r="BE5" s="228">
        <v>2</v>
      </c>
      <c r="BF5" s="228">
        <v>1</v>
      </c>
      <c r="BG5" s="228">
        <v>1</v>
      </c>
      <c r="BH5" s="229">
        <v>0.54549999999999998</v>
      </c>
      <c r="BI5" s="228">
        <v>472</v>
      </c>
      <c r="BJ5" s="228">
        <v>473</v>
      </c>
      <c r="BK5" s="228">
        <v>-1</v>
      </c>
      <c r="BL5" s="229">
        <v>-2.2000000000000001E-3</v>
      </c>
      <c r="BM5" s="228">
        <v>179</v>
      </c>
      <c r="BN5" s="228">
        <v>147</v>
      </c>
      <c r="BO5" s="228">
        <v>32</v>
      </c>
      <c r="BP5" s="229">
        <v>0.21909999999999999</v>
      </c>
      <c r="BQ5" s="228">
        <v>841</v>
      </c>
      <c r="BR5" s="228">
        <v>861</v>
      </c>
      <c r="BS5" s="228">
        <v>-20</v>
      </c>
      <c r="BT5" s="229">
        <v>-2.3300000000000001E-2</v>
      </c>
      <c r="BU5" s="230">
        <v>1370482</v>
      </c>
      <c r="BV5" s="230">
        <v>1595087</v>
      </c>
      <c r="BW5" s="230">
        <v>-224605</v>
      </c>
      <c r="BX5" s="229">
        <v>-0.14080000000000001</v>
      </c>
      <c r="BY5" s="230">
        <v>1727</v>
      </c>
      <c r="BZ5" s="230">
        <v>1744</v>
      </c>
      <c r="CA5" s="228">
        <v>-17</v>
      </c>
      <c r="CB5" s="229">
        <v>-9.7000000000000003E-3</v>
      </c>
      <c r="CC5" s="230">
        <v>1693</v>
      </c>
      <c r="CD5" s="230">
        <v>1714</v>
      </c>
      <c r="CE5" s="228">
        <v>-21</v>
      </c>
      <c r="CF5" s="229">
        <v>-1.2200000000000001E-2</v>
      </c>
      <c r="CG5" s="228">
        <v>31</v>
      </c>
      <c r="CH5" s="228">
        <v>28</v>
      </c>
      <c r="CI5" s="228">
        <v>4</v>
      </c>
      <c r="CJ5" s="229">
        <v>0.13489999999999999</v>
      </c>
      <c r="CK5" s="228">
        <v>3</v>
      </c>
      <c r="CL5" s="228">
        <v>2</v>
      </c>
      <c r="CM5" s="228">
        <v>0</v>
      </c>
      <c r="CN5" s="229">
        <v>0.1389</v>
      </c>
      <c r="CO5" s="228">
        <v>339</v>
      </c>
      <c r="CP5" s="228">
        <v>339</v>
      </c>
      <c r="CQ5" s="228">
        <v>-1</v>
      </c>
      <c r="CR5" s="229">
        <v>-2.0999999999999999E-3</v>
      </c>
      <c r="CS5" s="228">
        <v>216</v>
      </c>
      <c r="CT5" s="228">
        <v>213</v>
      </c>
      <c r="CU5" s="228">
        <v>3</v>
      </c>
      <c r="CV5" s="229">
        <v>1.4999999999999999E-2</v>
      </c>
      <c r="CW5" s="230">
        <v>2282</v>
      </c>
      <c r="CX5" s="230">
        <v>2296</v>
      </c>
      <c r="CY5" s="228">
        <v>-14</v>
      </c>
      <c r="CZ5" s="229">
        <v>-6.1999999999999998E-3</v>
      </c>
      <c r="DA5" s="228">
        <v>37.36</v>
      </c>
      <c r="DB5" s="228">
        <v>39.53</v>
      </c>
      <c r="DC5" s="228">
        <v>-2.17</v>
      </c>
      <c r="DD5" s="228">
        <v>-2.17</v>
      </c>
      <c r="DE5" s="228">
        <v>55.79</v>
      </c>
      <c r="DF5" s="228">
        <v>55.93</v>
      </c>
      <c r="DG5" s="228">
        <v>-18.43</v>
      </c>
      <c r="DH5" s="228">
        <v>-0.14000000000000001</v>
      </c>
      <c r="DI5" s="228">
        <v>37.590000000000003</v>
      </c>
      <c r="DJ5" s="228">
        <v>39.72</v>
      </c>
      <c r="DK5" s="228">
        <v>-2.13</v>
      </c>
      <c r="DL5" s="228">
        <v>-2.13</v>
      </c>
      <c r="DM5" s="228">
        <v>36.74</v>
      </c>
      <c r="DN5" s="228">
        <v>38.92</v>
      </c>
      <c r="DO5" s="228">
        <v>-2.1800000000000002</v>
      </c>
      <c r="DP5" s="228">
        <v>-2.1800000000000002</v>
      </c>
      <c r="DQ5" s="228">
        <v>0.64</v>
      </c>
      <c r="DR5" s="228">
        <v>0.63</v>
      </c>
      <c r="DS5" s="228">
        <v>0.01</v>
      </c>
      <c r="DT5" s="229">
        <v>1.5900000000000001E-2</v>
      </c>
      <c r="DU5" s="231">
        <v>1000</v>
      </c>
      <c r="DV5" s="228">
        <v>900</v>
      </c>
      <c r="DW5" s="228">
        <v>0.38</v>
      </c>
      <c r="DX5" s="228">
        <v>0.31</v>
      </c>
      <c r="DY5" s="228">
        <v>7.0000000000000007E-2</v>
      </c>
      <c r="DZ5" s="229">
        <v>0.2258</v>
      </c>
      <c r="EA5" s="229">
        <v>1.9599999999999999E-2</v>
      </c>
      <c r="EB5" s="230">
        <v>314550</v>
      </c>
      <c r="EC5" s="229">
        <v>5.4000000000000003E-3</v>
      </c>
      <c r="ED5" s="229">
        <v>1.9599999999999999E-2</v>
      </c>
      <c r="EE5" s="228">
        <v>5.09</v>
      </c>
      <c r="EF5" s="229">
        <v>5.3E-3</v>
      </c>
      <c r="EG5" s="230">
        <v>622640</v>
      </c>
      <c r="EH5" s="230">
        <v>774065</v>
      </c>
      <c r="EI5" s="229">
        <v>-0.1956</v>
      </c>
      <c r="EJ5" s="229">
        <v>0.45429999999999998</v>
      </c>
      <c r="EK5" s="228">
        <v>492.31</v>
      </c>
      <c r="EL5" s="228">
        <v>176.94</v>
      </c>
      <c r="EM5" s="228">
        <v>191.03</v>
      </c>
      <c r="EN5" s="228">
        <v>28.44</v>
      </c>
      <c r="EO5" s="228">
        <v>860.29</v>
      </c>
      <c r="EP5" s="228">
        <v>869.33</v>
      </c>
      <c r="EQ5" s="228">
        <v>-9.0399999999999991</v>
      </c>
      <c r="ER5" s="229">
        <v>-1.04E-2</v>
      </c>
      <c r="ES5" s="228">
        <v>345.15</v>
      </c>
      <c r="ET5" s="228">
        <v>201.01</v>
      </c>
      <c r="EU5" s="231">
        <v>1727.28</v>
      </c>
      <c r="EV5" s="231">
        <v>51907388</v>
      </c>
      <c r="EW5" s="231">
        <v>2273.44</v>
      </c>
      <c r="EX5" s="231">
        <v>2286.48</v>
      </c>
      <c r="EY5" s="228">
        <v>-13.04</v>
      </c>
      <c r="EZ5" s="229">
        <v>-5.7000000000000002E-3</v>
      </c>
      <c r="FA5" s="229">
        <v>0.46339999999999998</v>
      </c>
      <c r="FB5" s="227" t="s">
        <v>556</v>
      </c>
      <c r="FC5">
        <f t="shared" si="0"/>
        <v>34</v>
      </c>
    </row>
    <row r="6" spans="1:159" ht="17.25" thickBot="1" x14ac:dyDescent="0.3">
      <c r="A6" s="226">
        <v>45946</v>
      </c>
      <c r="B6" s="227" t="s">
        <v>215</v>
      </c>
      <c r="C6" s="227" t="s">
        <v>159</v>
      </c>
      <c r="D6" s="228">
        <v>300</v>
      </c>
      <c r="E6" s="228">
        <v>12</v>
      </c>
      <c r="F6" s="231">
        <v>2567.6999999999998</v>
      </c>
      <c r="G6" s="231">
        <v>2544.6</v>
      </c>
      <c r="H6" s="228">
        <v>23.1</v>
      </c>
      <c r="I6" s="229">
        <v>9.1000000000000004E-3</v>
      </c>
      <c r="J6" s="231">
        <v>2557.6</v>
      </c>
      <c r="K6" s="231">
        <v>2532.8000000000002</v>
      </c>
      <c r="L6" s="228">
        <v>24.8</v>
      </c>
      <c r="M6" s="229">
        <v>9.7999999999999997E-3</v>
      </c>
      <c r="N6" s="231">
        <v>2567.6999999999998</v>
      </c>
      <c r="O6" s="231">
        <v>2544.6</v>
      </c>
      <c r="P6" s="228">
        <v>23.1</v>
      </c>
      <c r="Q6" s="229">
        <v>9.1000000000000004E-3</v>
      </c>
      <c r="R6" s="231">
        <v>2581.5</v>
      </c>
      <c r="S6" s="231">
        <v>2557</v>
      </c>
      <c r="T6" s="228">
        <v>24.5</v>
      </c>
      <c r="U6" s="229">
        <v>9.5999999999999992E-3</v>
      </c>
      <c r="V6" s="231">
        <v>2595.8000000000002</v>
      </c>
      <c r="W6" s="231">
        <v>2574.4</v>
      </c>
      <c r="X6" s="228">
        <v>21.4</v>
      </c>
      <c r="Y6" s="229">
        <v>8.3000000000000001E-3</v>
      </c>
      <c r="Z6" s="228">
        <v>10.1</v>
      </c>
      <c r="AA6" s="228">
        <v>11.8</v>
      </c>
      <c r="AB6" s="228">
        <v>-1.7</v>
      </c>
      <c r="AC6" s="229">
        <v>3.8999999999999998E-3</v>
      </c>
      <c r="AD6" s="228">
        <v>10.1</v>
      </c>
      <c r="AE6" s="228">
        <v>11.8</v>
      </c>
      <c r="AF6" s="228">
        <v>-1.7</v>
      </c>
      <c r="AG6" s="229">
        <v>3.8999999999999998E-3</v>
      </c>
      <c r="AH6" s="228">
        <v>23.9</v>
      </c>
      <c r="AI6" s="228">
        <v>24.2</v>
      </c>
      <c r="AJ6" s="228">
        <v>-0.3</v>
      </c>
      <c r="AK6" s="229">
        <v>9.2999999999999992E-3</v>
      </c>
      <c r="AL6" s="228">
        <v>38.200000000000003</v>
      </c>
      <c r="AM6" s="228">
        <v>41.6</v>
      </c>
      <c r="AN6" s="228">
        <v>-3.4</v>
      </c>
      <c r="AO6" s="229">
        <v>1.49E-2</v>
      </c>
      <c r="AP6" s="231">
        <v>2573.25</v>
      </c>
      <c r="AQ6" s="231">
        <v>2586.21</v>
      </c>
      <c r="AR6" s="228">
        <v>0</v>
      </c>
      <c r="AS6" s="228">
        <v>517</v>
      </c>
      <c r="AT6" s="228">
        <v>442</v>
      </c>
      <c r="AU6" s="228">
        <v>75</v>
      </c>
      <c r="AV6" s="229">
        <v>0.17019999999999999</v>
      </c>
      <c r="AW6" s="228">
        <v>427</v>
      </c>
      <c r="AX6" s="228">
        <v>393</v>
      </c>
      <c r="AY6" s="228">
        <v>34</v>
      </c>
      <c r="AZ6" s="229">
        <v>8.6900000000000005E-2</v>
      </c>
      <c r="BA6" s="228">
        <v>88</v>
      </c>
      <c r="BB6" s="228">
        <v>46</v>
      </c>
      <c r="BC6" s="228">
        <v>41</v>
      </c>
      <c r="BD6" s="229">
        <v>0.88390000000000002</v>
      </c>
      <c r="BE6" s="228">
        <v>3</v>
      </c>
      <c r="BF6" s="228">
        <v>3</v>
      </c>
      <c r="BG6" s="228">
        <v>0</v>
      </c>
      <c r="BH6" s="229">
        <v>0</v>
      </c>
      <c r="BI6" s="230">
        <v>2681</v>
      </c>
      <c r="BJ6" s="230">
        <v>2422</v>
      </c>
      <c r="BK6" s="228">
        <v>259</v>
      </c>
      <c r="BL6" s="229">
        <v>0.10680000000000001</v>
      </c>
      <c r="BM6" s="228">
        <v>877</v>
      </c>
      <c r="BN6" s="228">
        <v>829</v>
      </c>
      <c r="BO6" s="228">
        <v>48</v>
      </c>
      <c r="BP6" s="229">
        <v>5.7700000000000001E-2</v>
      </c>
      <c r="BQ6" s="230">
        <v>4074</v>
      </c>
      <c r="BR6" s="230">
        <v>3693</v>
      </c>
      <c r="BS6" s="228">
        <v>382</v>
      </c>
      <c r="BT6" s="229">
        <v>0.1033</v>
      </c>
      <c r="BU6" s="230">
        <v>1102855</v>
      </c>
      <c r="BV6" s="230">
        <v>784639</v>
      </c>
      <c r="BW6" s="230">
        <v>318216</v>
      </c>
      <c r="BX6" s="229">
        <v>0.40560000000000002</v>
      </c>
      <c r="BY6" s="230">
        <v>3662</v>
      </c>
      <c r="BZ6" s="230">
        <v>3627</v>
      </c>
      <c r="CA6" s="228">
        <v>35</v>
      </c>
      <c r="CB6" s="229">
        <v>9.7999999999999997E-3</v>
      </c>
      <c r="CC6" s="230">
        <v>3475</v>
      </c>
      <c r="CD6" s="230">
        <v>3492</v>
      </c>
      <c r="CE6" s="228">
        <v>-16</v>
      </c>
      <c r="CF6" s="229">
        <v>-4.5999999999999999E-3</v>
      </c>
      <c r="CG6" s="228">
        <v>176</v>
      </c>
      <c r="CH6" s="228">
        <v>126</v>
      </c>
      <c r="CI6" s="228">
        <v>50</v>
      </c>
      <c r="CJ6" s="229">
        <v>0.40110000000000001</v>
      </c>
      <c r="CK6" s="228">
        <v>11</v>
      </c>
      <c r="CL6" s="228">
        <v>10</v>
      </c>
      <c r="CM6" s="228">
        <v>1</v>
      </c>
      <c r="CN6" s="229">
        <v>0.112</v>
      </c>
      <c r="CO6" s="230">
        <v>2206</v>
      </c>
      <c r="CP6" s="230">
        <v>2204</v>
      </c>
      <c r="CQ6" s="228">
        <v>2</v>
      </c>
      <c r="CR6" s="229">
        <v>8.0000000000000004E-4</v>
      </c>
      <c r="CS6" s="230">
        <v>1220</v>
      </c>
      <c r="CT6" s="230">
        <v>1226</v>
      </c>
      <c r="CU6" s="228">
        <v>-6</v>
      </c>
      <c r="CV6" s="229">
        <v>-5.0000000000000001E-3</v>
      </c>
      <c r="CW6" s="230">
        <v>7088</v>
      </c>
      <c r="CX6" s="230">
        <v>7057</v>
      </c>
      <c r="CY6" s="228">
        <v>31</v>
      </c>
      <c r="CZ6" s="229">
        <v>4.4000000000000003E-3</v>
      </c>
      <c r="DA6" s="228">
        <v>30.02</v>
      </c>
      <c r="DB6" s="228">
        <v>31.45</v>
      </c>
      <c r="DC6" s="228">
        <v>-1.43</v>
      </c>
      <c r="DD6" s="228">
        <v>-1.43</v>
      </c>
      <c r="DE6" s="228">
        <v>49.3</v>
      </c>
      <c r="DF6" s="228">
        <v>49.41</v>
      </c>
      <c r="DG6" s="228">
        <v>-19.28</v>
      </c>
      <c r="DH6" s="228">
        <v>-0.11</v>
      </c>
      <c r="DI6" s="228">
        <v>30</v>
      </c>
      <c r="DJ6" s="228">
        <v>31.68</v>
      </c>
      <c r="DK6" s="228">
        <v>-1.68</v>
      </c>
      <c r="DL6" s="228">
        <v>-1.68</v>
      </c>
      <c r="DM6" s="228">
        <v>30.09</v>
      </c>
      <c r="DN6" s="228">
        <v>30.75</v>
      </c>
      <c r="DO6" s="228">
        <v>-0.66</v>
      </c>
      <c r="DP6" s="228">
        <v>-0.66</v>
      </c>
      <c r="DQ6" s="228">
        <v>0.55000000000000004</v>
      </c>
      <c r="DR6" s="228">
        <v>0.56000000000000005</v>
      </c>
      <c r="DS6" s="228">
        <v>-0.01</v>
      </c>
      <c r="DT6" s="229">
        <v>-1.7899999999999999E-2</v>
      </c>
      <c r="DU6" s="231">
        <v>2600</v>
      </c>
      <c r="DV6" s="231">
        <v>2500</v>
      </c>
      <c r="DW6" s="228">
        <v>0.33</v>
      </c>
      <c r="DX6" s="228">
        <v>0.34</v>
      </c>
      <c r="DY6" s="228">
        <v>-0.01</v>
      </c>
      <c r="DZ6" s="229">
        <v>-2.9399999999999999E-2</v>
      </c>
      <c r="EA6" s="229">
        <v>5.0999999999999997E-2</v>
      </c>
      <c r="EB6" s="230">
        <v>527400</v>
      </c>
      <c r="EC6" s="229">
        <v>5.4000000000000003E-3</v>
      </c>
      <c r="ED6" s="229">
        <v>5.0999999999999997E-2</v>
      </c>
      <c r="EE6" s="228">
        <v>12.96</v>
      </c>
      <c r="EF6" s="229">
        <v>5.0000000000000001E-3</v>
      </c>
      <c r="EG6" s="230">
        <v>457848</v>
      </c>
      <c r="EH6" s="230">
        <v>333820</v>
      </c>
      <c r="EI6" s="229">
        <v>0.3715</v>
      </c>
      <c r="EJ6" s="229">
        <v>0.41510000000000002</v>
      </c>
      <c r="EK6" s="231">
        <v>2785.7</v>
      </c>
      <c r="EL6" s="228">
        <v>877.28</v>
      </c>
      <c r="EM6" s="228">
        <v>518.62</v>
      </c>
      <c r="EN6" s="228">
        <v>50.84</v>
      </c>
      <c r="EO6" s="231">
        <v>4181.6099999999997</v>
      </c>
      <c r="EP6" s="231">
        <v>3771.82</v>
      </c>
      <c r="EQ6" s="228">
        <v>409.78</v>
      </c>
      <c r="ER6" s="229">
        <v>0.1086</v>
      </c>
      <c r="ES6" s="231">
        <v>2300.4499999999998</v>
      </c>
      <c r="ET6" s="231">
        <v>1188.23</v>
      </c>
      <c r="EU6" s="231">
        <v>3663.5</v>
      </c>
      <c r="EV6" s="231">
        <v>30040977</v>
      </c>
      <c r="EW6" s="231">
        <v>7152.18</v>
      </c>
      <c r="EX6" s="231">
        <v>7085.88</v>
      </c>
      <c r="EY6" s="228">
        <v>66.3</v>
      </c>
      <c r="EZ6" s="229">
        <v>9.4000000000000004E-3</v>
      </c>
      <c r="FA6" s="229">
        <v>0.91890000000000005</v>
      </c>
      <c r="FB6" s="227" t="s">
        <v>555</v>
      </c>
      <c r="FC6">
        <f t="shared" si="0"/>
        <v>187</v>
      </c>
    </row>
    <row r="7" spans="1:159" ht="17.25" thickBot="1" x14ac:dyDescent="0.3">
      <c r="A7" s="226">
        <v>45946</v>
      </c>
      <c r="B7" s="227" t="s">
        <v>161</v>
      </c>
      <c r="C7" s="227" t="s">
        <v>606</v>
      </c>
      <c r="D7" s="228">
        <v>600</v>
      </c>
      <c r="E7" s="228">
        <v>12</v>
      </c>
      <c r="F7" s="231">
        <v>1064.3</v>
      </c>
      <c r="G7" s="231">
        <v>1050.3</v>
      </c>
      <c r="H7" s="228">
        <v>14</v>
      </c>
      <c r="I7" s="229">
        <v>1.3299999999999999E-2</v>
      </c>
      <c r="J7" s="231">
        <v>1060.3</v>
      </c>
      <c r="K7" s="231">
        <v>1043.8</v>
      </c>
      <c r="L7" s="228">
        <v>16.5</v>
      </c>
      <c r="M7" s="229">
        <v>1.5800000000000002E-2</v>
      </c>
      <c r="N7" s="231">
        <v>1064.3</v>
      </c>
      <c r="O7" s="231">
        <v>1050.3</v>
      </c>
      <c r="P7" s="228">
        <v>14</v>
      </c>
      <c r="Q7" s="229">
        <v>1.3299999999999999E-2</v>
      </c>
      <c r="R7" s="231">
        <v>1070.0999999999999</v>
      </c>
      <c r="S7" s="231">
        <v>1055.0999999999999</v>
      </c>
      <c r="T7" s="228">
        <v>15</v>
      </c>
      <c r="U7" s="229">
        <v>1.4200000000000001E-2</v>
      </c>
      <c r="V7" s="231">
        <v>1076.4000000000001</v>
      </c>
      <c r="W7" s="231">
        <v>1065.7</v>
      </c>
      <c r="X7" s="228">
        <v>10.7</v>
      </c>
      <c r="Y7" s="229">
        <v>0.01</v>
      </c>
      <c r="Z7" s="228">
        <v>4</v>
      </c>
      <c r="AA7" s="228">
        <v>6.5</v>
      </c>
      <c r="AB7" s="228">
        <v>-2.5</v>
      </c>
      <c r="AC7" s="229">
        <v>3.8E-3</v>
      </c>
      <c r="AD7" s="228">
        <v>4</v>
      </c>
      <c r="AE7" s="228">
        <v>6.5</v>
      </c>
      <c r="AF7" s="228">
        <v>-2.5</v>
      </c>
      <c r="AG7" s="229">
        <v>3.8E-3</v>
      </c>
      <c r="AH7" s="228">
        <v>9.8000000000000007</v>
      </c>
      <c r="AI7" s="228">
        <v>11.3</v>
      </c>
      <c r="AJ7" s="228">
        <v>-1.5</v>
      </c>
      <c r="AK7" s="229">
        <v>9.1999999999999998E-3</v>
      </c>
      <c r="AL7" s="228">
        <v>16.100000000000001</v>
      </c>
      <c r="AM7" s="228">
        <v>21.9</v>
      </c>
      <c r="AN7" s="228">
        <v>-5.8</v>
      </c>
      <c r="AO7" s="229">
        <v>1.52E-2</v>
      </c>
      <c r="AP7" s="231">
        <v>1064.46</v>
      </c>
      <c r="AQ7" s="231">
        <v>1070.55</v>
      </c>
      <c r="AR7" s="228">
        <v>0</v>
      </c>
      <c r="AS7" s="228">
        <v>331</v>
      </c>
      <c r="AT7" s="228">
        <v>235</v>
      </c>
      <c r="AU7" s="228">
        <v>96</v>
      </c>
      <c r="AV7" s="229">
        <v>0.4073</v>
      </c>
      <c r="AW7" s="228">
        <v>264</v>
      </c>
      <c r="AX7" s="228">
        <v>200</v>
      </c>
      <c r="AY7" s="228">
        <v>64</v>
      </c>
      <c r="AZ7" s="229">
        <v>0.32069999999999999</v>
      </c>
      <c r="BA7" s="228">
        <v>62</v>
      </c>
      <c r="BB7" s="228">
        <v>32</v>
      </c>
      <c r="BC7" s="228">
        <v>31</v>
      </c>
      <c r="BD7" s="229">
        <v>0.95599999999999996</v>
      </c>
      <c r="BE7" s="228">
        <v>4</v>
      </c>
      <c r="BF7" s="228">
        <v>3</v>
      </c>
      <c r="BG7" s="228">
        <v>1</v>
      </c>
      <c r="BH7" s="229">
        <v>0.34620000000000001</v>
      </c>
      <c r="BI7" s="230">
        <v>1422</v>
      </c>
      <c r="BJ7" s="228">
        <v>936</v>
      </c>
      <c r="BK7" s="228">
        <v>486</v>
      </c>
      <c r="BL7" s="229">
        <v>0.51970000000000005</v>
      </c>
      <c r="BM7" s="228">
        <v>394</v>
      </c>
      <c r="BN7" s="228">
        <v>299</v>
      </c>
      <c r="BO7" s="228">
        <v>95</v>
      </c>
      <c r="BP7" s="229">
        <v>0.316</v>
      </c>
      <c r="BQ7" s="230">
        <v>2147</v>
      </c>
      <c r="BR7" s="230">
        <v>1470</v>
      </c>
      <c r="BS7" s="228">
        <v>677</v>
      </c>
      <c r="BT7" s="229">
        <v>0.4602</v>
      </c>
      <c r="BU7" s="230">
        <v>1951162</v>
      </c>
      <c r="BV7" s="230">
        <v>1301666</v>
      </c>
      <c r="BW7" s="230">
        <v>649496</v>
      </c>
      <c r="BX7" s="229">
        <v>0.499</v>
      </c>
      <c r="BY7" s="230">
        <v>2189</v>
      </c>
      <c r="BZ7" s="230">
        <v>2163</v>
      </c>
      <c r="CA7" s="228">
        <v>26</v>
      </c>
      <c r="CB7" s="229">
        <v>1.1900000000000001E-2</v>
      </c>
      <c r="CC7" s="230">
        <v>2071</v>
      </c>
      <c r="CD7" s="230">
        <v>2064</v>
      </c>
      <c r="CE7" s="228">
        <v>7</v>
      </c>
      <c r="CF7" s="229">
        <v>3.5999999999999999E-3</v>
      </c>
      <c r="CG7" s="228">
        <v>107</v>
      </c>
      <c r="CH7" s="228">
        <v>90</v>
      </c>
      <c r="CI7" s="228">
        <v>17</v>
      </c>
      <c r="CJ7" s="229">
        <v>0.18720000000000001</v>
      </c>
      <c r="CK7" s="228">
        <v>11</v>
      </c>
      <c r="CL7" s="228">
        <v>9</v>
      </c>
      <c r="CM7" s="228">
        <v>2</v>
      </c>
      <c r="CN7" s="229">
        <v>0.16889999999999999</v>
      </c>
      <c r="CO7" s="230">
        <v>1182</v>
      </c>
      <c r="CP7" s="230">
        <v>1197</v>
      </c>
      <c r="CQ7" s="228">
        <v>-15</v>
      </c>
      <c r="CR7" s="229">
        <v>-1.29E-2</v>
      </c>
      <c r="CS7" s="228">
        <v>586</v>
      </c>
      <c r="CT7" s="228">
        <v>561</v>
      </c>
      <c r="CU7" s="228">
        <v>25</v>
      </c>
      <c r="CV7" s="229">
        <v>4.5199999999999997E-2</v>
      </c>
      <c r="CW7" s="230">
        <v>3956</v>
      </c>
      <c r="CX7" s="230">
        <v>3921</v>
      </c>
      <c r="CY7" s="228">
        <v>36</v>
      </c>
      <c r="CZ7" s="229">
        <v>9.1000000000000004E-3</v>
      </c>
      <c r="DA7" s="228">
        <v>42.05</v>
      </c>
      <c r="DB7" s="228">
        <v>42.93</v>
      </c>
      <c r="DC7" s="228">
        <v>-0.88</v>
      </c>
      <c r="DD7" s="228">
        <v>-0.88</v>
      </c>
      <c r="DE7" s="228">
        <v>58.42</v>
      </c>
      <c r="DF7" s="228">
        <v>58.54</v>
      </c>
      <c r="DG7" s="228">
        <v>-16.37</v>
      </c>
      <c r="DH7" s="228">
        <v>-0.12</v>
      </c>
      <c r="DI7" s="228">
        <v>42.38</v>
      </c>
      <c r="DJ7" s="228">
        <v>43.54</v>
      </c>
      <c r="DK7" s="228">
        <v>-1.1599999999999999</v>
      </c>
      <c r="DL7" s="228">
        <v>-1.1599999999999999</v>
      </c>
      <c r="DM7" s="228">
        <v>40.880000000000003</v>
      </c>
      <c r="DN7" s="228">
        <v>41.03</v>
      </c>
      <c r="DO7" s="228">
        <v>-0.15</v>
      </c>
      <c r="DP7" s="228">
        <v>-0.15</v>
      </c>
      <c r="DQ7" s="228">
        <v>0.5</v>
      </c>
      <c r="DR7" s="228">
        <v>0.47</v>
      </c>
      <c r="DS7" s="228">
        <v>0.03</v>
      </c>
      <c r="DT7" s="229">
        <v>6.3799999999999996E-2</v>
      </c>
      <c r="DU7" s="231">
        <v>1100</v>
      </c>
      <c r="DV7" s="231">
        <v>1000</v>
      </c>
      <c r="DW7" s="228">
        <v>0.28000000000000003</v>
      </c>
      <c r="DX7" s="228">
        <v>0.32</v>
      </c>
      <c r="DY7" s="228">
        <v>-0.04</v>
      </c>
      <c r="DZ7" s="229">
        <v>-0.125</v>
      </c>
      <c r="EA7" s="229">
        <v>5.3900000000000003E-2</v>
      </c>
      <c r="EB7" s="230">
        <v>934800</v>
      </c>
      <c r="EC7" s="229">
        <v>5.4000000000000003E-3</v>
      </c>
      <c r="ED7" s="229">
        <v>5.3900000000000003E-2</v>
      </c>
      <c r="EE7" s="228">
        <v>6.09</v>
      </c>
      <c r="EF7" s="229">
        <v>5.7000000000000002E-3</v>
      </c>
      <c r="EG7" s="230">
        <v>546015</v>
      </c>
      <c r="EH7" s="230">
        <v>371280</v>
      </c>
      <c r="EI7" s="229">
        <v>0.47060000000000002</v>
      </c>
      <c r="EJ7" s="229">
        <v>0.27979999999999999</v>
      </c>
      <c r="EK7" s="231">
        <v>1499.95</v>
      </c>
      <c r="EL7" s="228">
        <v>387.72</v>
      </c>
      <c r="EM7" s="228">
        <v>331.43</v>
      </c>
      <c r="EN7" s="228">
        <v>38.15</v>
      </c>
      <c r="EO7" s="231">
        <v>2219.11</v>
      </c>
      <c r="EP7" s="231">
        <v>1509.68</v>
      </c>
      <c r="EQ7" s="228">
        <v>709.43</v>
      </c>
      <c r="ER7" s="229">
        <v>0.46989999999999998</v>
      </c>
      <c r="ES7" s="231">
        <v>1260.22</v>
      </c>
      <c r="ET7" s="228">
        <v>567.59</v>
      </c>
      <c r="EU7" s="231">
        <v>2189.5</v>
      </c>
      <c r="EV7" s="231">
        <v>61877951</v>
      </c>
      <c r="EW7" s="231">
        <v>4017.31</v>
      </c>
      <c r="EX7" s="231">
        <v>3951.45</v>
      </c>
      <c r="EY7" s="228">
        <v>65.86</v>
      </c>
      <c r="EZ7" s="229">
        <v>1.67E-2</v>
      </c>
      <c r="FA7" s="229">
        <v>0.6008</v>
      </c>
      <c r="FB7" s="227" t="s">
        <v>555</v>
      </c>
      <c r="FC7">
        <f t="shared" si="0"/>
        <v>118</v>
      </c>
    </row>
    <row r="8" spans="1:159" ht="17.25" thickBot="1" x14ac:dyDescent="0.3">
      <c r="A8" s="226">
        <v>45946</v>
      </c>
      <c r="B8" s="227" t="s">
        <v>215</v>
      </c>
      <c r="C8" s="227" t="s">
        <v>160</v>
      </c>
      <c r="D8" s="228">
        <v>475</v>
      </c>
      <c r="E8" s="228">
        <v>12</v>
      </c>
      <c r="F8" s="231">
        <v>1481.7</v>
      </c>
      <c r="G8" s="231">
        <v>1457.3</v>
      </c>
      <c r="H8" s="228">
        <v>24.4</v>
      </c>
      <c r="I8" s="229">
        <v>1.67E-2</v>
      </c>
      <c r="J8" s="231">
        <v>1479.5</v>
      </c>
      <c r="K8" s="231">
        <v>1450.7</v>
      </c>
      <c r="L8" s="228">
        <v>28.8</v>
      </c>
      <c r="M8" s="229">
        <v>1.9900000000000001E-2</v>
      </c>
      <c r="N8" s="231">
        <v>1481.7</v>
      </c>
      <c r="O8" s="231">
        <v>1457.3</v>
      </c>
      <c r="P8" s="228">
        <v>24.4</v>
      </c>
      <c r="Q8" s="229">
        <v>1.67E-2</v>
      </c>
      <c r="R8" s="231">
        <v>1490</v>
      </c>
      <c r="S8" s="231">
        <v>1465.1</v>
      </c>
      <c r="T8" s="228">
        <v>24.9</v>
      </c>
      <c r="U8" s="229">
        <v>1.7000000000000001E-2</v>
      </c>
      <c r="V8" s="231">
        <v>1498.8</v>
      </c>
      <c r="W8" s="231">
        <v>1472.8</v>
      </c>
      <c r="X8" s="228">
        <v>26</v>
      </c>
      <c r="Y8" s="229">
        <v>1.77E-2</v>
      </c>
      <c r="Z8" s="228">
        <v>2.2000000000000002</v>
      </c>
      <c r="AA8" s="228">
        <v>6.6</v>
      </c>
      <c r="AB8" s="228">
        <v>-4.4000000000000004</v>
      </c>
      <c r="AC8" s="229">
        <v>1.5E-3</v>
      </c>
      <c r="AD8" s="228">
        <v>2.2000000000000002</v>
      </c>
      <c r="AE8" s="228">
        <v>6.6</v>
      </c>
      <c r="AF8" s="228">
        <v>-4.4000000000000004</v>
      </c>
      <c r="AG8" s="229">
        <v>1.5E-3</v>
      </c>
      <c r="AH8" s="228">
        <v>10.5</v>
      </c>
      <c r="AI8" s="228">
        <v>14.4</v>
      </c>
      <c r="AJ8" s="228">
        <v>-3.9</v>
      </c>
      <c r="AK8" s="229">
        <v>7.1000000000000004E-3</v>
      </c>
      <c r="AL8" s="228">
        <v>19.3</v>
      </c>
      <c r="AM8" s="228">
        <v>22.1</v>
      </c>
      <c r="AN8" s="228">
        <v>-2.8</v>
      </c>
      <c r="AO8" s="229">
        <v>1.2999999999999999E-2</v>
      </c>
      <c r="AP8" s="231">
        <v>1481.07</v>
      </c>
      <c r="AQ8" s="231">
        <v>1489.91</v>
      </c>
      <c r="AR8" s="228">
        <v>0</v>
      </c>
      <c r="AS8" s="228">
        <v>763</v>
      </c>
      <c r="AT8" s="228">
        <v>526</v>
      </c>
      <c r="AU8" s="228">
        <v>237</v>
      </c>
      <c r="AV8" s="229">
        <v>0.45040000000000002</v>
      </c>
      <c r="AW8" s="228">
        <v>663</v>
      </c>
      <c r="AX8" s="228">
        <v>478</v>
      </c>
      <c r="AY8" s="228">
        <v>185</v>
      </c>
      <c r="AZ8" s="229">
        <v>0.38629999999999998</v>
      </c>
      <c r="BA8" s="228">
        <v>94</v>
      </c>
      <c r="BB8" s="228">
        <v>45</v>
      </c>
      <c r="BC8" s="228">
        <v>50</v>
      </c>
      <c r="BD8" s="229">
        <v>1.1185</v>
      </c>
      <c r="BE8" s="228">
        <v>6</v>
      </c>
      <c r="BF8" s="228">
        <v>4</v>
      </c>
      <c r="BG8" s="228">
        <v>3</v>
      </c>
      <c r="BH8" s="229">
        <v>0.69230000000000003</v>
      </c>
      <c r="BI8" s="230">
        <v>4146</v>
      </c>
      <c r="BJ8" s="230">
        <v>2306</v>
      </c>
      <c r="BK8" s="230">
        <v>1839</v>
      </c>
      <c r="BL8" s="229">
        <v>0.79749999999999999</v>
      </c>
      <c r="BM8" s="230">
        <v>1611</v>
      </c>
      <c r="BN8" s="228">
        <v>915</v>
      </c>
      <c r="BO8" s="228">
        <v>696</v>
      </c>
      <c r="BP8" s="229">
        <v>0.76039999999999996</v>
      </c>
      <c r="BQ8" s="230">
        <v>6520</v>
      </c>
      <c r="BR8" s="230">
        <v>3747</v>
      </c>
      <c r="BS8" s="230">
        <v>2772</v>
      </c>
      <c r="BT8" s="229">
        <v>0.73970000000000002</v>
      </c>
      <c r="BU8" s="230">
        <v>7823340</v>
      </c>
      <c r="BV8" s="230">
        <v>2792924</v>
      </c>
      <c r="BW8" s="230">
        <v>5030416</v>
      </c>
      <c r="BX8" s="229">
        <v>1.8010999999999999</v>
      </c>
      <c r="BY8" s="230">
        <v>3410</v>
      </c>
      <c r="BZ8" s="230">
        <v>3343</v>
      </c>
      <c r="CA8" s="228">
        <v>67</v>
      </c>
      <c r="CB8" s="229">
        <v>1.9900000000000001E-2</v>
      </c>
      <c r="CC8" s="230">
        <v>3251</v>
      </c>
      <c r="CD8" s="230">
        <v>3211</v>
      </c>
      <c r="CE8" s="228">
        <v>39</v>
      </c>
      <c r="CF8" s="229">
        <v>1.23E-2</v>
      </c>
      <c r="CG8" s="228">
        <v>144</v>
      </c>
      <c r="CH8" s="228">
        <v>119</v>
      </c>
      <c r="CI8" s="228">
        <v>26</v>
      </c>
      <c r="CJ8" s="229">
        <v>0.217</v>
      </c>
      <c r="CK8" s="228">
        <v>14</v>
      </c>
      <c r="CL8" s="228">
        <v>13</v>
      </c>
      <c r="CM8" s="228">
        <v>2</v>
      </c>
      <c r="CN8" s="229">
        <v>0.1215</v>
      </c>
      <c r="CO8" s="230">
        <v>1047</v>
      </c>
      <c r="CP8" s="230">
        <v>1082</v>
      </c>
      <c r="CQ8" s="228">
        <v>-34</v>
      </c>
      <c r="CR8" s="229">
        <v>-3.1899999999999998E-2</v>
      </c>
      <c r="CS8" s="228">
        <v>767</v>
      </c>
      <c r="CT8" s="228">
        <v>738</v>
      </c>
      <c r="CU8" s="228">
        <v>29</v>
      </c>
      <c r="CV8" s="229">
        <v>3.8899999999999997E-2</v>
      </c>
      <c r="CW8" s="230">
        <v>5223</v>
      </c>
      <c r="CX8" s="230">
        <v>5162</v>
      </c>
      <c r="CY8" s="228">
        <v>61</v>
      </c>
      <c r="CZ8" s="229">
        <v>1.18E-2</v>
      </c>
      <c r="DA8" s="228">
        <v>23.08</v>
      </c>
      <c r="DB8" s="228">
        <v>24.09</v>
      </c>
      <c r="DC8" s="228">
        <v>-1.01</v>
      </c>
      <c r="DD8" s="228">
        <v>-1.01</v>
      </c>
      <c r="DE8" s="228">
        <v>39.06</v>
      </c>
      <c r="DF8" s="228">
        <v>39.07</v>
      </c>
      <c r="DG8" s="228">
        <v>-15.98</v>
      </c>
      <c r="DH8" s="228">
        <v>-0.01</v>
      </c>
      <c r="DI8" s="228">
        <v>22.83</v>
      </c>
      <c r="DJ8" s="228">
        <v>23.89</v>
      </c>
      <c r="DK8" s="228">
        <v>-1.06</v>
      </c>
      <c r="DL8" s="228">
        <v>-1.06</v>
      </c>
      <c r="DM8" s="228">
        <v>23.72</v>
      </c>
      <c r="DN8" s="228">
        <v>24.61</v>
      </c>
      <c r="DO8" s="228">
        <v>-0.89</v>
      </c>
      <c r="DP8" s="228">
        <v>-0.89</v>
      </c>
      <c r="DQ8" s="228">
        <v>0.73</v>
      </c>
      <c r="DR8" s="228">
        <v>0.68</v>
      </c>
      <c r="DS8" s="228">
        <v>0.05</v>
      </c>
      <c r="DT8" s="229">
        <v>7.3499999999999996E-2</v>
      </c>
      <c r="DU8" s="231">
        <v>1500</v>
      </c>
      <c r="DV8" s="231">
        <v>1400</v>
      </c>
      <c r="DW8" s="228">
        <v>0.39</v>
      </c>
      <c r="DX8" s="228">
        <v>0.4</v>
      </c>
      <c r="DY8" s="228">
        <v>-0.01</v>
      </c>
      <c r="DZ8" s="229">
        <v>-2.5000000000000001E-2</v>
      </c>
      <c r="EA8" s="229">
        <v>4.6600000000000003E-2</v>
      </c>
      <c r="EB8" s="230">
        <v>887300</v>
      </c>
      <c r="EC8" s="229">
        <v>5.5999999999999999E-3</v>
      </c>
      <c r="ED8" s="229">
        <v>4.6600000000000003E-2</v>
      </c>
      <c r="EE8" s="228">
        <v>8.84</v>
      </c>
      <c r="EF8" s="229">
        <v>6.0000000000000001E-3</v>
      </c>
      <c r="EG8" s="230">
        <v>5263819</v>
      </c>
      <c r="EH8" s="230">
        <v>1788639</v>
      </c>
      <c r="EI8" s="229">
        <v>1.9429000000000001</v>
      </c>
      <c r="EJ8" s="229">
        <v>0.67279999999999995</v>
      </c>
      <c r="EK8" s="231">
        <v>4247.12</v>
      </c>
      <c r="EL8" s="231">
        <v>1578.1</v>
      </c>
      <c r="EM8" s="228">
        <v>763.59</v>
      </c>
      <c r="EN8" s="228">
        <v>54.89</v>
      </c>
      <c r="EO8" s="231">
        <v>6588.81</v>
      </c>
      <c r="EP8" s="231">
        <v>3720.45</v>
      </c>
      <c r="EQ8" s="231">
        <v>2868.36</v>
      </c>
      <c r="ER8" s="229">
        <v>0.77100000000000002</v>
      </c>
      <c r="ES8" s="231">
        <v>1051.5</v>
      </c>
      <c r="ET8" s="228">
        <v>725.42</v>
      </c>
      <c r="EU8" s="231">
        <v>3410.57</v>
      </c>
      <c r="EV8" s="231">
        <v>73799006</v>
      </c>
      <c r="EW8" s="231">
        <v>5187.49</v>
      </c>
      <c r="EX8" s="231">
        <v>5057.08</v>
      </c>
      <c r="EY8" s="228">
        <v>130.41</v>
      </c>
      <c r="EZ8" s="229">
        <v>2.58E-2</v>
      </c>
      <c r="FA8" s="229">
        <v>0.47770000000000001</v>
      </c>
      <c r="FB8" s="227" t="s">
        <v>555</v>
      </c>
      <c r="FC8">
        <f t="shared" si="0"/>
        <v>159</v>
      </c>
    </row>
    <row r="9" spans="1:159" ht="17.25" thickBot="1" x14ac:dyDescent="0.3">
      <c r="A9" s="226">
        <v>45946</v>
      </c>
      <c r="B9" s="227" t="s">
        <v>170</v>
      </c>
      <c r="C9" s="227" t="s">
        <v>497</v>
      </c>
      <c r="D9" s="228">
        <v>125</v>
      </c>
      <c r="E9" s="228">
        <v>12</v>
      </c>
      <c r="F9" s="231">
        <v>5545</v>
      </c>
      <c r="G9" s="231">
        <v>5575</v>
      </c>
      <c r="H9" s="228">
        <v>-30</v>
      </c>
      <c r="I9" s="229">
        <v>-5.4000000000000003E-3</v>
      </c>
      <c r="J9" s="231">
        <v>5524</v>
      </c>
      <c r="K9" s="231">
        <v>5566.5</v>
      </c>
      <c r="L9" s="228">
        <v>-42.5</v>
      </c>
      <c r="M9" s="229">
        <v>-7.6E-3</v>
      </c>
      <c r="N9" s="231">
        <v>5545</v>
      </c>
      <c r="O9" s="231">
        <v>5575</v>
      </c>
      <c r="P9" s="228">
        <v>-30</v>
      </c>
      <c r="Q9" s="229">
        <v>-5.4000000000000003E-3</v>
      </c>
      <c r="R9" s="231">
        <v>5573.5</v>
      </c>
      <c r="S9" s="231">
        <v>5604.5</v>
      </c>
      <c r="T9" s="228">
        <v>-31</v>
      </c>
      <c r="U9" s="229">
        <v>-5.4999999999999997E-3</v>
      </c>
      <c r="V9" s="231">
        <v>5614.5</v>
      </c>
      <c r="W9" s="231">
        <v>5614.5</v>
      </c>
      <c r="X9" s="228">
        <v>0</v>
      </c>
      <c r="Y9" s="229">
        <v>0</v>
      </c>
      <c r="Z9" s="228">
        <v>21</v>
      </c>
      <c r="AA9" s="228">
        <v>8.5</v>
      </c>
      <c r="AB9" s="228">
        <v>12.5</v>
      </c>
      <c r="AC9" s="229">
        <v>3.8E-3</v>
      </c>
      <c r="AD9" s="228">
        <v>21</v>
      </c>
      <c r="AE9" s="228">
        <v>8.5</v>
      </c>
      <c r="AF9" s="228">
        <v>12.5</v>
      </c>
      <c r="AG9" s="229">
        <v>3.8E-3</v>
      </c>
      <c r="AH9" s="228">
        <v>49.5</v>
      </c>
      <c r="AI9" s="228">
        <v>38</v>
      </c>
      <c r="AJ9" s="228">
        <v>11.5</v>
      </c>
      <c r="AK9" s="229">
        <v>8.9999999999999993E-3</v>
      </c>
      <c r="AL9" s="228">
        <v>90.5</v>
      </c>
      <c r="AM9" s="228">
        <v>48</v>
      </c>
      <c r="AN9" s="228">
        <v>42.5</v>
      </c>
      <c r="AO9" s="229">
        <v>1.6400000000000001E-2</v>
      </c>
      <c r="AP9" s="231">
        <v>5558.97</v>
      </c>
      <c r="AQ9" s="231">
        <v>5588.77</v>
      </c>
      <c r="AR9" s="228">
        <v>0</v>
      </c>
      <c r="AS9" s="228">
        <v>58</v>
      </c>
      <c r="AT9" s="228">
        <v>104</v>
      </c>
      <c r="AU9" s="228">
        <v>-45</v>
      </c>
      <c r="AV9" s="229">
        <v>-0.43880000000000002</v>
      </c>
      <c r="AW9" s="228">
        <v>50</v>
      </c>
      <c r="AX9" s="228">
        <v>99</v>
      </c>
      <c r="AY9" s="228">
        <v>-49</v>
      </c>
      <c r="AZ9" s="229">
        <v>-0.49399999999999999</v>
      </c>
      <c r="BA9" s="228">
        <v>8</v>
      </c>
      <c r="BB9" s="228">
        <v>5</v>
      </c>
      <c r="BC9" s="228">
        <v>3</v>
      </c>
      <c r="BD9" s="229">
        <v>0.7</v>
      </c>
      <c r="BE9" s="228">
        <v>0</v>
      </c>
      <c r="BF9" s="228">
        <v>0</v>
      </c>
      <c r="BG9" s="228">
        <v>0</v>
      </c>
      <c r="BH9" s="229">
        <v>-1</v>
      </c>
      <c r="BI9" s="228">
        <v>129</v>
      </c>
      <c r="BJ9" s="228">
        <v>312</v>
      </c>
      <c r="BK9" s="228">
        <v>-183</v>
      </c>
      <c r="BL9" s="229">
        <v>-0.58609999999999995</v>
      </c>
      <c r="BM9" s="228">
        <v>68</v>
      </c>
      <c r="BN9" s="228">
        <v>84</v>
      </c>
      <c r="BO9" s="228">
        <v>-16</v>
      </c>
      <c r="BP9" s="229">
        <v>-0.18740000000000001</v>
      </c>
      <c r="BQ9" s="228">
        <v>256</v>
      </c>
      <c r="BR9" s="228">
        <v>500</v>
      </c>
      <c r="BS9" s="228">
        <v>-244</v>
      </c>
      <c r="BT9" s="229">
        <v>-0.48859999999999998</v>
      </c>
      <c r="BU9" s="230">
        <v>169709</v>
      </c>
      <c r="BV9" s="230">
        <v>173943</v>
      </c>
      <c r="BW9" s="230">
        <v>-4234</v>
      </c>
      <c r="BX9" s="229">
        <v>-2.4299999999999999E-2</v>
      </c>
      <c r="BY9" s="228">
        <v>877</v>
      </c>
      <c r="BZ9" s="228">
        <v>871</v>
      </c>
      <c r="CA9" s="228">
        <v>6</v>
      </c>
      <c r="CB9" s="229">
        <v>6.7000000000000002E-3</v>
      </c>
      <c r="CC9" s="228">
        <v>867</v>
      </c>
      <c r="CD9" s="228">
        <v>862</v>
      </c>
      <c r="CE9" s="228">
        <v>5</v>
      </c>
      <c r="CF9" s="229">
        <v>5.8999999999999999E-3</v>
      </c>
      <c r="CG9" s="228">
        <v>9</v>
      </c>
      <c r="CH9" s="228">
        <v>8</v>
      </c>
      <c r="CI9" s="228">
        <v>1</v>
      </c>
      <c r="CJ9" s="229">
        <v>9.1700000000000004E-2</v>
      </c>
      <c r="CK9" s="228">
        <v>1</v>
      </c>
      <c r="CL9" s="228">
        <v>1</v>
      </c>
      <c r="CM9" s="228">
        <v>0</v>
      </c>
      <c r="CN9" s="229">
        <v>0</v>
      </c>
      <c r="CO9" s="228">
        <v>147</v>
      </c>
      <c r="CP9" s="228">
        <v>145</v>
      </c>
      <c r="CQ9" s="228">
        <v>2</v>
      </c>
      <c r="CR9" s="229">
        <v>1.4800000000000001E-2</v>
      </c>
      <c r="CS9" s="228">
        <v>95</v>
      </c>
      <c r="CT9" s="228">
        <v>93</v>
      </c>
      <c r="CU9" s="228">
        <v>2</v>
      </c>
      <c r="CV9" s="229">
        <v>2.1700000000000001E-2</v>
      </c>
      <c r="CW9" s="230">
        <v>1119</v>
      </c>
      <c r="CX9" s="230">
        <v>1109</v>
      </c>
      <c r="CY9" s="228">
        <v>10</v>
      </c>
      <c r="CZ9" s="229">
        <v>8.9999999999999993E-3</v>
      </c>
      <c r="DA9" s="228">
        <v>22.48</v>
      </c>
      <c r="DB9" s="228">
        <v>22.94</v>
      </c>
      <c r="DC9" s="228">
        <v>-0.46</v>
      </c>
      <c r="DD9" s="228">
        <v>-0.46</v>
      </c>
      <c r="DE9" s="228">
        <v>27.86</v>
      </c>
      <c r="DF9" s="228">
        <v>27.92</v>
      </c>
      <c r="DG9" s="228">
        <v>-5.38</v>
      </c>
      <c r="DH9" s="228">
        <v>-0.06</v>
      </c>
      <c r="DI9" s="228">
        <v>21.34</v>
      </c>
      <c r="DJ9" s="228">
        <v>22.83</v>
      </c>
      <c r="DK9" s="228">
        <v>-1.49</v>
      </c>
      <c r="DL9" s="228">
        <v>-1.49</v>
      </c>
      <c r="DM9" s="228">
        <v>24.65</v>
      </c>
      <c r="DN9" s="228">
        <v>23.34</v>
      </c>
      <c r="DO9" s="228">
        <v>1.31</v>
      </c>
      <c r="DP9" s="228">
        <v>1.31</v>
      </c>
      <c r="DQ9" s="228">
        <v>0.64</v>
      </c>
      <c r="DR9" s="228">
        <v>0.64</v>
      </c>
      <c r="DS9" s="228">
        <v>0</v>
      </c>
      <c r="DT9" s="229">
        <v>0</v>
      </c>
      <c r="DU9" s="231">
        <v>5600</v>
      </c>
      <c r="DV9" s="231">
        <v>5500</v>
      </c>
      <c r="DW9" s="228">
        <v>0.53</v>
      </c>
      <c r="DX9" s="228">
        <v>0.27</v>
      </c>
      <c r="DY9" s="228">
        <v>0.26</v>
      </c>
      <c r="DZ9" s="229">
        <v>0.96299999999999997</v>
      </c>
      <c r="EA9" s="229">
        <v>1.11E-2</v>
      </c>
      <c r="EB9" s="230">
        <v>16250</v>
      </c>
      <c r="EC9" s="229">
        <v>5.1000000000000004E-3</v>
      </c>
      <c r="ED9" s="229">
        <v>1.11E-2</v>
      </c>
      <c r="EE9" s="228">
        <v>29.8</v>
      </c>
      <c r="EF9" s="229">
        <v>5.4000000000000003E-3</v>
      </c>
      <c r="EG9" s="230">
        <v>143690</v>
      </c>
      <c r="EH9" s="230">
        <v>137374</v>
      </c>
      <c r="EI9" s="229">
        <v>4.5999999999999999E-2</v>
      </c>
      <c r="EJ9" s="229">
        <v>0.84670000000000001</v>
      </c>
      <c r="EK9" s="228">
        <v>133.94999999999999</v>
      </c>
      <c r="EL9" s="228">
        <v>65.83</v>
      </c>
      <c r="EM9" s="228">
        <v>58.34</v>
      </c>
      <c r="EN9" s="228">
        <v>12.01</v>
      </c>
      <c r="EO9" s="228">
        <v>258.13</v>
      </c>
      <c r="EP9" s="228">
        <v>509.97</v>
      </c>
      <c r="EQ9" s="228">
        <v>-251.85</v>
      </c>
      <c r="ER9" s="229">
        <v>-0.49380000000000002</v>
      </c>
      <c r="ES9" s="228">
        <v>151.86000000000001</v>
      </c>
      <c r="ET9" s="228">
        <v>90.95</v>
      </c>
      <c r="EU9" s="228">
        <v>877.14</v>
      </c>
      <c r="EV9" s="231">
        <v>6130387</v>
      </c>
      <c r="EW9" s="231">
        <v>1119.95</v>
      </c>
      <c r="EX9" s="231">
        <v>1115.26</v>
      </c>
      <c r="EY9" s="228">
        <v>4.6900000000000004</v>
      </c>
      <c r="EZ9" s="229">
        <v>4.1999999999999997E-3</v>
      </c>
      <c r="FA9" s="229">
        <v>0.32919999999999999</v>
      </c>
      <c r="FB9" s="227" t="s">
        <v>567</v>
      </c>
      <c r="FC9">
        <f t="shared" si="0"/>
        <v>10</v>
      </c>
    </row>
    <row r="10" spans="1:159" ht="17.25" thickBot="1" x14ac:dyDescent="0.3">
      <c r="A10" s="226">
        <v>45946</v>
      </c>
      <c r="B10" s="227" t="s">
        <v>184</v>
      </c>
      <c r="C10" s="227" t="s">
        <v>682</v>
      </c>
      <c r="D10" s="228">
        <v>100</v>
      </c>
      <c r="E10" s="228">
        <v>12</v>
      </c>
      <c r="F10" s="231">
        <v>8128</v>
      </c>
      <c r="G10" s="231">
        <v>8119.5</v>
      </c>
      <c r="H10" s="228">
        <v>8.5</v>
      </c>
      <c r="I10" s="229">
        <v>1E-3</v>
      </c>
      <c r="J10" s="231">
        <v>8239</v>
      </c>
      <c r="K10" s="231">
        <v>8148.5</v>
      </c>
      <c r="L10" s="228">
        <v>90.5</v>
      </c>
      <c r="M10" s="229">
        <v>1.11E-2</v>
      </c>
      <c r="N10" s="231">
        <v>8128</v>
      </c>
      <c r="O10" s="231">
        <v>8119.5</v>
      </c>
      <c r="P10" s="228">
        <v>8.5</v>
      </c>
      <c r="Q10" s="229">
        <v>1E-3</v>
      </c>
      <c r="R10" s="231">
        <v>7921.5</v>
      </c>
      <c r="S10" s="231">
        <v>7962.5</v>
      </c>
      <c r="T10" s="228">
        <v>-41</v>
      </c>
      <c r="U10" s="229">
        <v>-5.1000000000000004E-3</v>
      </c>
      <c r="V10" s="231">
        <v>7787</v>
      </c>
      <c r="W10" s="231">
        <v>7839</v>
      </c>
      <c r="X10" s="228">
        <v>-52</v>
      </c>
      <c r="Y10" s="229">
        <v>-6.6E-3</v>
      </c>
      <c r="Z10" s="228">
        <v>-111</v>
      </c>
      <c r="AA10" s="228">
        <v>-29</v>
      </c>
      <c r="AB10" s="228">
        <v>-82</v>
      </c>
      <c r="AC10" s="229">
        <v>-1.35E-2</v>
      </c>
      <c r="AD10" s="228">
        <v>-111</v>
      </c>
      <c r="AE10" s="228">
        <v>-29</v>
      </c>
      <c r="AF10" s="228">
        <v>-82</v>
      </c>
      <c r="AG10" s="229">
        <v>-1.35E-2</v>
      </c>
      <c r="AH10" s="228">
        <v>-317.5</v>
      </c>
      <c r="AI10" s="228">
        <v>-186</v>
      </c>
      <c r="AJ10" s="228">
        <v>-131.5</v>
      </c>
      <c r="AK10" s="229">
        <v>-3.85E-2</v>
      </c>
      <c r="AL10" s="228">
        <v>-452</v>
      </c>
      <c r="AM10" s="228">
        <v>-309.5</v>
      </c>
      <c r="AN10" s="228">
        <v>-142.5</v>
      </c>
      <c r="AO10" s="229">
        <v>-5.4899999999999997E-2</v>
      </c>
      <c r="AP10" s="231">
        <v>8189.98</v>
      </c>
      <c r="AQ10" s="231">
        <v>7992.12</v>
      </c>
      <c r="AR10" s="228">
        <v>0</v>
      </c>
      <c r="AS10" s="228">
        <v>263</v>
      </c>
      <c r="AT10" s="228">
        <v>207</v>
      </c>
      <c r="AU10" s="228">
        <v>56</v>
      </c>
      <c r="AV10" s="229">
        <v>0.27210000000000001</v>
      </c>
      <c r="AW10" s="228">
        <v>178</v>
      </c>
      <c r="AX10" s="228">
        <v>157</v>
      </c>
      <c r="AY10" s="228">
        <v>21</v>
      </c>
      <c r="AZ10" s="229">
        <v>0.13450000000000001</v>
      </c>
      <c r="BA10" s="228">
        <v>83</v>
      </c>
      <c r="BB10" s="228">
        <v>48</v>
      </c>
      <c r="BC10" s="228">
        <v>35</v>
      </c>
      <c r="BD10" s="229">
        <v>0.73719999999999997</v>
      </c>
      <c r="BE10" s="228">
        <v>3</v>
      </c>
      <c r="BF10" s="228">
        <v>3</v>
      </c>
      <c r="BG10" s="228">
        <v>0</v>
      </c>
      <c r="BH10" s="229">
        <v>3.2300000000000002E-2</v>
      </c>
      <c r="BI10" s="228">
        <v>618</v>
      </c>
      <c r="BJ10" s="228">
        <v>584</v>
      </c>
      <c r="BK10" s="228">
        <v>34</v>
      </c>
      <c r="BL10" s="229">
        <v>5.8999999999999997E-2</v>
      </c>
      <c r="BM10" s="228">
        <v>168</v>
      </c>
      <c r="BN10" s="228">
        <v>180</v>
      </c>
      <c r="BO10" s="228">
        <v>-12</v>
      </c>
      <c r="BP10" s="229">
        <v>-6.4299999999999996E-2</v>
      </c>
      <c r="BQ10" s="230">
        <v>1049</v>
      </c>
      <c r="BR10" s="228">
        <v>970</v>
      </c>
      <c r="BS10" s="228">
        <v>79</v>
      </c>
      <c r="BT10" s="229">
        <v>8.1600000000000006E-2</v>
      </c>
      <c r="BU10" s="230">
        <v>236694</v>
      </c>
      <c r="BV10" s="230">
        <v>148426</v>
      </c>
      <c r="BW10" s="230">
        <v>88268</v>
      </c>
      <c r="BX10" s="229">
        <v>0.59470000000000001</v>
      </c>
      <c r="BY10" s="228">
        <v>651</v>
      </c>
      <c r="BZ10" s="228">
        <v>576</v>
      </c>
      <c r="CA10" s="228">
        <v>75</v>
      </c>
      <c r="CB10" s="229">
        <v>0.1308</v>
      </c>
      <c r="CC10" s="228">
        <v>531</v>
      </c>
      <c r="CD10" s="228">
        <v>497</v>
      </c>
      <c r="CE10" s="228">
        <v>34</v>
      </c>
      <c r="CF10" s="229">
        <v>6.93E-2</v>
      </c>
      <c r="CG10" s="228">
        <v>115</v>
      </c>
      <c r="CH10" s="228">
        <v>76</v>
      </c>
      <c r="CI10" s="228">
        <v>39</v>
      </c>
      <c r="CJ10" s="229">
        <v>0.51990000000000003</v>
      </c>
      <c r="CK10" s="228">
        <v>5</v>
      </c>
      <c r="CL10" s="228">
        <v>3</v>
      </c>
      <c r="CM10" s="228">
        <v>2</v>
      </c>
      <c r="CN10" s="229">
        <v>0.46339999999999998</v>
      </c>
      <c r="CO10" s="228">
        <v>562</v>
      </c>
      <c r="CP10" s="228">
        <v>543</v>
      </c>
      <c r="CQ10" s="228">
        <v>20</v>
      </c>
      <c r="CR10" s="229">
        <v>3.6200000000000003E-2</v>
      </c>
      <c r="CS10" s="228">
        <v>289</v>
      </c>
      <c r="CT10" s="228">
        <v>275</v>
      </c>
      <c r="CU10" s="228">
        <v>14</v>
      </c>
      <c r="CV10" s="229">
        <v>4.9700000000000001E-2</v>
      </c>
      <c r="CW10" s="230">
        <v>1502</v>
      </c>
      <c r="CX10" s="230">
        <v>1394</v>
      </c>
      <c r="CY10" s="228">
        <v>109</v>
      </c>
      <c r="CZ10" s="229">
        <v>7.8E-2</v>
      </c>
      <c r="DA10" s="228">
        <v>38.1</v>
      </c>
      <c r="DB10" s="228">
        <v>37.229999999999997</v>
      </c>
      <c r="DC10" s="228">
        <v>0.87</v>
      </c>
      <c r="DD10" s="228">
        <v>0.87</v>
      </c>
      <c r="DE10" s="228">
        <v>54.71</v>
      </c>
      <c r="DF10" s="228">
        <v>54.84</v>
      </c>
      <c r="DG10" s="228">
        <v>-16.61</v>
      </c>
      <c r="DH10" s="228">
        <v>-0.13</v>
      </c>
      <c r="DI10" s="228">
        <v>38.31</v>
      </c>
      <c r="DJ10" s="228">
        <v>37.43</v>
      </c>
      <c r="DK10" s="228">
        <v>0.88</v>
      </c>
      <c r="DL10" s="228">
        <v>0.88</v>
      </c>
      <c r="DM10" s="228">
        <v>37.33</v>
      </c>
      <c r="DN10" s="228">
        <v>36.58</v>
      </c>
      <c r="DO10" s="228">
        <v>0.75</v>
      </c>
      <c r="DP10" s="228">
        <v>0.75</v>
      </c>
      <c r="DQ10" s="228">
        <v>0.51</v>
      </c>
      <c r="DR10" s="228">
        <v>0.51</v>
      </c>
      <c r="DS10" s="228">
        <v>0</v>
      </c>
      <c r="DT10" s="229">
        <v>0</v>
      </c>
      <c r="DU10" s="231">
        <v>8500</v>
      </c>
      <c r="DV10" s="231">
        <v>8000</v>
      </c>
      <c r="DW10" s="228">
        <v>0.27</v>
      </c>
      <c r="DX10" s="228">
        <v>0.31</v>
      </c>
      <c r="DY10" s="228">
        <v>-0.04</v>
      </c>
      <c r="DZ10" s="229">
        <v>-0.129</v>
      </c>
      <c r="EA10" s="229">
        <v>0.18410000000000001</v>
      </c>
      <c r="EB10" s="230">
        <v>97200</v>
      </c>
      <c r="EC10" s="229">
        <v>-2.5399999999999999E-2</v>
      </c>
      <c r="ED10" s="229">
        <v>0.18410000000000001</v>
      </c>
      <c r="EE10" s="228">
        <v>-197.86</v>
      </c>
      <c r="EF10" s="229">
        <v>-2.4199999999999999E-2</v>
      </c>
      <c r="EG10" s="230">
        <v>96882</v>
      </c>
      <c r="EH10" s="230">
        <v>54565</v>
      </c>
      <c r="EI10" s="229">
        <v>0.77549999999999997</v>
      </c>
      <c r="EJ10" s="229">
        <v>0.4093</v>
      </c>
      <c r="EK10" s="228">
        <v>654.02</v>
      </c>
      <c r="EL10" s="228">
        <v>167.51</v>
      </c>
      <c r="EM10" s="228">
        <v>262.83</v>
      </c>
      <c r="EN10" s="228">
        <v>26.07</v>
      </c>
      <c r="EO10" s="231">
        <v>1084.3599999999999</v>
      </c>
      <c r="EP10" s="231">
        <v>1006.11</v>
      </c>
      <c r="EQ10" s="228">
        <v>78.239999999999995</v>
      </c>
      <c r="ER10" s="229">
        <v>7.7799999999999994E-2</v>
      </c>
      <c r="ES10" s="228">
        <v>590.67999999999995</v>
      </c>
      <c r="ET10" s="228">
        <v>282.33</v>
      </c>
      <c r="EU10" s="228">
        <v>648.16999999999996</v>
      </c>
      <c r="EV10" s="231">
        <v>3067454</v>
      </c>
      <c r="EW10" s="231">
        <v>1521.18</v>
      </c>
      <c r="EX10" s="231">
        <v>1413.62</v>
      </c>
      <c r="EY10" s="228">
        <v>107.56</v>
      </c>
      <c r="EZ10" s="229">
        <v>7.6100000000000001E-2</v>
      </c>
      <c r="FA10" s="229">
        <v>0.60260000000000002</v>
      </c>
      <c r="FB10" s="227" t="s">
        <v>555</v>
      </c>
      <c r="FC10">
        <f t="shared" si="0"/>
        <v>120</v>
      </c>
    </row>
    <row r="11" spans="1:159" ht="17.25" thickBot="1" x14ac:dyDescent="0.3">
      <c r="A11" s="226">
        <v>45946</v>
      </c>
      <c r="B11" s="227" t="s">
        <v>157</v>
      </c>
      <c r="C11" s="227" t="s">
        <v>164</v>
      </c>
      <c r="D11" s="228">
        <v>1050</v>
      </c>
      <c r="E11" s="228">
        <v>12</v>
      </c>
      <c r="F11" s="228">
        <v>571.5</v>
      </c>
      <c r="G11" s="228">
        <v>569.29999999999995</v>
      </c>
      <c r="H11" s="228">
        <v>2.2000000000000002</v>
      </c>
      <c r="I11" s="229">
        <v>3.8999999999999998E-3</v>
      </c>
      <c r="J11" s="228">
        <v>569.70000000000005</v>
      </c>
      <c r="K11" s="228">
        <v>567</v>
      </c>
      <c r="L11" s="228">
        <v>2.7</v>
      </c>
      <c r="M11" s="229">
        <v>4.7999999999999996E-3</v>
      </c>
      <c r="N11" s="228">
        <v>571.5</v>
      </c>
      <c r="O11" s="228">
        <v>569.29999999999995</v>
      </c>
      <c r="P11" s="228">
        <v>2.2000000000000002</v>
      </c>
      <c r="Q11" s="229">
        <v>3.8999999999999998E-3</v>
      </c>
      <c r="R11" s="228">
        <v>574.65</v>
      </c>
      <c r="S11" s="228">
        <v>572.15</v>
      </c>
      <c r="T11" s="228">
        <v>2.5</v>
      </c>
      <c r="U11" s="229">
        <v>4.4000000000000003E-3</v>
      </c>
      <c r="V11" s="228">
        <v>579.1</v>
      </c>
      <c r="W11" s="228">
        <v>577</v>
      </c>
      <c r="X11" s="228">
        <v>2.1</v>
      </c>
      <c r="Y11" s="229">
        <v>3.5999999999999999E-3</v>
      </c>
      <c r="Z11" s="228">
        <v>1.8</v>
      </c>
      <c r="AA11" s="228">
        <v>2.2999999999999998</v>
      </c>
      <c r="AB11" s="228">
        <v>-0.5</v>
      </c>
      <c r="AC11" s="229">
        <v>3.2000000000000002E-3</v>
      </c>
      <c r="AD11" s="228">
        <v>1.8</v>
      </c>
      <c r="AE11" s="228">
        <v>2.2999999999999998</v>
      </c>
      <c r="AF11" s="228">
        <v>-0.5</v>
      </c>
      <c r="AG11" s="229">
        <v>3.2000000000000002E-3</v>
      </c>
      <c r="AH11" s="228">
        <v>4.95</v>
      </c>
      <c r="AI11" s="228">
        <v>5.15</v>
      </c>
      <c r="AJ11" s="228">
        <v>-0.2</v>
      </c>
      <c r="AK11" s="229">
        <v>8.6999999999999994E-3</v>
      </c>
      <c r="AL11" s="228">
        <v>9.4</v>
      </c>
      <c r="AM11" s="228">
        <v>10</v>
      </c>
      <c r="AN11" s="228">
        <v>-0.6</v>
      </c>
      <c r="AO11" s="229">
        <v>1.6500000000000001E-2</v>
      </c>
      <c r="AP11" s="228">
        <v>571.03</v>
      </c>
      <c r="AQ11" s="228">
        <v>574.88</v>
      </c>
      <c r="AR11" s="228">
        <v>0</v>
      </c>
      <c r="AS11" s="228">
        <v>224</v>
      </c>
      <c r="AT11" s="228">
        <v>151</v>
      </c>
      <c r="AU11" s="228">
        <v>73</v>
      </c>
      <c r="AV11" s="229">
        <v>0.48230000000000001</v>
      </c>
      <c r="AW11" s="228">
        <v>194</v>
      </c>
      <c r="AX11" s="228">
        <v>131</v>
      </c>
      <c r="AY11" s="228">
        <v>63</v>
      </c>
      <c r="AZ11" s="229">
        <v>0.4798</v>
      </c>
      <c r="BA11" s="228">
        <v>29</v>
      </c>
      <c r="BB11" s="228">
        <v>20</v>
      </c>
      <c r="BC11" s="228">
        <v>9</v>
      </c>
      <c r="BD11" s="229">
        <v>0.47549999999999998</v>
      </c>
      <c r="BE11" s="228">
        <v>1</v>
      </c>
      <c r="BF11" s="228">
        <v>0</v>
      </c>
      <c r="BG11" s="228">
        <v>1</v>
      </c>
      <c r="BH11" s="229">
        <v>1.5713999999999999</v>
      </c>
      <c r="BI11" s="228">
        <v>461</v>
      </c>
      <c r="BJ11" s="228">
        <v>348</v>
      </c>
      <c r="BK11" s="228">
        <v>113</v>
      </c>
      <c r="BL11" s="229">
        <v>0.32450000000000001</v>
      </c>
      <c r="BM11" s="228">
        <v>222</v>
      </c>
      <c r="BN11" s="228">
        <v>137</v>
      </c>
      <c r="BO11" s="228">
        <v>85</v>
      </c>
      <c r="BP11" s="229">
        <v>0.62080000000000002</v>
      </c>
      <c r="BQ11" s="228">
        <v>907</v>
      </c>
      <c r="BR11" s="228">
        <v>636</v>
      </c>
      <c r="BS11" s="228">
        <v>271</v>
      </c>
      <c r="BT11" s="229">
        <v>0.42580000000000001</v>
      </c>
      <c r="BU11" s="230">
        <v>1143039</v>
      </c>
      <c r="BV11" s="230">
        <v>1395406</v>
      </c>
      <c r="BW11" s="230">
        <v>-252367</v>
      </c>
      <c r="BX11" s="229">
        <v>-0.18090000000000001</v>
      </c>
      <c r="BY11" s="230">
        <v>2329</v>
      </c>
      <c r="BZ11" s="230">
        <v>2346</v>
      </c>
      <c r="CA11" s="228">
        <v>-17</v>
      </c>
      <c r="CB11" s="229">
        <v>-7.1000000000000004E-3</v>
      </c>
      <c r="CC11" s="230">
        <v>2242</v>
      </c>
      <c r="CD11" s="230">
        <v>2267</v>
      </c>
      <c r="CE11" s="228">
        <v>-25</v>
      </c>
      <c r="CF11" s="229">
        <v>-1.09E-2</v>
      </c>
      <c r="CG11" s="228">
        <v>84</v>
      </c>
      <c r="CH11" s="228">
        <v>76</v>
      </c>
      <c r="CI11" s="228">
        <v>8</v>
      </c>
      <c r="CJ11" s="229">
        <v>0.10050000000000001</v>
      </c>
      <c r="CK11" s="228">
        <v>3</v>
      </c>
      <c r="CL11" s="228">
        <v>3</v>
      </c>
      <c r="CM11" s="228">
        <v>0</v>
      </c>
      <c r="CN11" s="229">
        <v>0.08</v>
      </c>
      <c r="CO11" s="228">
        <v>726</v>
      </c>
      <c r="CP11" s="228">
        <v>725</v>
      </c>
      <c r="CQ11" s="228">
        <v>0</v>
      </c>
      <c r="CR11" s="229">
        <v>2.9999999999999997E-4</v>
      </c>
      <c r="CS11" s="228">
        <v>451</v>
      </c>
      <c r="CT11" s="228">
        <v>456</v>
      </c>
      <c r="CU11" s="228">
        <v>-5</v>
      </c>
      <c r="CV11" s="229">
        <v>-1.14E-2</v>
      </c>
      <c r="CW11" s="230">
        <v>3506</v>
      </c>
      <c r="CX11" s="230">
        <v>3528</v>
      </c>
      <c r="CY11" s="228">
        <v>-22</v>
      </c>
      <c r="CZ11" s="229">
        <v>-6.1000000000000004E-3</v>
      </c>
      <c r="DA11" s="228">
        <v>22.12</v>
      </c>
      <c r="DB11" s="228">
        <v>23.74</v>
      </c>
      <c r="DC11" s="228">
        <v>-1.62</v>
      </c>
      <c r="DD11" s="228">
        <v>-1.62</v>
      </c>
      <c r="DE11" s="228">
        <v>33.92</v>
      </c>
      <c r="DF11" s="228">
        <v>34</v>
      </c>
      <c r="DG11" s="228">
        <v>-11.8</v>
      </c>
      <c r="DH11" s="228">
        <v>-0.08</v>
      </c>
      <c r="DI11" s="228">
        <v>22.24</v>
      </c>
      <c r="DJ11" s="228">
        <v>23.87</v>
      </c>
      <c r="DK11" s="228">
        <v>-1.63</v>
      </c>
      <c r="DL11" s="228">
        <v>-1.63</v>
      </c>
      <c r="DM11" s="228">
        <v>21.87</v>
      </c>
      <c r="DN11" s="228">
        <v>23.4</v>
      </c>
      <c r="DO11" s="228">
        <v>-1.53</v>
      </c>
      <c r="DP11" s="228">
        <v>-1.53</v>
      </c>
      <c r="DQ11" s="228">
        <v>0.62</v>
      </c>
      <c r="DR11" s="228">
        <v>0.63</v>
      </c>
      <c r="DS11" s="228">
        <v>-0.01</v>
      </c>
      <c r="DT11" s="229">
        <v>-1.5900000000000001E-2</v>
      </c>
      <c r="DU11" s="228">
        <v>600</v>
      </c>
      <c r="DV11" s="228">
        <v>650</v>
      </c>
      <c r="DW11" s="228">
        <v>0.48</v>
      </c>
      <c r="DX11" s="228">
        <v>0.39</v>
      </c>
      <c r="DY11" s="228">
        <v>0.09</v>
      </c>
      <c r="DZ11" s="229">
        <v>0.23080000000000001</v>
      </c>
      <c r="EA11" s="229">
        <v>3.7499999999999999E-2</v>
      </c>
      <c r="EB11" s="230">
        <v>1389150</v>
      </c>
      <c r="EC11" s="229">
        <v>5.4999999999999997E-3</v>
      </c>
      <c r="ED11" s="229">
        <v>3.7499999999999999E-2</v>
      </c>
      <c r="EE11" s="228">
        <v>3.85</v>
      </c>
      <c r="EF11" s="229">
        <v>6.7000000000000002E-3</v>
      </c>
      <c r="EG11" s="230">
        <v>527351</v>
      </c>
      <c r="EH11" s="230">
        <v>966908</v>
      </c>
      <c r="EI11" s="229">
        <v>-0.4546</v>
      </c>
      <c r="EJ11" s="229">
        <v>0.46139999999999998</v>
      </c>
      <c r="EK11" s="228">
        <v>473.56</v>
      </c>
      <c r="EL11" s="228">
        <v>220.2</v>
      </c>
      <c r="EM11" s="228">
        <v>223.73</v>
      </c>
      <c r="EN11" s="228">
        <v>24.58</v>
      </c>
      <c r="EO11" s="228">
        <v>917.5</v>
      </c>
      <c r="EP11" s="228">
        <v>644.23</v>
      </c>
      <c r="EQ11" s="228">
        <v>273.27</v>
      </c>
      <c r="ER11" s="229">
        <v>0.42420000000000002</v>
      </c>
      <c r="ES11" s="228">
        <v>757.9</v>
      </c>
      <c r="ET11" s="228">
        <v>457.64</v>
      </c>
      <c r="EU11" s="231">
        <v>2329.8200000000002</v>
      </c>
      <c r="EV11" s="231">
        <v>119762774</v>
      </c>
      <c r="EW11" s="231">
        <v>3545.35</v>
      </c>
      <c r="EX11" s="231">
        <v>3557.68</v>
      </c>
      <c r="EY11" s="228">
        <v>-12.33</v>
      </c>
      <c r="EZ11" s="229">
        <v>-3.5000000000000001E-3</v>
      </c>
      <c r="FA11" s="229">
        <v>0.51219999999999999</v>
      </c>
      <c r="FB11" s="227" t="s">
        <v>556</v>
      </c>
      <c r="FC11">
        <f t="shared" si="0"/>
        <v>87</v>
      </c>
    </row>
    <row r="12" spans="1:159" ht="17.25" thickBot="1" x14ac:dyDescent="0.3">
      <c r="A12" s="226">
        <v>45946</v>
      </c>
      <c r="B12" s="227" t="s">
        <v>175</v>
      </c>
      <c r="C12" s="227" t="s">
        <v>609</v>
      </c>
      <c r="D12" s="228">
        <v>250</v>
      </c>
      <c r="E12" s="228">
        <v>12</v>
      </c>
      <c r="F12" s="231">
        <v>2479.5</v>
      </c>
      <c r="G12" s="231">
        <v>2452.3000000000002</v>
      </c>
      <c r="H12" s="228">
        <v>27.2</v>
      </c>
      <c r="I12" s="229">
        <v>1.11E-2</v>
      </c>
      <c r="J12" s="231">
        <v>2482.6</v>
      </c>
      <c r="K12" s="231">
        <v>2445.1999999999998</v>
      </c>
      <c r="L12" s="228">
        <v>37.4</v>
      </c>
      <c r="M12" s="229">
        <v>1.5299999999999999E-2</v>
      </c>
      <c r="N12" s="231">
        <v>2479.5</v>
      </c>
      <c r="O12" s="231">
        <v>2452.3000000000002</v>
      </c>
      <c r="P12" s="228">
        <v>27.2</v>
      </c>
      <c r="Q12" s="229">
        <v>1.11E-2</v>
      </c>
      <c r="R12" s="231">
        <v>2463</v>
      </c>
      <c r="S12" s="231">
        <v>2441.1</v>
      </c>
      <c r="T12" s="228">
        <v>21.9</v>
      </c>
      <c r="U12" s="229">
        <v>8.9999999999999993E-3</v>
      </c>
      <c r="V12" s="231">
        <v>2450.4</v>
      </c>
      <c r="W12" s="231">
        <v>2433.8000000000002</v>
      </c>
      <c r="X12" s="228">
        <v>16.600000000000001</v>
      </c>
      <c r="Y12" s="229">
        <v>6.7999999999999996E-3</v>
      </c>
      <c r="Z12" s="228">
        <v>-3.1</v>
      </c>
      <c r="AA12" s="228">
        <v>7.1</v>
      </c>
      <c r="AB12" s="228">
        <v>-10.199999999999999</v>
      </c>
      <c r="AC12" s="229">
        <v>-1.1999999999999999E-3</v>
      </c>
      <c r="AD12" s="228">
        <v>-3.1</v>
      </c>
      <c r="AE12" s="228">
        <v>7.1</v>
      </c>
      <c r="AF12" s="228">
        <v>-10.199999999999999</v>
      </c>
      <c r="AG12" s="229">
        <v>-1.1999999999999999E-3</v>
      </c>
      <c r="AH12" s="228">
        <v>-19.600000000000001</v>
      </c>
      <c r="AI12" s="228">
        <v>-4.0999999999999996</v>
      </c>
      <c r="AJ12" s="228">
        <v>-15.5</v>
      </c>
      <c r="AK12" s="229">
        <v>-7.9000000000000008E-3</v>
      </c>
      <c r="AL12" s="228">
        <v>-32.200000000000003</v>
      </c>
      <c r="AM12" s="228">
        <v>-11.4</v>
      </c>
      <c r="AN12" s="228">
        <v>-20.8</v>
      </c>
      <c r="AO12" s="229">
        <v>-1.2999999999999999E-2</v>
      </c>
      <c r="AP12" s="231">
        <v>2488.7199999999998</v>
      </c>
      <c r="AQ12" s="231">
        <v>2470.4499999999998</v>
      </c>
      <c r="AR12" s="228">
        <v>0</v>
      </c>
      <c r="AS12" s="230">
        <v>1132</v>
      </c>
      <c r="AT12" s="228">
        <v>564</v>
      </c>
      <c r="AU12" s="228">
        <v>568</v>
      </c>
      <c r="AV12" s="229">
        <v>1.0069999999999999</v>
      </c>
      <c r="AW12" s="228">
        <v>961</v>
      </c>
      <c r="AX12" s="228">
        <v>478</v>
      </c>
      <c r="AY12" s="228">
        <v>484</v>
      </c>
      <c r="AZ12" s="229">
        <v>1.0118</v>
      </c>
      <c r="BA12" s="228">
        <v>155</v>
      </c>
      <c r="BB12" s="228">
        <v>77</v>
      </c>
      <c r="BC12" s="228">
        <v>79</v>
      </c>
      <c r="BD12" s="229">
        <v>1.0259</v>
      </c>
      <c r="BE12" s="228">
        <v>15</v>
      </c>
      <c r="BF12" s="228">
        <v>9</v>
      </c>
      <c r="BG12" s="228">
        <v>6</v>
      </c>
      <c r="BH12" s="229">
        <v>0.61439999999999995</v>
      </c>
      <c r="BI12" s="230">
        <v>6375</v>
      </c>
      <c r="BJ12" s="230">
        <v>2858</v>
      </c>
      <c r="BK12" s="230">
        <v>3518</v>
      </c>
      <c r="BL12" s="229">
        <v>1.2309000000000001</v>
      </c>
      <c r="BM12" s="230">
        <v>4179</v>
      </c>
      <c r="BN12" s="230">
        <v>1250</v>
      </c>
      <c r="BO12" s="230">
        <v>2930</v>
      </c>
      <c r="BP12" s="229">
        <v>2.3439999999999999</v>
      </c>
      <c r="BQ12" s="230">
        <v>11687</v>
      </c>
      <c r="BR12" s="230">
        <v>4672</v>
      </c>
      <c r="BS12" s="230">
        <v>7015</v>
      </c>
      <c r="BT12" s="229">
        <v>1.5016</v>
      </c>
      <c r="BU12" s="230">
        <v>3542418</v>
      </c>
      <c r="BV12" s="230">
        <v>1478726</v>
      </c>
      <c r="BW12" s="230">
        <v>2063692</v>
      </c>
      <c r="BX12" s="229">
        <v>1.3956</v>
      </c>
      <c r="BY12" s="228">
        <v>935</v>
      </c>
      <c r="BZ12" s="228">
        <v>989</v>
      </c>
      <c r="CA12" s="228">
        <v>-55</v>
      </c>
      <c r="CB12" s="229">
        <v>-5.5399999999999998E-2</v>
      </c>
      <c r="CC12" s="228">
        <v>807</v>
      </c>
      <c r="CD12" s="228">
        <v>883</v>
      </c>
      <c r="CE12" s="228">
        <v>-76</v>
      </c>
      <c r="CF12" s="229">
        <v>-8.5800000000000001E-2</v>
      </c>
      <c r="CG12" s="228">
        <v>114</v>
      </c>
      <c r="CH12" s="228">
        <v>94</v>
      </c>
      <c r="CI12" s="228">
        <v>20</v>
      </c>
      <c r="CJ12" s="229">
        <v>0.21870000000000001</v>
      </c>
      <c r="CK12" s="228">
        <v>13</v>
      </c>
      <c r="CL12" s="228">
        <v>13</v>
      </c>
      <c r="CM12" s="228">
        <v>1</v>
      </c>
      <c r="CN12" s="229">
        <v>4.3900000000000002E-2</v>
      </c>
      <c r="CO12" s="228">
        <v>664</v>
      </c>
      <c r="CP12" s="228">
        <v>700</v>
      </c>
      <c r="CQ12" s="228">
        <v>-36</v>
      </c>
      <c r="CR12" s="229">
        <v>-5.1299999999999998E-2</v>
      </c>
      <c r="CS12" s="228">
        <v>546</v>
      </c>
      <c r="CT12" s="228">
        <v>586</v>
      </c>
      <c r="CU12" s="228">
        <v>-40</v>
      </c>
      <c r="CV12" s="229">
        <v>-6.83E-2</v>
      </c>
      <c r="CW12" s="230">
        <v>2144</v>
      </c>
      <c r="CX12" s="230">
        <v>2275</v>
      </c>
      <c r="CY12" s="228">
        <v>-131</v>
      </c>
      <c r="CZ12" s="229">
        <v>-5.74E-2</v>
      </c>
      <c r="DA12" s="228">
        <v>36.19</v>
      </c>
      <c r="DB12" s="228">
        <v>43.86</v>
      </c>
      <c r="DC12" s="228">
        <v>-7.67</v>
      </c>
      <c r="DD12" s="228">
        <v>-7.67</v>
      </c>
      <c r="DE12" s="228">
        <v>55.64</v>
      </c>
      <c r="DF12" s="228">
        <v>55.76</v>
      </c>
      <c r="DG12" s="228">
        <v>-19.45</v>
      </c>
      <c r="DH12" s="228">
        <v>-0.12</v>
      </c>
      <c r="DI12" s="228">
        <v>35.479999999999997</v>
      </c>
      <c r="DJ12" s="228">
        <v>43.33</v>
      </c>
      <c r="DK12" s="228">
        <v>-7.85</v>
      </c>
      <c r="DL12" s="228">
        <v>-7.85</v>
      </c>
      <c r="DM12" s="228">
        <v>37.270000000000003</v>
      </c>
      <c r="DN12" s="228">
        <v>45.09</v>
      </c>
      <c r="DO12" s="228">
        <v>-7.82</v>
      </c>
      <c r="DP12" s="228">
        <v>-7.82</v>
      </c>
      <c r="DQ12" s="228">
        <v>0.82</v>
      </c>
      <c r="DR12" s="228">
        <v>0.84</v>
      </c>
      <c r="DS12" s="228">
        <v>-0.02</v>
      </c>
      <c r="DT12" s="229">
        <v>-2.3800000000000002E-2</v>
      </c>
      <c r="DU12" s="231">
        <v>2500</v>
      </c>
      <c r="DV12" s="231">
        <v>2400</v>
      </c>
      <c r="DW12" s="228">
        <v>0.66</v>
      </c>
      <c r="DX12" s="228">
        <v>0.44</v>
      </c>
      <c r="DY12" s="228">
        <v>0.22</v>
      </c>
      <c r="DZ12" s="229">
        <v>0.5</v>
      </c>
      <c r="EA12" s="229">
        <v>0.13619999999999999</v>
      </c>
      <c r="EB12" s="230">
        <v>428500</v>
      </c>
      <c r="EC12" s="229">
        <v>-6.7000000000000002E-3</v>
      </c>
      <c r="ED12" s="229">
        <v>0.13619999999999999</v>
      </c>
      <c r="EE12" s="228">
        <v>-18.27</v>
      </c>
      <c r="EF12" s="229">
        <v>-7.3000000000000001E-3</v>
      </c>
      <c r="EG12" s="230">
        <v>545423</v>
      </c>
      <c r="EH12" s="230">
        <v>513375</v>
      </c>
      <c r="EI12" s="229">
        <v>6.2399999999999997E-2</v>
      </c>
      <c r="EJ12" s="229">
        <v>0.154</v>
      </c>
      <c r="EK12" s="231">
        <v>6679.27</v>
      </c>
      <c r="EL12" s="231">
        <v>4088.39</v>
      </c>
      <c r="EM12" s="231">
        <v>1135.0999999999999</v>
      </c>
      <c r="EN12" s="228">
        <v>103.56</v>
      </c>
      <c r="EO12" s="231">
        <v>11902.76</v>
      </c>
      <c r="EP12" s="231">
        <v>4684.6400000000003</v>
      </c>
      <c r="EQ12" s="231">
        <v>7218.12</v>
      </c>
      <c r="ER12" s="229">
        <v>1.5407999999999999</v>
      </c>
      <c r="ES12" s="228">
        <v>660.39</v>
      </c>
      <c r="ET12" s="228">
        <v>504.25</v>
      </c>
      <c r="EU12" s="228">
        <v>933.61</v>
      </c>
      <c r="EV12" s="231">
        <v>9647634</v>
      </c>
      <c r="EW12" s="231">
        <v>2098.2399999999998</v>
      </c>
      <c r="EX12" s="231">
        <v>2202.27</v>
      </c>
      <c r="EY12" s="228">
        <v>-104.03</v>
      </c>
      <c r="EZ12" s="229">
        <v>-4.7199999999999999E-2</v>
      </c>
      <c r="FA12" s="229">
        <v>0.8962</v>
      </c>
      <c r="FB12" s="227" t="s">
        <v>556</v>
      </c>
      <c r="FC12">
        <f t="shared" si="0"/>
        <v>128</v>
      </c>
    </row>
    <row r="13" spans="1:159" ht="17.25" thickBot="1" x14ac:dyDescent="0.3">
      <c r="A13" s="226">
        <v>45946</v>
      </c>
      <c r="B13" s="227" t="s">
        <v>227</v>
      </c>
      <c r="C13" s="227" t="s">
        <v>598</v>
      </c>
      <c r="D13" s="228">
        <v>350</v>
      </c>
      <c r="E13" s="228">
        <v>12</v>
      </c>
      <c r="F13" s="231">
        <v>1734</v>
      </c>
      <c r="G13" s="231">
        <v>1740.7</v>
      </c>
      <c r="H13" s="228">
        <v>-6.7</v>
      </c>
      <c r="I13" s="229">
        <v>-3.8E-3</v>
      </c>
      <c r="J13" s="231">
        <v>1728</v>
      </c>
      <c r="K13" s="231">
        <v>1734.1</v>
      </c>
      <c r="L13" s="228">
        <v>-6.1</v>
      </c>
      <c r="M13" s="229">
        <v>-3.5000000000000001E-3</v>
      </c>
      <c r="N13" s="231">
        <v>1734</v>
      </c>
      <c r="O13" s="231">
        <v>1740.7</v>
      </c>
      <c r="P13" s="228">
        <v>-6.7</v>
      </c>
      <c r="Q13" s="229">
        <v>-3.8E-3</v>
      </c>
      <c r="R13" s="231">
        <v>1744.6</v>
      </c>
      <c r="S13" s="231">
        <v>1750.1</v>
      </c>
      <c r="T13" s="228">
        <v>-5.5</v>
      </c>
      <c r="U13" s="229">
        <v>-3.0999999999999999E-3</v>
      </c>
      <c r="V13" s="231">
        <v>1750</v>
      </c>
      <c r="W13" s="231">
        <v>1763.9</v>
      </c>
      <c r="X13" s="228">
        <v>-13.9</v>
      </c>
      <c r="Y13" s="229">
        <v>-7.9000000000000008E-3</v>
      </c>
      <c r="Z13" s="228">
        <v>6</v>
      </c>
      <c r="AA13" s="228">
        <v>6.6</v>
      </c>
      <c r="AB13" s="228">
        <v>-0.6</v>
      </c>
      <c r="AC13" s="229">
        <v>3.5000000000000001E-3</v>
      </c>
      <c r="AD13" s="228">
        <v>6</v>
      </c>
      <c r="AE13" s="228">
        <v>6.6</v>
      </c>
      <c r="AF13" s="228">
        <v>-0.6</v>
      </c>
      <c r="AG13" s="229">
        <v>3.5000000000000001E-3</v>
      </c>
      <c r="AH13" s="228">
        <v>16.600000000000001</v>
      </c>
      <c r="AI13" s="228">
        <v>16</v>
      </c>
      <c r="AJ13" s="228">
        <v>0.6</v>
      </c>
      <c r="AK13" s="229">
        <v>9.5999999999999992E-3</v>
      </c>
      <c r="AL13" s="228">
        <v>22</v>
      </c>
      <c r="AM13" s="228">
        <v>29.8</v>
      </c>
      <c r="AN13" s="228">
        <v>-7.8</v>
      </c>
      <c r="AO13" s="229">
        <v>1.2699999999999999E-2</v>
      </c>
      <c r="AP13" s="231">
        <v>1733.59</v>
      </c>
      <c r="AQ13" s="231">
        <v>1742.91</v>
      </c>
      <c r="AR13" s="228">
        <v>0</v>
      </c>
      <c r="AS13" s="228">
        <v>96</v>
      </c>
      <c r="AT13" s="228">
        <v>75</v>
      </c>
      <c r="AU13" s="228">
        <v>21</v>
      </c>
      <c r="AV13" s="229">
        <v>0.27879999999999999</v>
      </c>
      <c r="AW13" s="228">
        <v>90</v>
      </c>
      <c r="AX13" s="228">
        <v>71</v>
      </c>
      <c r="AY13" s="228">
        <v>19</v>
      </c>
      <c r="AZ13" s="229">
        <v>0.2702</v>
      </c>
      <c r="BA13" s="228">
        <v>6</v>
      </c>
      <c r="BB13" s="228">
        <v>5</v>
      </c>
      <c r="BC13" s="228">
        <v>2</v>
      </c>
      <c r="BD13" s="229">
        <v>0.34179999999999999</v>
      </c>
      <c r="BE13" s="228">
        <v>0</v>
      </c>
      <c r="BF13" s="228">
        <v>0</v>
      </c>
      <c r="BG13" s="228">
        <v>0</v>
      </c>
      <c r="BH13" s="229">
        <v>0</v>
      </c>
      <c r="BI13" s="228">
        <v>97</v>
      </c>
      <c r="BJ13" s="228">
        <v>87</v>
      </c>
      <c r="BK13" s="228">
        <v>10</v>
      </c>
      <c r="BL13" s="229">
        <v>0.10929999999999999</v>
      </c>
      <c r="BM13" s="228">
        <v>31</v>
      </c>
      <c r="BN13" s="228">
        <v>36</v>
      </c>
      <c r="BO13" s="228">
        <v>-4</v>
      </c>
      <c r="BP13" s="229">
        <v>-0.12330000000000001</v>
      </c>
      <c r="BQ13" s="228">
        <v>225</v>
      </c>
      <c r="BR13" s="228">
        <v>198</v>
      </c>
      <c r="BS13" s="228">
        <v>26</v>
      </c>
      <c r="BT13" s="229">
        <v>0.13150000000000001</v>
      </c>
      <c r="BU13" s="230">
        <v>440368</v>
      </c>
      <c r="BV13" s="230">
        <v>333447</v>
      </c>
      <c r="BW13" s="230">
        <v>106921</v>
      </c>
      <c r="BX13" s="229">
        <v>0.32069999999999999</v>
      </c>
      <c r="BY13" s="230">
        <v>1683</v>
      </c>
      <c r="BZ13" s="230">
        <v>1675</v>
      </c>
      <c r="CA13" s="228">
        <v>8</v>
      </c>
      <c r="CB13" s="229">
        <v>4.4999999999999997E-3</v>
      </c>
      <c r="CC13" s="230">
        <v>1664</v>
      </c>
      <c r="CD13" s="230">
        <v>1659</v>
      </c>
      <c r="CE13" s="228">
        <v>5</v>
      </c>
      <c r="CF13" s="229">
        <v>3.3E-3</v>
      </c>
      <c r="CG13" s="228">
        <v>18</v>
      </c>
      <c r="CH13" s="228">
        <v>16</v>
      </c>
      <c r="CI13" s="228">
        <v>2</v>
      </c>
      <c r="CJ13" s="229">
        <v>0.1245</v>
      </c>
      <c r="CK13" s="228">
        <v>1</v>
      </c>
      <c r="CL13" s="228">
        <v>1</v>
      </c>
      <c r="CM13" s="228">
        <v>0</v>
      </c>
      <c r="CN13" s="229">
        <v>0.21429999999999999</v>
      </c>
      <c r="CO13" s="228">
        <v>206</v>
      </c>
      <c r="CP13" s="228">
        <v>203</v>
      </c>
      <c r="CQ13" s="228">
        <v>3</v>
      </c>
      <c r="CR13" s="229">
        <v>1.6799999999999999E-2</v>
      </c>
      <c r="CS13" s="228">
        <v>104</v>
      </c>
      <c r="CT13" s="228">
        <v>106</v>
      </c>
      <c r="CU13" s="228">
        <v>-2</v>
      </c>
      <c r="CV13" s="229">
        <v>-1.89E-2</v>
      </c>
      <c r="CW13" s="230">
        <v>1993</v>
      </c>
      <c r="CX13" s="230">
        <v>1984</v>
      </c>
      <c r="CY13" s="228">
        <v>9</v>
      </c>
      <c r="CZ13" s="229">
        <v>4.4999999999999997E-3</v>
      </c>
      <c r="DA13" s="228">
        <v>22.53</v>
      </c>
      <c r="DB13" s="228">
        <v>23.48</v>
      </c>
      <c r="DC13" s="228">
        <v>-0.95</v>
      </c>
      <c r="DD13" s="228">
        <v>-0.95</v>
      </c>
      <c r="DE13" s="228">
        <v>34.72</v>
      </c>
      <c r="DF13" s="228">
        <v>34.799999999999997</v>
      </c>
      <c r="DG13" s="228">
        <v>-12.19</v>
      </c>
      <c r="DH13" s="228">
        <v>-0.08</v>
      </c>
      <c r="DI13" s="228">
        <v>22.07</v>
      </c>
      <c r="DJ13" s="228">
        <v>22.72</v>
      </c>
      <c r="DK13" s="228">
        <v>-0.65</v>
      </c>
      <c r="DL13" s="228">
        <v>-0.65</v>
      </c>
      <c r="DM13" s="228">
        <v>23.92</v>
      </c>
      <c r="DN13" s="228">
        <v>25.32</v>
      </c>
      <c r="DO13" s="228">
        <v>-1.4</v>
      </c>
      <c r="DP13" s="228">
        <v>-1.4</v>
      </c>
      <c r="DQ13" s="228">
        <v>0.5</v>
      </c>
      <c r="DR13" s="228">
        <v>0.52</v>
      </c>
      <c r="DS13" s="228">
        <v>-0.02</v>
      </c>
      <c r="DT13" s="229">
        <v>-3.85E-2</v>
      </c>
      <c r="DU13" s="231">
        <v>1740</v>
      </c>
      <c r="DV13" s="231">
        <v>1700</v>
      </c>
      <c r="DW13" s="228">
        <v>0.33</v>
      </c>
      <c r="DX13" s="228">
        <v>0.41</v>
      </c>
      <c r="DY13" s="228">
        <v>-0.08</v>
      </c>
      <c r="DZ13" s="229">
        <v>-0.1951</v>
      </c>
      <c r="EA13" s="229">
        <v>1.0999999999999999E-2</v>
      </c>
      <c r="EB13" s="230">
        <v>94850</v>
      </c>
      <c r="EC13" s="229">
        <v>6.1000000000000004E-3</v>
      </c>
      <c r="ED13" s="229">
        <v>1.0999999999999999E-2</v>
      </c>
      <c r="EE13" s="228">
        <v>9.32</v>
      </c>
      <c r="EF13" s="229">
        <v>5.4000000000000003E-3</v>
      </c>
      <c r="EG13" s="230">
        <v>308830</v>
      </c>
      <c r="EH13" s="230">
        <v>242993</v>
      </c>
      <c r="EI13" s="229">
        <v>0.27089999999999997</v>
      </c>
      <c r="EJ13" s="229">
        <v>0.70130000000000003</v>
      </c>
      <c r="EK13" s="228">
        <v>99.49</v>
      </c>
      <c r="EL13" s="228">
        <v>31.34</v>
      </c>
      <c r="EM13" s="228">
        <v>96.33</v>
      </c>
      <c r="EN13" s="228">
        <v>14.07</v>
      </c>
      <c r="EO13" s="228">
        <v>227.16</v>
      </c>
      <c r="EP13" s="228">
        <v>201.48</v>
      </c>
      <c r="EQ13" s="228">
        <v>25.68</v>
      </c>
      <c r="ER13" s="229">
        <v>0.1275</v>
      </c>
      <c r="ES13" s="228">
        <v>208.26</v>
      </c>
      <c r="ET13" s="228">
        <v>99.92</v>
      </c>
      <c r="EU13" s="231">
        <v>1683.11</v>
      </c>
      <c r="EV13" s="231">
        <v>27232196</v>
      </c>
      <c r="EW13" s="231">
        <v>1991.3</v>
      </c>
      <c r="EX13" s="231">
        <v>1989</v>
      </c>
      <c r="EY13" s="228">
        <v>2.2999999999999998</v>
      </c>
      <c r="EZ13" s="229">
        <v>1.1999999999999999E-3</v>
      </c>
      <c r="FA13" s="229">
        <v>0.42199999999999999</v>
      </c>
      <c r="FB13" s="227" t="s">
        <v>567</v>
      </c>
      <c r="FC13">
        <f t="shared" si="0"/>
        <v>19</v>
      </c>
    </row>
    <row r="14" spans="1:159" ht="17.25" thickBot="1" x14ac:dyDescent="0.3">
      <c r="A14" s="226">
        <v>45946</v>
      </c>
      <c r="B14" s="227" t="s">
        <v>170</v>
      </c>
      <c r="C14" s="227" t="s">
        <v>165</v>
      </c>
      <c r="D14" s="228">
        <v>125</v>
      </c>
      <c r="E14" s="228">
        <v>12</v>
      </c>
      <c r="F14" s="231">
        <v>7860.5</v>
      </c>
      <c r="G14" s="231">
        <v>7838</v>
      </c>
      <c r="H14" s="228">
        <v>22.5</v>
      </c>
      <c r="I14" s="229">
        <v>2.8999999999999998E-3</v>
      </c>
      <c r="J14" s="231">
        <v>7833.5</v>
      </c>
      <c r="K14" s="231">
        <v>7826</v>
      </c>
      <c r="L14" s="228">
        <v>7.5</v>
      </c>
      <c r="M14" s="229">
        <v>1E-3</v>
      </c>
      <c r="N14" s="231">
        <v>7860.5</v>
      </c>
      <c r="O14" s="231">
        <v>7838</v>
      </c>
      <c r="P14" s="228">
        <v>22.5</v>
      </c>
      <c r="Q14" s="229">
        <v>2.8999999999999998E-3</v>
      </c>
      <c r="R14" s="231">
        <v>7902</v>
      </c>
      <c r="S14" s="231">
        <v>7882</v>
      </c>
      <c r="T14" s="228">
        <v>20</v>
      </c>
      <c r="U14" s="229">
        <v>2.5000000000000001E-3</v>
      </c>
      <c r="V14" s="231">
        <v>7942</v>
      </c>
      <c r="W14" s="231">
        <v>7927.5</v>
      </c>
      <c r="X14" s="228">
        <v>14.5</v>
      </c>
      <c r="Y14" s="229">
        <v>1.8E-3</v>
      </c>
      <c r="Z14" s="228">
        <v>27</v>
      </c>
      <c r="AA14" s="228">
        <v>12</v>
      </c>
      <c r="AB14" s="228">
        <v>15</v>
      </c>
      <c r="AC14" s="229">
        <v>3.3999999999999998E-3</v>
      </c>
      <c r="AD14" s="228">
        <v>27</v>
      </c>
      <c r="AE14" s="228">
        <v>12</v>
      </c>
      <c r="AF14" s="228">
        <v>15</v>
      </c>
      <c r="AG14" s="229">
        <v>3.3999999999999998E-3</v>
      </c>
      <c r="AH14" s="228">
        <v>68.5</v>
      </c>
      <c r="AI14" s="228">
        <v>56</v>
      </c>
      <c r="AJ14" s="228">
        <v>12.5</v>
      </c>
      <c r="AK14" s="229">
        <v>8.6999999999999994E-3</v>
      </c>
      <c r="AL14" s="228">
        <v>108.5</v>
      </c>
      <c r="AM14" s="228">
        <v>101.5</v>
      </c>
      <c r="AN14" s="228">
        <v>7</v>
      </c>
      <c r="AO14" s="229">
        <v>1.3899999999999999E-2</v>
      </c>
      <c r="AP14" s="231">
        <v>7862.21</v>
      </c>
      <c r="AQ14" s="231">
        <v>7906.18</v>
      </c>
      <c r="AR14" s="228">
        <v>0</v>
      </c>
      <c r="AS14" s="228">
        <v>175</v>
      </c>
      <c r="AT14" s="228">
        <v>218</v>
      </c>
      <c r="AU14" s="228">
        <v>-43</v>
      </c>
      <c r="AV14" s="229">
        <v>-0.19650000000000001</v>
      </c>
      <c r="AW14" s="228">
        <v>161</v>
      </c>
      <c r="AX14" s="228">
        <v>194</v>
      </c>
      <c r="AY14" s="228">
        <v>-33</v>
      </c>
      <c r="AZ14" s="229">
        <v>-0.1706</v>
      </c>
      <c r="BA14" s="228">
        <v>13</v>
      </c>
      <c r="BB14" s="228">
        <v>22</v>
      </c>
      <c r="BC14" s="228">
        <v>-9</v>
      </c>
      <c r="BD14" s="229">
        <v>-0.4133</v>
      </c>
      <c r="BE14" s="228">
        <v>1</v>
      </c>
      <c r="BF14" s="228">
        <v>1</v>
      </c>
      <c r="BG14" s="228">
        <v>0</v>
      </c>
      <c r="BH14" s="229">
        <v>-0.35709999999999997</v>
      </c>
      <c r="BI14" s="228">
        <v>740</v>
      </c>
      <c r="BJ14" s="230">
        <v>1355</v>
      </c>
      <c r="BK14" s="228">
        <v>-615</v>
      </c>
      <c r="BL14" s="229">
        <v>-0.45369999999999999</v>
      </c>
      <c r="BM14" s="228">
        <v>454</v>
      </c>
      <c r="BN14" s="228">
        <v>859</v>
      </c>
      <c r="BO14" s="228">
        <v>-405</v>
      </c>
      <c r="BP14" s="229">
        <v>-0.47139999999999999</v>
      </c>
      <c r="BQ14" s="230">
        <v>1369</v>
      </c>
      <c r="BR14" s="230">
        <v>2432</v>
      </c>
      <c r="BS14" s="230">
        <v>-1063</v>
      </c>
      <c r="BT14" s="229">
        <v>-0.43690000000000001</v>
      </c>
      <c r="BU14" s="230">
        <v>179699</v>
      </c>
      <c r="BV14" s="230">
        <v>215702</v>
      </c>
      <c r="BW14" s="230">
        <v>-36003</v>
      </c>
      <c r="BX14" s="229">
        <v>-0.16689999999999999</v>
      </c>
      <c r="BY14" s="230">
        <v>2204</v>
      </c>
      <c r="BZ14" s="230">
        <v>2202</v>
      </c>
      <c r="CA14" s="228">
        <v>2</v>
      </c>
      <c r="CB14" s="229">
        <v>1.1000000000000001E-3</v>
      </c>
      <c r="CC14" s="230">
        <v>2156</v>
      </c>
      <c r="CD14" s="230">
        <v>2158</v>
      </c>
      <c r="CE14" s="228">
        <v>-2</v>
      </c>
      <c r="CF14" s="229">
        <v>-1E-3</v>
      </c>
      <c r="CG14" s="228">
        <v>42</v>
      </c>
      <c r="CH14" s="228">
        <v>38</v>
      </c>
      <c r="CI14" s="228">
        <v>5</v>
      </c>
      <c r="CJ14" s="229">
        <v>0.1201</v>
      </c>
      <c r="CK14" s="228">
        <v>6</v>
      </c>
      <c r="CL14" s="228">
        <v>6</v>
      </c>
      <c r="CM14" s="228">
        <v>0</v>
      </c>
      <c r="CN14" s="229">
        <v>-1.67E-2</v>
      </c>
      <c r="CO14" s="228">
        <v>474</v>
      </c>
      <c r="CP14" s="228">
        <v>505</v>
      </c>
      <c r="CQ14" s="228">
        <v>-31</v>
      </c>
      <c r="CR14" s="229">
        <v>-6.1800000000000001E-2</v>
      </c>
      <c r="CS14" s="228">
        <v>413</v>
      </c>
      <c r="CT14" s="228">
        <v>409</v>
      </c>
      <c r="CU14" s="228">
        <v>4</v>
      </c>
      <c r="CV14" s="229">
        <v>8.8999999999999999E-3</v>
      </c>
      <c r="CW14" s="230">
        <v>3091</v>
      </c>
      <c r="CX14" s="230">
        <v>3116</v>
      </c>
      <c r="CY14" s="228">
        <v>-25</v>
      </c>
      <c r="CZ14" s="229">
        <v>-8.0999999999999996E-3</v>
      </c>
      <c r="DA14" s="228">
        <v>16.34</v>
      </c>
      <c r="DB14" s="228">
        <v>16.89</v>
      </c>
      <c r="DC14" s="228">
        <v>-0.55000000000000004</v>
      </c>
      <c r="DD14" s="228">
        <v>-0.55000000000000004</v>
      </c>
      <c r="DE14" s="228">
        <v>26.45</v>
      </c>
      <c r="DF14" s="228">
        <v>26.52</v>
      </c>
      <c r="DG14" s="228">
        <v>-10.11</v>
      </c>
      <c r="DH14" s="228">
        <v>-7.0000000000000007E-2</v>
      </c>
      <c r="DI14" s="228">
        <v>16.07</v>
      </c>
      <c r="DJ14" s="228">
        <v>16.36</v>
      </c>
      <c r="DK14" s="228">
        <v>-0.28999999999999998</v>
      </c>
      <c r="DL14" s="228">
        <v>-0.28999999999999998</v>
      </c>
      <c r="DM14" s="228">
        <v>16.77</v>
      </c>
      <c r="DN14" s="228">
        <v>17.73</v>
      </c>
      <c r="DO14" s="228">
        <v>-0.96</v>
      </c>
      <c r="DP14" s="228">
        <v>-0.96</v>
      </c>
      <c r="DQ14" s="228">
        <v>0.87</v>
      </c>
      <c r="DR14" s="228">
        <v>0.81</v>
      </c>
      <c r="DS14" s="228">
        <v>0.06</v>
      </c>
      <c r="DT14" s="229">
        <v>7.4099999999999999E-2</v>
      </c>
      <c r="DU14" s="231">
        <v>8000</v>
      </c>
      <c r="DV14" s="231">
        <v>7700</v>
      </c>
      <c r="DW14" s="228">
        <v>0.61</v>
      </c>
      <c r="DX14" s="228">
        <v>0.63</v>
      </c>
      <c r="DY14" s="228">
        <v>-0.02</v>
      </c>
      <c r="DZ14" s="229">
        <v>-3.1699999999999999E-2</v>
      </c>
      <c r="EA14" s="229">
        <v>2.18E-2</v>
      </c>
      <c r="EB14" s="230">
        <v>55375</v>
      </c>
      <c r="EC14" s="229">
        <v>5.3E-3</v>
      </c>
      <c r="ED14" s="229">
        <v>2.18E-2</v>
      </c>
      <c r="EE14" s="228">
        <v>43.97</v>
      </c>
      <c r="EF14" s="229">
        <v>5.5999999999999999E-3</v>
      </c>
      <c r="EG14" s="230">
        <v>119854</v>
      </c>
      <c r="EH14" s="230">
        <v>127087</v>
      </c>
      <c r="EI14" s="229">
        <v>-5.6899999999999999E-2</v>
      </c>
      <c r="EJ14" s="229">
        <v>0.66700000000000004</v>
      </c>
      <c r="EK14" s="228">
        <v>754.47</v>
      </c>
      <c r="EL14" s="228">
        <v>448.17</v>
      </c>
      <c r="EM14" s="228">
        <v>174.92</v>
      </c>
      <c r="EN14" s="228">
        <v>21.77</v>
      </c>
      <c r="EO14" s="231">
        <v>1377.55</v>
      </c>
      <c r="EP14" s="231">
        <v>2432.6</v>
      </c>
      <c r="EQ14" s="231">
        <v>-1055.05</v>
      </c>
      <c r="ER14" s="229">
        <v>-0.43369999999999997</v>
      </c>
      <c r="ES14" s="228">
        <v>477.45</v>
      </c>
      <c r="ET14" s="228">
        <v>393.97</v>
      </c>
      <c r="EU14" s="231">
        <v>2204.66</v>
      </c>
      <c r="EV14" s="231">
        <v>15240043</v>
      </c>
      <c r="EW14" s="231">
        <v>3076.08</v>
      </c>
      <c r="EX14" s="231">
        <v>3094.62</v>
      </c>
      <c r="EY14" s="228">
        <v>-18.54</v>
      </c>
      <c r="EZ14" s="229">
        <v>-6.0000000000000001E-3</v>
      </c>
      <c r="FA14" s="229">
        <v>0.25800000000000001</v>
      </c>
      <c r="FB14" s="227" t="s">
        <v>555</v>
      </c>
      <c r="FC14">
        <f t="shared" si="0"/>
        <v>48</v>
      </c>
    </row>
    <row r="15" spans="1:159" ht="17.25" thickBot="1" x14ac:dyDescent="0.3">
      <c r="A15" s="226">
        <v>45946</v>
      </c>
      <c r="B15" s="227" t="s">
        <v>162</v>
      </c>
      <c r="C15" s="227" t="s">
        <v>167</v>
      </c>
      <c r="D15" s="228">
        <v>5000</v>
      </c>
      <c r="E15" s="228">
        <v>12</v>
      </c>
      <c r="F15" s="228">
        <v>137.08000000000001</v>
      </c>
      <c r="G15" s="228">
        <v>135.97999999999999</v>
      </c>
      <c r="H15" s="228">
        <v>1.1000000000000001</v>
      </c>
      <c r="I15" s="229">
        <v>8.0999999999999996E-3</v>
      </c>
      <c r="J15" s="228">
        <v>137.24</v>
      </c>
      <c r="K15" s="228">
        <v>135.69</v>
      </c>
      <c r="L15" s="228">
        <v>1.55</v>
      </c>
      <c r="M15" s="229">
        <v>1.14E-2</v>
      </c>
      <c r="N15" s="228">
        <v>137.08000000000001</v>
      </c>
      <c r="O15" s="228">
        <v>135.97999999999999</v>
      </c>
      <c r="P15" s="228">
        <v>1.1000000000000001</v>
      </c>
      <c r="Q15" s="229">
        <v>8.0999999999999996E-3</v>
      </c>
      <c r="R15" s="228">
        <v>134.99</v>
      </c>
      <c r="S15" s="228">
        <v>134.16</v>
      </c>
      <c r="T15" s="228">
        <v>0.83</v>
      </c>
      <c r="U15" s="229">
        <v>6.1999999999999998E-3</v>
      </c>
      <c r="V15" s="228">
        <v>134.25</v>
      </c>
      <c r="W15" s="228">
        <v>133.38</v>
      </c>
      <c r="X15" s="228">
        <v>0.87</v>
      </c>
      <c r="Y15" s="229">
        <v>6.4999999999999997E-3</v>
      </c>
      <c r="Z15" s="228">
        <v>-0.16</v>
      </c>
      <c r="AA15" s="228">
        <v>0.28999999999999998</v>
      </c>
      <c r="AB15" s="228">
        <v>-0.45</v>
      </c>
      <c r="AC15" s="229">
        <v>-1.1999999999999999E-3</v>
      </c>
      <c r="AD15" s="228">
        <v>-0.16</v>
      </c>
      <c r="AE15" s="228">
        <v>0.28999999999999998</v>
      </c>
      <c r="AF15" s="228">
        <v>-0.45</v>
      </c>
      <c r="AG15" s="229">
        <v>-1.1999999999999999E-3</v>
      </c>
      <c r="AH15" s="228">
        <v>-2.25</v>
      </c>
      <c r="AI15" s="228">
        <v>-1.53</v>
      </c>
      <c r="AJ15" s="228">
        <v>-0.72</v>
      </c>
      <c r="AK15" s="229">
        <v>-1.6400000000000001E-2</v>
      </c>
      <c r="AL15" s="228">
        <v>-2.99</v>
      </c>
      <c r="AM15" s="228">
        <v>-2.31</v>
      </c>
      <c r="AN15" s="228">
        <v>-0.68</v>
      </c>
      <c r="AO15" s="229">
        <v>-2.18E-2</v>
      </c>
      <c r="AP15" s="228">
        <v>137.30000000000001</v>
      </c>
      <c r="AQ15" s="228">
        <v>135.22</v>
      </c>
      <c r="AR15" s="228">
        <v>0</v>
      </c>
      <c r="AS15" s="228">
        <v>372</v>
      </c>
      <c r="AT15" s="228">
        <v>221</v>
      </c>
      <c r="AU15" s="228">
        <v>151</v>
      </c>
      <c r="AV15" s="229">
        <v>0.68159999999999998</v>
      </c>
      <c r="AW15" s="228">
        <v>283</v>
      </c>
      <c r="AX15" s="228">
        <v>179</v>
      </c>
      <c r="AY15" s="228">
        <v>103</v>
      </c>
      <c r="AZ15" s="229">
        <v>0.57520000000000004</v>
      </c>
      <c r="BA15" s="228">
        <v>85</v>
      </c>
      <c r="BB15" s="228">
        <v>39</v>
      </c>
      <c r="BC15" s="228">
        <v>46</v>
      </c>
      <c r="BD15" s="229">
        <v>1.1763999999999999</v>
      </c>
      <c r="BE15" s="228">
        <v>5</v>
      </c>
      <c r="BF15" s="228">
        <v>3</v>
      </c>
      <c r="BG15" s="228">
        <v>2</v>
      </c>
      <c r="BH15" s="229">
        <v>0.63639999999999997</v>
      </c>
      <c r="BI15" s="228">
        <v>801</v>
      </c>
      <c r="BJ15" s="228">
        <v>625</v>
      </c>
      <c r="BK15" s="228">
        <v>176</v>
      </c>
      <c r="BL15" s="229">
        <v>0.28170000000000001</v>
      </c>
      <c r="BM15" s="228">
        <v>321</v>
      </c>
      <c r="BN15" s="228">
        <v>205</v>
      </c>
      <c r="BO15" s="228">
        <v>116</v>
      </c>
      <c r="BP15" s="229">
        <v>0.5655</v>
      </c>
      <c r="BQ15" s="230">
        <v>1494</v>
      </c>
      <c r="BR15" s="230">
        <v>1051</v>
      </c>
      <c r="BS15" s="228">
        <v>443</v>
      </c>
      <c r="BT15" s="229">
        <v>0.42130000000000001</v>
      </c>
      <c r="BU15" s="230">
        <v>10467295</v>
      </c>
      <c r="BV15" s="230">
        <v>9219252</v>
      </c>
      <c r="BW15" s="230">
        <v>1248043</v>
      </c>
      <c r="BX15" s="229">
        <v>0.13539999999999999</v>
      </c>
      <c r="BY15" s="230">
        <v>2039</v>
      </c>
      <c r="BZ15" s="230">
        <v>1937</v>
      </c>
      <c r="CA15" s="228">
        <v>102</v>
      </c>
      <c r="CB15" s="229">
        <v>5.2600000000000001E-2</v>
      </c>
      <c r="CC15" s="230">
        <v>1855</v>
      </c>
      <c r="CD15" s="230">
        <v>1803</v>
      </c>
      <c r="CE15" s="228">
        <v>53</v>
      </c>
      <c r="CF15" s="229">
        <v>2.92E-2</v>
      </c>
      <c r="CG15" s="228">
        <v>170</v>
      </c>
      <c r="CH15" s="228">
        <v>122</v>
      </c>
      <c r="CI15" s="228">
        <v>47</v>
      </c>
      <c r="CJ15" s="229">
        <v>0.38850000000000001</v>
      </c>
      <c r="CK15" s="228">
        <v>14</v>
      </c>
      <c r="CL15" s="228">
        <v>12</v>
      </c>
      <c r="CM15" s="228">
        <v>2</v>
      </c>
      <c r="CN15" s="229">
        <v>0.1381</v>
      </c>
      <c r="CO15" s="230">
        <v>1211</v>
      </c>
      <c r="CP15" s="230">
        <v>1218</v>
      </c>
      <c r="CQ15" s="228">
        <v>-7</v>
      </c>
      <c r="CR15" s="229">
        <v>-5.7999999999999996E-3</v>
      </c>
      <c r="CS15" s="228">
        <v>506</v>
      </c>
      <c r="CT15" s="228">
        <v>503</v>
      </c>
      <c r="CU15" s="228">
        <v>3</v>
      </c>
      <c r="CV15" s="229">
        <v>6.7999999999999996E-3</v>
      </c>
      <c r="CW15" s="230">
        <v>3757</v>
      </c>
      <c r="CX15" s="230">
        <v>3658</v>
      </c>
      <c r="CY15" s="228">
        <v>98</v>
      </c>
      <c r="CZ15" s="229">
        <v>2.6800000000000001E-2</v>
      </c>
      <c r="DA15" s="228">
        <v>27.43</v>
      </c>
      <c r="DB15" s="228">
        <v>28.88</v>
      </c>
      <c r="DC15" s="228">
        <v>-1.45</v>
      </c>
      <c r="DD15" s="228">
        <v>-1.45</v>
      </c>
      <c r="DE15" s="228">
        <v>35.01</v>
      </c>
      <c r="DF15" s="228">
        <v>35.06</v>
      </c>
      <c r="DG15" s="228">
        <v>-7.58</v>
      </c>
      <c r="DH15" s="228">
        <v>-0.05</v>
      </c>
      <c r="DI15" s="228">
        <v>28.31</v>
      </c>
      <c r="DJ15" s="228">
        <v>29.88</v>
      </c>
      <c r="DK15" s="228">
        <v>-1.57</v>
      </c>
      <c r="DL15" s="228">
        <v>-1.57</v>
      </c>
      <c r="DM15" s="228">
        <v>25.22</v>
      </c>
      <c r="DN15" s="228">
        <v>25.82</v>
      </c>
      <c r="DO15" s="228">
        <v>-0.6</v>
      </c>
      <c r="DP15" s="228">
        <v>-0.6</v>
      </c>
      <c r="DQ15" s="228">
        <v>0.42</v>
      </c>
      <c r="DR15" s="228">
        <v>0.41</v>
      </c>
      <c r="DS15" s="228">
        <v>0.01</v>
      </c>
      <c r="DT15" s="229">
        <v>2.4400000000000002E-2</v>
      </c>
      <c r="DU15" s="228">
        <v>140</v>
      </c>
      <c r="DV15" s="228">
        <v>135</v>
      </c>
      <c r="DW15" s="228">
        <v>0.4</v>
      </c>
      <c r="DX15" s="228">
        <v>0.33</v>
      </c>
      <c r="DY15" s="228">
        <v>7.0000000000000007E-2</v>
      </c>
      <c r="DZ15" s="229">
        <v>0.21210000000000001</v>
      </c>
      <c r="EA15" s="229">
        <v>9.0200000000000002E-2</v>
      </c>
      <c r="EB15" s="230">
        <v>9825000</v>
      </c>
      <c r="EC15" s="229">
        <v>-1.52E-2</v>
      </c>
      <c r="ED15" s="229">
        <v>9.0200000000000002E-2</v>
      </c>
      <c r="EE15" s="228">
        <v>-2.08</v>
      </c>
      <c r="EF15" s="229">
        <v>-1.5100000000000001E-2</v>
      </c>
      <c r="EG15" s="230">
        <v>4904309</v>
      </c>
      <c r="EH15" s="230">
        <v>5345774</v>
      </c>
      <c r="EI15" s="229">
        <v>-8.2600000000000007E-2</v>
      </c>
      <c r="EJ15" s="229">
        <v>0.46850000000000003</v>
      </c>
      <c r="EK15" s="228">
        <v>835.82</v>
      </c>
      <c r="EL15" s="228">
        <v>319.16000000000003</v>
      </c>
      <c r="EM15" s="228">
        <v>371.38</v>
      </c>
      <c r="EN15" s="228">
        <v>32.979999999999997</v>
      </c>
      <c r="EO15" s="231">
        <v>1526.37</v>
      </c>
      <c r="EP15" s="231">
        <v>1080.8499999999999</v>
      </c>
      <c r="EQ15" s="228">
        <v>445.52</v>
      </c>
      <c r="ER15" s="229">
        <v>0.41220000000000001</v>
      </c>
      <c r="ES15" s="231">
        <v>1289.3900000000001</v>
      </c>
      <c r="ET15" s="228">
        <v>493.41</v>
      </c>
      <c r="EU15" s="231">
        <v>2036.19</v>
      </c>
      <c r="EV15" s="231">
        <v>409181558</v>
      </c>
      <c r="EW15" s="231">
        <v>3818.99</v>
      </c>
      <c r="EX15" s="231">
        <v>3707.95</v>
      </c>
      <c r="EY15" s="228">
        <v>111.04</v>
      </c>
      <c r="EZ15" s="229">
        <v>2.9899999999999999E-2</v>
      </c>
      <c r="FA15" s="229">
        <v>0.66969999999999996</v>
      </c>
      <c r="FB15" s="227" t="s">
        <v>555</v>
      </c>
      <c r="FC15">
        <f t="shared" si="0"/>
        <v>184</v>
      </c>
    </row>
    <row r="16" spans="1:159" ht="17.25" thickBot="1" x14ac:dyDescent="0.3">
      <c r="A16" s="226">
        <v>45946</v>
      </c>
      <c r="B16" s="227" t="s">
        <v>168</v>
      </c>
      <c r="C16" s="227" t="s">
        <v>169</v>
      </c>
      <c r="D16" s="228">
        <v>250</v>
      </c>
      <c r="E16" s="228">
        <v>12</v>
      </c>
      <c r="F16" s="231">
        <v>2417.9</v>
      </c>
      <c r="G16" s="231">
        <v>2384.9</v>
      </c>
      <c r="H16" s="228">
        <v>33</v>
      </c>
      <c r="I16" s="229">
        <v>1.38E-2</v>
      </c>
      <c r="J16" s="231">
        <v>2409.6999999999998</v>
      </c>
      <c r="K16" s="231">
        <v>2375.1</v>
      </c>
      <c r="L16" s="228">
        <v>34.6</v>
      </c>
      <c r="M16" s="229">
        <v>1.46E-2</v>
      </c>
      <c r="N16" s="231">
        <v>2417.9</v>
      </c>
      <c r="O16" s="231">
        <v>2384.9</v>
      </c>
      <c r="P16" s="228">
        <v>33</v>
      </c>
      <c r="Q16" s="229">
        <v>1.38E-2</v>
      </c>
      <c r="R16" s="231">
        <v>2425.6</v>
      </c>
      <c r="S16" s="231">
        <v>2392.6999999999998</v>
      </c>
      <c r="T16" s="228">
        <v>32.9</v>
      </c>
      <c r="U16" s="229">
        <v>1.38E-2</v>
      </c>
      <c r="V16" s="231">
        <v>2441.8000000000002</v>
      </c>
      <c r="W16" s="231">
        <v>2407.1</v>
      </c>
      <c r="X16" s="228">
        <v>34.700000000000003</v>
      </c>
      <c r="Y16" s="229">
        <v>1.44E-2</v>
      </c>
      <c r="Z16" s="228">
        <v>8.1999999999999993</v>
      </c>
      <c r="AA16" s="228">
        <v>9.8000000000000007</v>
      </c>
      <c r="AB16" s="228">
        <v>-1.6</v>
      </c>
      <c r="AC16" s="229">
        <v>3.3999999999999998E-3</v>
      </c>
      <c r="AD16" s="228">
        <v>8.1999999999999993</v>
      </c>
      <c r="AE16" s="228">
        <v>9.8000000000000007</v>
      </c>
      <c r="AF16" s="228">
        <v>-1.6</v>
      </c>
      <c r="AG16" s="229">
        <v>3.3999999999999998E-3</v>
      </c>
      <c r="AH16" s="228">
        <v>15.9</v>
      </c>
      <c r="AI16" s="228">
        <v>17.600000000000001</v>
      </c>
      <c r="AJ16" s="228">
        <v>-1.7</v>
      </c>
      <c r="AK16" s="229">
        <v>6.6E-3</v>
      </c>
      <c r="AL16" s="228">
        <v>32.1</v>
      </c>
      <c r="AM16" s="228">
        <v>32</v>
      </c>
      <c r="AN16" s="228">
        <v>0.1</v>
      </c>
      <c r="AO16" s="229">
        <v>1.3299999999999999E-2</v>
      </c>
      <c r="AP16" s="231">
        <v>2404.4899999999998</v>
      </c>
      <c r="AQ16" s="231">
        <v>2413.1799999999998</v>
      </c>
      <c r="AR16" s="228">
        <v>0</v>
      </c>
      <c r="AS16" s="228">
        <v>532</v>
      </c>
      <c r="AT16" s="228">
        <v>601</v>
      </c>
      <c r="AU16" s="228">
        <v>-69</v>
      </c>
      <c r="AV16" s="229">
        <v>-0.115</v>
      </c>
      <c r="AW16" s="228">
        <v>424</v>
      </c>
      <c r="AX16" s="228">
        <v>491</v>
      </c>
      <c r="AY16" s="228">
        <v>-67</v>
      </c>
      <c r="AZ16" s="229">
        <v>-0.1371</v>
      </c>
      <c r="BA16" s="228">
        <v>101</v>
      </c>
      <c r="BB16" s="228">
        <v>103</v>
      </c>
      <c r="BC16" s="228">
        <v>-2</v>
      </c>
      <c r="BD16" s="229">
        <v>-1.9400000000000001E-2</v>
      </c>
      <c r="BE16" s="228">
        <v>7</v>
      </c>
      <c r="BF16" s="228">
        <v>7</v>
      </c>
      <c r="BG16" s="228">
        <v>0</v>
      </c>
      <c r="BH16" s="229">
        <v>2.4799999999999999E-2</v>
      </c>
      <c r="BI16" s="230">
        <v>2646</v>
      </c>
      <c r="BJ16" s="230">
        <v>3210</v>
      </c>
      <c r="BK16" s="228">
        <v>-564</v>
      </c>
      <c r="BL16" s="229">
        <v>-0.17560000000000001</v>
      </c>
      <c r="BM16" s="230">
        <v>1271</v>
      </c>
      <c r="BN16" s="230">
        <v>1385</v>
      </c>
      <c r="BO16" s="228">
        <v>-113</v>
      </c>
      <c r="BP16" s="229">
        <v>-8.1900000000000001E-2</v>
      </c>
      <c r="BQ16" s="230">
        <v>4449</v>
      </c>
      <c r="BR16" s="230">
        <v>5195</v>
      </c>
      <c r="BS16" s="228">
        <v>-746</v>
      </c>
      <c r="BT16" s="229">
        <v>-0.14360000000000001</v>
      </c>
      <c r="BU16" s="230">
        <v>736968</v>
      </c>
      <c r="BV16" s="230">
        <v>784901</v>
      </c>
      <c r="BW16" s="230">
        <v>-47933</v>
      </c>
      <c r="BX16" s="229">
        <v>-6.1100000000000002E-2</v>
      </c>
      <c r="BY16" s="230">
        <v>3264</v>
      </c>
      <c r="BZ16" s="230">
        <v>3279</v>
      </c>
      <c r="CA16" s="228">
        <v>-15</v>
      </c>
      <c r="CB16" s="229">
        <v>-4.4000000000000003E-3</v>
      </c>
      <c r="CC16" s="230">
        <v>3043</v>
      </c>
      <c r="CD16" s="230">
        <v>3070</v>
      </c>
      <c r="CE16" s="228">
        <v>-27</v>
      </c>
      <c r="CF16" s="229">
        <v>-8.8000000000000005E-3</v>
      </c>
      <c r="CG16" s="228">
        <v>207</v>
      </c>
      <c r="CH16" s="228">
        <v>194</v>
      </c>
      <c r="CI16" s="228">
        <v>14</v>
      </c>
      <c r="CJ16" s="229">
        <v>7.1199999999999999E-2</v>
      </c>
      <c r="CK16" s="228">
        <v>14</v>
      </c>
      <c r="CL16" s="228">
        <v>15</v>
      </c>
      <c r="CM16" s="228">
        <v>-1</v>
      </c>
      <c r="CN16" s="229">
        <v>-7.9100000000000004E-2</v>
      </c>
      <c r="CO16" s="230">
        <v>1410</v>
      </c>
      <c r="CP16" s="230">
        <v>1400</v>
      </c>
      <c r="CQ16" s="228">
        <v>10</v>
      </c>
      <c r="CR16" s="229">
        <v>7.1999999999999998E-3</v>
      </c>
      <c r="CS16" s="228">
        <v>886</v>
      </c>
      <c r="CT16" s="228">
        <v>903</v>
      </c>
      <c r="CU16" s="228">
        <v>-17</v>
      </c>
      <c r="CV16" s="229">
        <v>-1.8499999999999999E-2</v>
      </c>
      <c r="CW16" s="230">
        <v>5561</v>
      </c>
      <c r="CX16" s="230">
        <v>5582</v>
      </c>
      <c r="CY16" s="228">
        <v>-21</v>
      </c>
      <c r="CZ16" s="229">
        <v>-3.8E-3</v>
      </c>
      <c r="DA16" s="228">
        <v>20.48</v>
      </c>
      <c r="DB16" s="228">
        <v>19.579999999999998</v>
      </c>
      <c r="DC16" s="228">
        <v>0.9</v>
      </c>
      <c r="DD16" s="228">
        <v>0.9</v>
      </c>
      <c r="DE16" s="228">
        <v>23.57</v>
      </c>
      <c r="DF16" s="228">
        <v>23.55</v>
      </c>
      <c r="DG16" s="228">
        <v>-3.09</v>
      </c>
      <c r="DH16" s="228">
        <v>0.02</v>
      </c>
      <c r="DI16" s="228">
        <v>20.239999999999998</v>
      </c>
      <c r="DJ16" s="228">
        <v>19.260000000000002</v>
      </c>
      <c r="DK16" s="228">
        <v>0.98</v>
      </c>
      <c r="DL16" s="228">
        <v>0.98</v>
      </c>
      <c r="DM16" s="228">
        <v>20.99</v>
      </c>
      <c r="DN16" s="228">
        <v>20.3</v>
      </c>
      <c r="DO16" s="228">
        <v>0.69</v>
      </c>
      <c r="DP16" s="228">
        <v>0.69</v>
      </c>
      <c r="DQ16" s="228">
        <v>0.63</v>
      </c>
      <c r="DR16" s="228">
        <v>0.64</v>
      </c>
      <c r="DS16" s="228">
        <v>-0.01</v>
      </c>
      <c r="DT16" s="229">
        <v>-1.5599999999999999E-2</v>
      </c>
      <c r="DU16" s="231">
        <v>2500</v>
      </c>
      <c r="DV16" s="231">
        <v>2300</v>
      </c>
      <c r="DW16" s="228">
        <v>0.48</v>
      </c>
      <c r="DX16" s="228">
        <v>0.43</v>
      </c>
      <c r="DY16" s="228">
        <v>0.05</v>
      </c>
      <c r="DZ16" s="229">
        <v>0.1163</v>
      </c>
      <c r="EA16" s="229">
        <v>6.7900000000000002E-2</v>
      </c>
      <c r="EB16" s="230">
        <v>864250</v>
      </c>
      <c r="EC16" s="229">
        <v>3.2000000000000002E-3</v>
      </c>
      <c r="ED16" s="229">
        <v>6.7900000000000002E-2</v>
      </c>
      <c r="EE16" s="228">
        <v>8.69</v>
      </c>
      <c r="EF16" s="229">
        <v>3.5999999999999999E-3</v>
      </c>
      <c r="EG16" s="230">
        <v>383454</v>
      </c>
      <c r="EH16" s="230">
        <v>344100</v>
      </c>
      <c r="EI16" s="229">
        <v>0.1144</v>
      </c>
      <c r="EJ16" s="229">
        <v>0.52029999999999998</v>
      </c>
      <c r="EK16" s="231">
        <v>2704.1</v>
      </c>
      <c r="EL16" s="231">
        <v>1239.25</v>
      </c>
      <c r="EM16" s="228">
        <v>529.25</v>
      </c>
      <c r="EN16" s="228">
        <v>60.12</v>
      </c>
      <c r="EO16" s="231">
        <v>4472.6099999999997</v>
      </c>
      <c r="EP16" s="231">
        <v>5161.3100000000004</v>
      </c>
      <c r="EQ16" s="228">
        <v>-688.7</v>
      </c>
      <c r="ER16" s="229">
        <v>-0.13339999999999999</v>
      </c>
      <c r="ES16" s="231">
        <v>1451.58</v>
      </c>
      <c r="ET16" s="228">
        <v>847.32</v>
      </c>
      <c r="EU16" s="231">
        <v>3265.27</v>
      </c>
      <c r="EV16" s="231">
        <v>52357280</v>
      </c>
      <c r="EW16" s="231">
        <v>5564.16</v>
      </c>
      <c r="EX16" s="231">
        <v>5533.13</v>
      </c>
      <c r="EY16" s="228">
        <v>31.03</v>
      </c>
      <c r="EZ16" s="229">
        <v>5.5999999999999999E-3</v>
      </c>
      <c r="FA16" s="229">
        <v>0.43930000000000002</v>
      </c>
      <c r="FB16" s="227" t="s">
        <v>556</v>
      </c>
      <c r="FC16">
        <f t="shared" si="0"/>
        <v>221</v>
      </c>
    </row>
    <row r="17" spans="1:159" ht="17.25" thickBot="1" x14ac:dyDescent="0.3">
      <c r="A17" s="226">
        <v>45946</v>
      </c>
      <c r="B17" s="227" t="s">
        <v>184</v>
      </c>
      <c r="C17" s="227" t="s">
        <v>503</v>
      </c>
      <c r="D17" s="228">
        <v>425</v>
      </c>
      <c r="E17" s="228">
        <v>12</v>
      </c>
      <c r="F17" s="231">
        <v>1445.3</v>
      </c>
      <c r="G17" s="231">
        <v>1444.6</v>
      </c>
      <c r="H17" s="228">
        <v>0.7</v>
      </c>
      <c r="I17" s="229">
        <v>5.0000000000000001E-4</v>
      </c>
      <c r="J17" s="231">
        <v>1444.8</v>
      </c>
      <c r="K17" s="231">
        <v>1438.8</v>
      </c>
      <c r="L17" s="228">
        <v>6</v>
      </c>
      <c r="M17" s="229">
        <v>4.1999999999999997E-3</v>
      </c>
      <c r="N17" s="231">
        <v>1445.3</v>
      </c>
      <c r="O17" s="231">
        <v>1444.6</v>
      </c>
      <c r="P17" s="228">
        <v>0.7</v>
      </c>
      <c r="Q17" s="229">
        <v>5.0000000000000001E-4</v>
      </c>
      <c r="R17" s="231">
        <v>1450.5</v>
      </c>
      <c r="S17" s="231">
        <v>1449.2</v>
      </c>
      <c r="T17" s="228">
        <v>1.3</v>
      </c>
      <c r="U17" s="229">
        <v>8.9999999999999998E-4</v>
      </c>
      <c r="V17" s="231">
        <v>1458.4</v>
      </c>
      <c r="W17" s="231">
        <v>1459.5</v>
      </c>
      <c r="X17" s="228">
        <v>-1.1000000000000001</v>
      </c>
      <c r="Y17" s="229">
        <v>-8.0000000000000004E-4</v>
      </c>
      <c r="Z17" s="228">
        <v>0.5</v>
      </c>
      <c r="AA17" s="228">
        <v>5.8</v>
      </c>
      <c r="AB17" s="228">
        <v>-5.3</v>
      </c>
      <c r="AC17" s="229">
        <v>2.9999999999999997E-4</v>
      </c>
      <c r="AD17" s="228">
        <v>0.5</v>
      </c>
      <c r="AE17" s="228">
        <v>5.8</v>
      </c>
      <c r="AF17" s="228">
        <v>-5.3</v>
      </c>
      <c r="AG17" s="229">
        <v>2.9999999999999997E-4</v>
      </c>
      <c r="AH17" s="228">
        <v>5.7</v>
      </c>
      <c r="AI17" s="228">
        <v>10.4</v>
      </c>
      <c r="AJ17" s="228">
        <v>-4.7</v>
      </c>
      <c r="AK17" s="229">
        <v>3.8999999999999998E-3</v>
      </c>
      <c r="AL17" s="228">
        <v>13.6</v>
      </c>
      <c r="AM17" s="228">
        <v>20.7</v>
      </c>
      <c r="AN17" s="228">
        <v>-7.1</v>
      </c>
      <c r="AO17" s="229">
        <v>9.4000000000000004E-3</v>
      </c>
      <c r="AP17" s="231">
        <v>1442.19</v>
      </c>
      <c r="AQ17" s="231">
        <v>1447.65</v>
      </c>
      <c r="AR17" s="228">
        <v>0</v>
      </c>
      <c r="AS17" s="228">
        <v>174</v>
      </c>
      <c r="AT17" s="228">
        <v>347</v>
      </c>
      <c r="AU17" s="228">
        <v>-173</v>
      </c>
      <c r="AV17" s="229">
        <v>-0.498</v>
      </c>
      <c r="AW17" s="228">
        <v>155</v>
      </c>
      <c r="AX17" s="228">
        <v>310</v>
      </c>
      <c r="AY17" s="228">
        <v>-156</v>
      </c>
      <c r="AZ17" s="229">
        <v>-0.50139999999999996</v>
      </c>
      <c r="BA17" s="228">
        <v>18</v>
      </c>
      <c r="BB17" s="228">
        <v>34</v>
      </c>
      <c r="BC17" s="228">
        <v>-16</v>
      </c>
      <c r="BD17" s="229">
        <v>-0.47760000000000002</v>
      </c>
      <c r="BE17" s="228">
        <v>2</v>
      </c>
      <c r="BF17" s="228">
        <v>3</v>
      </c>
      <c r="BG17" s="228">
        <v>-1</v>
      </c>
      <c r="BH17" s="229">
        <v>-0.375</v>
      </c>
      <c r="BI17" s="228">
        <v>235</v>
      </c>
      <c r="BJ17" s="228">
        <v>870</v>
      </c>
      <c r="BK17" s="228">
        <v>-635</v>
      </c>
      <c r="BL17" s="229">
        <v>-0.72989999999999999</v>
      </c>
      <c r="BM17" s="228">
        <v>92</v>
      </c>
      <c r="BN17" s="228">
        <v>324</v>
      </c>
      <c r="BO17" s="228">
        <v>-232</v>
      </c>
      <c r="BP17" s="229">
        <v>-0.71619999999999995</v>
      </c>
      <c r="BQ17" s="228">
        <v>501</v>
      </c>
      <c r="BR17" s="230">
        <v>1541</v>
      </c>
      <c r="BS17" s="230">
        <v>-1040</v>
      </c>
      <c r="BT17" s="229">
        <v>-0.67469999999999997</v>
      </c>
      <c r="BU17" s="230">
        <v>476696</v>
      </c>
      <c r="BV17" s="230">
        <v>580878</v>
      </c>
      <c r="BW17" s="230">
        <v>-104182</v>
      </c>
      <c r="BX17" s="229">
        <v>-0.1794</v>
      </c>
      <c r="BY17" s="230">
        <v>1318</v>
      </c>
      <c r="BZ17" s="230">
        <v>1325</v>
      </c>
      <c r="CA17" s="228">
        <v>-6</v>
      </c>
      <c r="CB17" s="229">
        <v>-4.7000000000000002E-3</v>
      </c>
      <c r="CC17" s="230">
        <v>1259</v>
      </c>
      <c r="CD17" s="230">
        <v>1271</v>
      </c>
      <c r="CE17" s="228">
        <v>-11</v>
      </c>
      <c r="CF17" s="229">
        <v>-8.9999999999999993E-3</v>
      </c>
      <c r="CG17" s="228">
        <v>54</v>
      </c>
      <c r="CH17" s="228">
        <v>49</v>
      </c>
      <c r="CI17" s="228">
        <v>5</v>
      </c>
      <c r="CJ17" s="229">
        <v>9.6100000000000005E-2</v>
      </c>
      <c r="CK17" s="228">
        <v>5</v>
      </c>
      <c r="CL17" s="228">
        <v>4</v>
      </c>
      <c r="CM17" s="228">
        <v>0</v>
      </c>
      <c r="CN17" s="229">
        <v>9.7199999999999995E-2</v>
      </c>
      <c r="CO17" s="228">
        <v>458</v>
      </c>
      <c r="CP17" s="228">
        <v>459</v>
      </c>
      <c r="CQ17" s="228">
        <v>-2</v>
      </c>
      <c r="CR17" s="229">
        <v>-3.3E-3</v>
      </c>
      <c r="CS17" s="228">
        <v>218</v>
      </c>
      <c r="CT17" s="228">
        <v>214</v>
      </c>
      <c r="CU17" s="228">
        <v>4</v>
      </c>
      <c r="CV17" s="229">
        <v>2.07E-2</v>
      </c>
      <c r="CW17" s="230">
        <v>1994</v>
      </c>
      <c r="CX17" s="230">
        <v>1997</v>
      </c>
      <c r="CY17" s="228">
        <v>-3</v>
      </c>
      <c r="CZ17" s="229">
        <v>-1.6999999999999999E-3</v>
      </c>
      <c r="DA17" s="228">
        <v>25.54</v>
      </c>
      <c r="DB17" s="228">
        <v>25.56</v>
      </c>
      <c r="DC17" s="228">
        <v>-0.02</v>
      </c>
      <c r="DD17" s="228">
        <v>-0.02</v>
      </c>
      <c r="DE17" s="228">
        <v>33.47</v>
      </c>
      <c r="DF17" s="228">
        <v>33.549999999999997</v>
      </c>
      <c r="DG17" s="228">
        <v>-7.93</v>
      </c>
      <c r="DH17" s="228">
        <v>-0.08</v>
      </c>
      <c r="DI17" s="228">
        <v>25.36</v>
      </c>
      <c r="DJ17" s="228">
        <v>25.53</v>
      </c>
      <c r="DK17" s="228">
        <v>-0.17</v>
      </c>
      <c r="DL17" s="228">
        <v>-0.17</v>
      </c>
      <c r="DM17" s="228">
        <v>26</v>
      </c>
      <c r="DN17" s="228">
        <v>25.66</v>
      </c>
      <c r="DO17" s="228">
        <v>0.34</v>
      </c>
      <c r="DP17" s="228">
        <v>0.34</v>
      </c>
      <c r="DQ17" s="228">
        <v>0.48</v>
      </c>
      <c r="DR17" s="228">
        <v>0.46</v>
      </c>
      <c r="DS17" s="228">
        <v>0.02</v>
      </c>
      <c r="DT17" s="229">
        <v>4.3499999999999997E-2</v>
      </c>
      <c r="DU17" s="231">
        <v>1500</v>
      </c>
      <c r="DV17" s="231">
        <v>1400</v>
      </c>
      <c r="DW17" s="228">
        <v>0.39</v>
      </c>
      <c r="DX17" s="228">
        <v>0.37</v>
      </c>
      <c r="DY17" s="228">
        <v>0.02</v>
      </c>
      <c r="DZ17" s="229">
        <v>5.4100000000000002E-2</v>
      </c>
      <c r="EA17" s="229">
        <v>4.4600000000000001E-2</v>
      </c>
      <c r="EB17" s="230">
        <v>371025</v>
      </c>
      <c r="EC17" s="229">
        <v>3.5999999999999999E-3</v>
      </c>
      <c r="ED17" s="229">
        <v>4.4600000000000001E-2</v>
      </c>
      <c r="EE17" s="228">
        <v>5.46</v>
      </c>
      <c r="EF17" s="229">
        <v>3.8E-3</v>
      </c>
      <c r="EG17" s="230">
        <v>344323</v>
      </c>
      <c r="EH17" s="230">
        <v>298787</v>
      </c>
      <c r="EI17" s="229">
        <v>0.15240000000000001</v>
      </c>
      <c r="EJ17" s="229">
        <v>0.72230000000000005</v>
      </c>
      <c r="EK17" s="228">
        <v>243.66</v>
      </c>
      <c r="EL17" s="228">
        <v>90.84</v>
      </c>
      <c r="EM17" s="228">
        <v>174.16</v>
      </c>
      <c r="EN17" s="228">
        <v>36.950000000000003</v>
      </c>
      <c r="EO17" s="228">
        <v>508.65</v>
      </c>
      <c r="EP17" s="231">
        <v>1561.57</v>
      </c>
      <c r="EQ17" s="231">
        <v>-1052.92</v>
      </c>
      <c r="ER17" s="229">
        <v>-0.67430000000000001</v>
      </c>
      <c r="ES17" s="228">
        <v>472.3</v>
      </c>
      <c r="ET17" s="228">
        <v>209.45</v>
      </c>
      <c r="EU17" s="231">
        <v>1318.49</v>
      </c>
      <c r="EV17" s="231">
        <v>18495534</v>
      </c>
      <c r="EW17" s="231">
        <v>2000.24</v>
      </c>
      <c r="EX17" s="231">
        <v>2002.92</v>
      </c>
      <c r="EY17" s="228">
        <v>-2.68</v>
      </c>
      <c r="EZ17" s="229">
        <v>-1.2999999999999999E-3</v>
      </c>
      <c r="FA17" s="229">
        <v>0.746</v>
      </c>
      <c r="FB17" s="227" t="s">
        <v>556</v>
      </c>
      <c r="FC17">
        <f t="shared" si="0"/>
        <v>59</v>
      </c>
    </row>
    <row r="18" spans="1:159" ht="17.25" thickBot="1" x14ac:dyDescent="0.3">
      <c r="A18" s="226">
        <v>45946</v>
      </c>
      <c r="B18" s="227" t="s">
        <v>172</v>
      </c>
      <c r="C18" s="227" t="s">
        <v>495</v>
      </c>
      <c r="D18" s="228">
        <v>1000</v>
      </c>
      <c r="E18" s="228">
        <v>12</v>
      </c>
      <c r="F18" s="228">
        <v>799</v>
      </c>
      <c r="G18" s="228">
        <v>802.7</v>
      </c>
      <c r="H18" s="228">
        <v>-3.7</v>
      </c>
      <c r="I18" s="229">
        <v>-4.5999999999999999E-3</v>
      </c>
      <c r="J18" s="228">
        <v>798.5</v>
      </c>
      <c r="K18" s="228">
        <v>802.1</v>
      </c>
      <c r="L18" s="228">
        <v>-3.6</v>
      </c>
      <c r="M18" s="229">
        <v>-4.4999999999999997E-3</v>
      </c>
      <c r="N18" s="228">
        <v>799</v>
      </c>
      <c r="O18" s="228">
        <v>802.7</v>
      </c>
      <c r="P18" s="228">
        <v>-3.7</v>
      </c>
      <c r="Q18" s="229">
        <v>-4.5999999999999999E-3</v>
      </c>
      <c r="R18" s="228">
        <v>801.55</v>
      </c>
      <c r="S18" s="228">
        <v>805</v>
      </c>
      <c r="T18" s="228">
        <v>-3.45</v>
      </c>
      <c r="U18" s="229">
        <v>-4.3E-3</v>
      </c>
      <c r="V18" s="228">
        <v>802.8</v>
      </c>
      <c r="W18" s="228">
        <v>806.5</v>
      </c>
      <c r="X18" s="228">
        <v>-3.7</v>
      </c>
      <c r="Y18" s="229">
        <v>-4.5999999999999999E-3</v>
      </c>
      <c r="Z18" s="228">
        <v>0.5</v>
      </c>
      <c r="AA18" s="228">
        <v>0.6</v>
      </c>
      <c r="AB18" s="228">
        <v>-0.1</v>
      </c>
      <c r="AC18" s="229">
        <v>5.9999999999999995E-4</v>
      </c>
      <c r="AD18" s="228">
        <v>0.5</v>
      </c>
      <c r="AE18" s="228">
        <v>0.6</v>
      </c>
      <c r="AF18" s="228">
        <v>-0.1</v>
      </c>
      <c r="AG18" s="229">
        <v>5.9999999999999995E-4</v>
      </c>
      <c r="AH18" s="228">
        <v>3.05</v>
      </c>
      <c r="AI18" s="228">
        <v>2.9</v>
      </c>
      <c r="AJ18" s="228">
        <v>0.15</v>
      </c>
      <c r="AK18" s="229">
        <v>3.8E-3</v>
      </c>
      <c r="AL18" s="228">
        <v>4.3</v>
      </c>
      <c r="AM18" s="228">
        <v>4.4000000000000004</v>
      </c>
      <c r="AN18" s="228">
        <v>-0.1</v>
      </c>
      <c r="AO18" s="229">
        <v>5.4000000000000003E-3</v>
      </c>
      <c r="AP18" s="228">
        <v>806.49</v>
      </c>
      <c r="AQ18" s="228">
        <v>807.88</v>
      </c>
      <c r="AR18" s="228">
        <v>0</v>
      </c>
      <c r="AS18" s="228">
        <v>607</v>
      </c>
      <c r="AT18" s="228">
        <v>846</v>
      </c>
      <c r="AU18" s="228">
        <v>-240</v>
      </c>
      <c r="AV18" s="229">
        <v>-0.28310000000000002</v>
      </c>
      <c r="AW18" s="228">
        <v>546</v>
      </c>
      <c r="AX18" s="228">
        <v>796</v>
      </c>
      <c r="AY18" s="228">
        <v>-250</v>
      </c>
      <c r="AZ18" s="229">
        <v>-0.31409999999999999</v>
      </c>
      <c r="BA18" s="228">
        <v>58</v>
      </c>
      <c r="BB18" s="228">
        <v>45</v>
      </c>
      <c r="BC18" s="228">
        <v>13</v>
      </c>
      <c r="BD18" s="229">
        <v>0.28010000000000002</v>
      </c>
      <c r="BE18" s="228">
        <v>3</v>
      </c>
      <c r="BF18" s="228">
        <v>5</v>
      </c>
      <c r="BG18" s="228">
        <v>-2</v>
      </c>
      <c r="BH18" s="229">
        <v>-0.43080000000000002</v>
      </c>
      <c r="BI18" s="230">
        <v>1230</v>
      </c>
      <c r="BJ18" s="230">
        <v>2471</v>
      </c>
      <c r="BK18" s="230">
        <v>-1242</v>
      </c>
      <c r="BL18" s="229">
        <v>-0.50239999999999996</v>
      </c>
      <c r="BM18" s="228">
        <v>698</v>
      </c>
      <c r="BN18" s="230">
        <v>1518</v>
      </c>
      <c r="BO18" s="228">
        <v>-819</v>
      </c>
      <c r="BP18" s="229">
        <v>-0.54</v>
      </c>
      <c r="BQ18" s="230">
        <v>2535</v>
      </c>
      <c r="BR18" s="230">
        <v>4835</v>
      </c>
      <c r="BS18" s="230">
        <v>-2301</v>
      </c>
      <c r="BT18" s="229">
        <v>-0.4758</v>
      </c>
      <c r="BU18" s="230">
        <v>1917635</v>
      </c>
      <c r="BV18" s="230">
        <v>3957773</v>
      </c>
      <c r="BW18" s="230">
        <v>-2040138</v>
      </c>
      <c r="BX18" s="229">
        <v>-0.51549999999999996</v>
      </c>
      <c r="BY18" s="230">
        <v>1712</v>
      </c>
      <c r="BZ18" s="230">
        <v>1723</v>
      </c>
      <c r="CA18" s="228">
        <v>-11</v>
      </c>
      <c r="CB18" s="229">
        <v>-6.4000000000000003E-3</v>
      </c>
      <c r="CC18" s="230">
        <v>1654</v>
      </c>
      <c r="CD18" s="230">
        <v>1683</v>
      </c>
      <c r="CE18" s="228">
        <v>-29</v>
      </c>
      <c r="CF18" s="229">
        <v>-1.7000000000000001E-2</v>
      </c>
      <c r="CG18" s="228">
        <v>53</v>
      </c>
      <c r="CH18" s="228">
        <v>36</v>
      </c>
      <c r="CI18" s="228">
        <v>17</v>
      </c>
      <c r="CJ18" s="229">
        <v>0.4798</v>
      </c>
      <c r="CK18" s="228">
        <v>5</v>
      </c>
      <c r="CL18" s="228">
        <v>5</v>
      </c>
      <c r="CM18" s="228">
        <v>0</v>
      </c>
      <c r="CN18" s="229">
        <v>8.6199999999999999E-2</v>
      </c>
      <c r="CO18" s="228">
        <v>530</v>
      </c>
      <c r="CP18" s="228">
        <v>486</v>
      </c>
      <c r="CQ18" s="228">
        <v>44</v>
      </c>
      <c r="CR18" s="229">
        <v>9.1300000000000006E-2</v>
      </c>
      <c r="CS18" s="228">
        <v>504</v>
      </c>
      <c r="CT18" s="228">
        <v>508</v>
      </c>
      <c r="CU18" s="228">
        <v>-4</v>
      </c>
      <c r="CV18" s="229">
        <v>-8.0000000000000002E-3</v>
      </c>
      <c r="CW18" s="230">
        <v>2746</v>
      </c>
      <c r="CX18" s="230">
        <v>2717</v>
      </c>
      <c r="CY18" s="228">
        <v>29</v>
      </c>
      <c r="CZ18" s="229">
        <v>1.0699999999999999E-2</v>
      </c>
      <c r="DA18" s="228">
        <v>36.549999999999997</v>
      </c>
      <c r="DB18" s="228">
        <v>34.76</v>
      </c>
      <c r="DC18" s="228">
        <v>1.79</v>
      </c>
      <c r="DD18" s="228">
        <v>1.79</v>
      </c>
      <c r="DE18" s="228">
        <v>36.04</v>
      </c>
      <c r="DF18" s="228">
        <v>36.119999999999997</v>
      </c>
      <c r="DG18" s="228">
        <v>0.51</v>
      </c>
      <c r="DH18" s="228">
        <v>-0.08</v>
      </c>
      <c r="DI18" s="228">
        <v>36.14</v>
      </c>
      <c r="DJ18" s="228">
        <v>33.5</v>
      </c>
      <c r="DK18" s="228">
        <v>2.64</v>
      </c>
      <c r="DL18" s="228">
        <v>2.64</v>
      </c>
      <c r="DM18" s="228">
        <v>37.28</v>
      </c>
      <c r="DN18" s="228">
        <v>36.799999999999997</v>
      </c>
      <c r="DO18" s="228">
        <v>0.48</v>
      </c>
      <c r="DP18" s="228">
        <v>0.48</v>
      </c>
      <c r="DQ18" s="228">
        <v>0.95</v>
      </c>
      <c r="DR18" s="228">
        <v>1.05</v>
      </c>
      <c r="DS18" s="228">
        <v>-0.1</v>
      </c>
      <c r="DT18" s="229">
        <v>-9.5200000000000007E-2</v>
      </c>
      <c r="DU18" s="228">
        <v>810</v>
      </c>
      <c r="DV18" s="228">
        <v>750</v>
      </c>
      <c r="DW18" s="228">
        <v>0.56999999999999995</v>
      </c>
      <c r="DX18" s="228">
        <v>0.61</v>
      </c>
      <c r="DY18" s="228">
        <v>-0.04</v>
      </c>
      <c r="DZ18" s="229">
        <v>-6.5600000000000006E-2</v>
      </c>
      <c r="EA18" s="229">
        <v>3.3700000000000001E-2</v>
      </c>
      <c r="EB18" s="230">
        <v>504000</v>
      </c>
      <c r="EC18" s="229">
        <v>3.2000000000000002E-3</v>
      </c>
      <c r="ED18" s="229">
        <v>3.3700000000000001E-2</v>
      </c>
      <c r="EE18" s="228">
        <v>1.39</v>
      </c>
      <c r="EF18" s="229">
        <v>1.6999999999999999E-3</v>
      </c>
      <c r="EG18" s="230">
        <v>918548</v>
      </c>
      <c r="EH18" s="230">
        <v>1376499</v>
      </c>
      <c r="EI18" s="229">
        <v>-0.3327</v>
      </c>
      <c r="EJ18" s="229">
        <v>0.47899999999999998</v>
      </c>
      <c r="EK18" s="231">
        <v>1287.1099999999999</v>
      </c>
      <c r="EL18" s="228">
        <v>687.8</v>
      </c>
      <c r="EM18" s="228">
        <v>612.49</v>
      </c>
      <c r="EN18" s="228">
        <v>52.89</v>
      </c>
      <c r="EO18" s="231">
        <v>2587.39</v>
      </c>
      <c r="EP18" s="231">
        <v>4878.3100000000004</v>
      </c>
      <c r="EQ18" s="231">
        <v>-2290.91</v>
      </c>
      <c r="ER18" s="229">
        <v>-0.46960000000000002</v>
      </c>
      <c r="ES18" s="228">
        <v>532.34</v>
      </c>
      <c r="ET18" s="228">
        <v>469.64</v>
      </c>
      <c r="EU18" s="231">
        <v>1711.89</v>
      </c>
      <c r="EV18" s="231">
        <v>86234186</v>
      </c>
      <c r="EW18" s="231">
        <v>2713.87</v>
      </c>
      <c r="EX18" s="231">
        <v>2687.71</v>
      </c>
      <c r="EY18" s="228">
        <v>26.16</v>
      </c>
      <c r="EZ18" s="229">
        <v>9.7000000000000003E-3</v>
      </c>
      <c r="FA18" s="229">
        <v>0.39850000000000002</v>
      </c>
      <c r="FB18" s="227" t="s">
        <v>568</v>
      </c>
      <c r="FC18">
        <f t="shared" si="0"/>
        <v>58</v>
      </c>
    </row>
    <row r="19" spans="1:159" ht="17.25" thickBot="1" x14ac:dyDescent="0.3">
      <c r="A19" s="226">
        <v>45946</v>
      </c>
      <c r="B19" s="227" t="s">
        <v>170</v>
      </c>
      <c r="C19" s="227" t="s">
        <v>171</v>
      </c>
      <c r="D19" s="228">
        <v>550</v>
      </c>
      <c r="E19" s="228">
        <v>12</v>
      </c>
      <c r="F19" s="231">
        <v>1110.7</v>
      </c>
      <c r="G19" s="231">
        <v>1114.5999999999999</v>
      </c>
      <c r="H19" s="228">
        <v>-3.9</v>
      </c>
      <c r="I19" s="229">
        <v>-3.5000000000000001E-3</v>
      </c>
      <c r="J19" s="231">
        <v>1106.3</v>
      </c>
      <c r="K19" s="231">
        <v>1109</v>
      </c>
      <c r="L19" s="228">
        <v>-2.7</v>
      </c>
      <c r="M19" s="229">
        <v>-2.3999999999999998E-3</v>
      </c>
      <c r="N19" s="231">
        <v>1110.7</v>
      </c>
      <c r="O19" s="231">
        <v>1114.5999999999999</v>
      </c>
      <c r="P19" s="228">
        <v>-3.9</v>
      </c>
      <c r="Q19" s="229">
        <v>-3.5000000000000001E-3</v>
      </c>
      <c r="R19" s="231">
        <v>1116.4000000000001</v>
      </c>
      <c r="S19" s="231">
        <v>1119.8</v>
      </c>
      <c r="T19" s="228">
        <v>-3.4</v>
      </c>
      <c r="U19" s="229">
        <v>-3.0000000000000001E-3</v>
      </c>
      <c r="V19" s="231">
        <v>1123.9000000000001</v>
      </c>
      <c r="W19" s="231">
        <v>1127.4000000000001</v>
      </c>
      <c r="X19" s="228">
        <v>-3.5</v>
      </c>
      <c r="Y19" s="229">
        <v>-3.0999999999999999E-3</v>
      </c>
      <c r="Z19" s="228">
        <v>4.4000000000000004</v>
      </c>
      <c r="AA19" s="228">
        <v>5.6</v>
      </c>
      <c r="AB19" s="228">
        <v>-1.2</v>
      </c>
      <c r="AC19" s="229">
        <v>4.0000000000000001E-3</v>
      </c>
      <c r="AD19" s="228">
        <v>4.4000000000000004</v>
      </c>
      <c r="AE19" s="228">
        <v>5.6</v>
      </c>
      <c r="AF19" s="228">
        <v>-1.2</v>
      </c>
      <c r="AG19" s="229">
        <v>4.0000000000000001E-3</v>
      </c>
      <c r="AH19" s="228">
        <v>10.1</v>
      </c>
      <c r="AI19" s="228">
        <v>10.8</v>
      </c>
      <c r="AJ19" s="228">
        <v>-0.7</v>
      </c>
      <c r="AK19" s="229">
        <v>9.1000000000000004E-3</v>
      </c>
      <c r="AL19" s="228">
        <v>17.600000000000001</v>
      </c>
      <c r="AM19" s="228">
        <v>18.399999999999999</v>
      </c>
      <c r="AN19" s="228">
        <v>-0.8</v>
      </c>
      <c r="AO19" s="229">
        <v>1.5900000000000001E-2</v>
      </c>
      <c r="AP19" s="231">
        <v>1111.3699999999999</v>
      </c>
      <c r="AQ19" s="231">
        <v>1115.8499999999999</v>
      </c>
      <c r="AR19" s="228">
        <v>0</v>
      </c>
      <c r="AS19" s="228">
        <v>340</v>
      </c>
      <c r="AT19" s="228">
        <v>248</v>
      </c>
      <c r="AU19" s="228">
        <v>92</v>
      </c>
      <c r="AV19" s="229">
        <v>0.3735</v>
      </c>
      <c r="AW19" s="228">
        <v>296</v>
      </c>
      <c r="AX19" s="228">
        <v>213</v>
      </c>
      <c r="AY19" s="228">
        <v>82</v>
      </c>
      <c r="AZ19" s="229">
        <v>0.38619999999999999</v>
      </c>
      <c r="BA19" s="228">
        <v>43</v>
      </c>
      <c r="BB19" s="228">
        <v>34</v>
      </c>
      <c r="BC19" s="228">
        <v>10</v>
      </c>
      <c r="BD19" s="229">
        <v>0.29089999999999999</v>
      </c>
      <c r="BE19" s="228">
        <v>1</v>
      </c>
      <c r="BF19" s="228">
        <v>1</v>
      </c>
      <c r="BG19" s="228">
        <v>0</v>
      </c>
      <c r="BH19" s="229">
        <v>0.42859999999999998</v>
      </c>
      <c r="BI19" s="228">
        <v>523</v>
      </c>
      <c r="BJ19" s="228">
        <v>356</v>
      </c>
      <c r="BK19" s="228">
        <v>167</v>
      </c>
      <c r="BL19" s="229">
        <v>0.4703</v>
      </c>
      <c r="BM19" s="228">
        <v>201</v>
      </c>
      <c r="BN19" s="228">
        <v>217</v>
      </c>
      <c r="BO19" s="228">
        <v>-16</v>
      </c>
      <c r="BP19" s="229">
        <v>-7.3899999999999993E-2</v>
      </c>
      <c r="BQ19" s="230">
        <v>1064</v>
      </c>
      <c r="BR19" s="228">
        <v>820</v>
      </c>
      <c r="BS19" s="228">
        <v>244</v>
      </c>
      <c r="BT19" s="229">
        <v>0.2974</v>
      </c>
      <c r="BU19" s="230">
        <v>1733236</v>
      </c>
      <c r="BV19" s="230">
        <v>554326</v>
      </c>
      <c r="BW19" s="230">
        <v>1178910</v>
      </c>
      <c r="BX19" s="229">
        <v>2.1267</v>
      </c>
      <c r="BY19" s="230">
        <v>2562</v>
      </c>
      <c r="BZ19" s="230">
        <v>2525</v>
      </c>
      <c r="CA19" s="228">
        <v>37</v>
      </c>
      <c r="CB19" s="229">
        <v>1.46E-2</v>
      </c>
      <c r="CC19" s="230">
        <v>2471</v>
      </c>
      <c r="CD19" s="230">
        <v>2454</v>
      </c>
      <c r="CE19" s="228">
        <v>16</v>
      </c>
      <c r="CF19" s="229">
        <v>6.6E-3</v>
      </c>
      <c r="CG19" s="228">
        <v>87</v>
      </c>
      <c r="CH19" s="228">
        <v>67</v>
      </c>
      <c r="CI19" s="228">
        <v>20</v>
      </c>
      <c r="CJ19" s="229">
        <v>0.29620000000000002</v>
      </c>
      <c r="CK19" s="228">
        <v>4</v>
      </c>
      <c r="CL19" s="228">
        <v>3</v>
      </c>
      <c r="CM19" s="228">
        <v>1</v>
      </c>
      <c r="CN19" s="229">
        <v>0.1731</v>
      </c>
      <c r="CO19" s="228">
        <v>521</v>
      </c>
      <c r="CP19" s="228">
        <v>512</v>
      </c>
      <c r="CQ19" s="228">
        <v>9</v>
      </c>
      <c r="CR19" s="229">
        <v>1.84E-2</v>
      </c>
      <c r="CS19" s="228">
        <v>334</v>
      </c>
      <c r="CT19" s="228">
        <v>326</v>
      </c>
      <c r="CU19" s="228">
        <v>8</v>
      </c>
      <c r="CV19" s="229">
        <v>2.4E-2</v>
      </c>
      <c r="CW19" s="230">
        <v>3417</v>
      </c>
      <c r="CX19" s="230">
        <v>3363</v>
      </c>
      <c r="CY19" s="228">
        <v>54</v>
      </c>
      <c r="CZ19" s="229">
        <v>1.61E-2</v>
      </c>
      <c r="DA19" s="228">
        <v>28.39</v>
      </c>
      <c r="DB19" s="228">
        <v>28.93</v>
      </c>
      <c r="DC19" s="228">
        <v>-0.54</v>
      </c>
      <c r="DD19" s="228">
        <v>-0.54</v>
      </c>
      <c r="DE19" s="228">
        <v>34.79</v>
      </c>
      <c r="DF19" s="228">
        <v>34.869999999999997</v>
      </c>
      <c r="DG19" s="228">
        <v>-6.4</v>
      </c>
      <c r="DH19" s="228">
        <v>-0.08</v>
      </c>
      <c r="DI19" s="228">
        <v>28.47</v>
      </c>
      <c r="DJ19" s="228">
        <v>28.86</v>
      </c>
      <c r="DK19" s="228">
        <v>-0.39</v>
      </c>
      <c r="DL19" s="228">
        <v>-0.39</v>
      </c>
      <c r="DM19" s="228">
        <v>28.2</v>
      </c>
      <c r="DN19" s="228">
        <v>29.04</v>
      </c>
      <c r="DO19" s="228">
        <v>-0.84</v>
      </c>
      <c r="DP19" s="228">
        <v>-0.84</v>
      </c>
      <c r="DQ19" s="228">
        <v>0.64</v>
      </c>
      <c r="DR19" s="228">
        <v>0.64</v>
      </c>
      <c r="DS19" s="228">
        <v>0</v>
      </c>
      <c r="DT19" s="229">
        <v>0</v>
      </c>
      <c r="DU19" s="231">
        <v>1100</v>
      </c>
      <c r="DV19" s="231">
        <v>1100</v>
      </c>
      <c r="DW19" s="228">
        <v>0.38</v>
      </c>
      <c r="DX19" s="228">
        <v>0.61</v>
      </c>
      <c r="DY19" s="228">
        <v>-0.23</v>
      </c>
      <c r="DZ19" s="229">
        <v>-0.377</v>
      </c>
      <c r="EA19" s="229">
        <v>3.56E-2</v>
      </c>
      <c r="EB19" s="230">
        <v>635800</v>
      </c>
      <c r="EC19" s="229">
        <v>5.1000000000000004E-3</v>
      </c>
      <c r="ED19" s="229">
        <v>3.56E-2</v>
      </c>
      <c r="EE19" s="228">
        <v>4.4800000000000004</v>
      </c>
      <c r="EF19" s="229">
        <v>4.0000000000000001E-3</v>
      </c>
      <c r="EG19" s="230">
        <v>1145380</v>
      </c>
      <c r="EH19" s="230">
        <v>304510</v>
      </c>
      <c r="EI19" s="229">
        <v>2.7614000000000001</v>
      </c>
      <c r="EJ19" s="229">
        <v>0.66080000000000005</v>
      </c>
      <c r="EK19" s="228">
        <v>545.25</v>
      </c>
      <c r="EL19" s="228">
        <v>202.14</v>
      </c>
      <c r="EM19" s="228">
        <v>340.53</v>
      </c>
      <c r="EN19" s="228">
        <v>67.459999999999994</v>
      </c>
      <c r="EO19" s="231">
        <v>1087.92</v>
      </c>
      <c r="EP19" s="228">
        <v>840.49</v>
      </c>
      <c r="EQ19" s="228">
        <v>247.42</v>
      </c>
      <c r="ER19" s="229">
        <v>0.2944</v>
      </c>
      <c r="ES19" s="228">
        <v>541.97</v>
      </c>
      <c r="ET19" s="228">
        <v>322.14999999999998</v>
      </c>
      <c r="EU19" s="231">
        <v>2562.2399999999998</v>
      </c>
      <c r="EV19" s="231">
        <v>41977935</v>
      </c>
      <c r="EW19" s="231">
        <v>3426.35</v>
      </c>
      <c r="EX19" s="231">
        <v>3381.18</v>
      </c>
      <c r="EY19" s="228">
        <v>45.17</v>
      </c>
      <c r="EZ19" s="229">
        <v>1.34E-2</v>
      </c>
      <c r="FA19" s="229">
        <v>0.73280000000000001</v>
      </c>
      <c r="FB19" s="227" t="s">
        <v>567</v>
      </c>
      <c r="FC19">
        <f t="shared" si="0"/>
        <v>91</v>
      </c>
    </row>
    <row r="20" spans="1:159" ht="17.25" thickBot="1" x14ac:dyDescent="0.3">
      <c r="A20" s="226">
        <v>45946</v>
      </c>
      <c r="B20" s="227" t="s">
        <v>172</v>
      </c>
      <c r="C20" s="227" t="s">
        <v>173</v>
      </c>
      <c r="D20" s="228">
        <v>625</v>
      </c>
      <c r="E20" s="228">
        <v>12</v>
      </c>
      <c r="F20" s="231">
        <v>1197.5999999999999</v>
      </c>
      <c r="G20" s="231">
        <v>1174.5999999999999</v>
      </c>
      <c r="H20" s="228">
        <v>23</v>
      </c>
      <c r="I20" s="229">
        <v>1.9599999999999999E-2</v>
      </c>
      <c r="J20" s="231">
        <v>1196.3</v>
      </c>
      <c r="K20" s="231">
        <v>1169.5999999999999</v>
      </c>
      <c r="L20" s="228">
        <v>26.7</v>
      </c>
      <c r="M20" s="229">
        <v>2.2800000000000001E-2</v>
      </c>
      <c r="N20" s="231">
        <v>1197.5999999999999</v>
      </c>
      <c r="O20" s="231">
        <v>1174.5999999999999</v>
      </c>
      <c r="P20" s="228">
        <v>23</v>
      </c>
      <c r="Q20" s="229">
        <v>1.9599999999999999E-2</v>
      </c>
      <c r="R20" s="231">
        <v>1204.3</v>
      </c>
      <c r="S20" s="231">
        <v>1180.7</v>
      </c>
      <c r="T20" s="228">
        <v>23.6</v>
      </c>
      <c r="U20" s="229">
        <v>0.02</v>
      </c>
      <c r="V20" s="231">
        <v>1211.2</v>
      </c>
      <c r="W20" s="231">
        <v>1188.5999999999999</v>
      </c>
      <c r="X20" s="228">
        <v>22.6</v>
      </c>
      <c r="Y20" s="229">
        <v>1.9E-2</v>
      </c>
      <c r="Z20" s="228">
        <v>1.3</v>
      </c>
      <c r="AA20" s="228">
        <v>5</v>
      </c>
      <c r="AB20" s="228">
        <v>-3.7</v>
      </c>
      <c r="AC20" s="229">
        <v>1.1000000000000001E-3</v>
      </c>
      <c r="AD20" s="228">
        <v>1.3</v>
      </c>
      <c r="AE20" s="228">
        <v>5</v>
      </c>
      <c r="AF20" s="228">
        <v>-3.7</v>
      </c>
      <c r="AG20" s="229">
        <v>1.1000000000000001E-3</v>
      </c>
      <c r="AH20" s="228">
        <v>8</v>
      </c>
      <c r="AI20" s="228">
        <v>11.1</v>
      </c>
      <c r="AJ20" s="228">
        <v>-3.1</v>
      </c>
      <c r="AK20" s="229">
        <v>6.7000000000000002E-3</v>
      </c>
      <c r="AL20" s="228">
        <v>14.9</v>
      </c>
      <c r="AM20" s="228">
        <v>19</v>
      </c>
      <c r="AN20" s="228">
        <v>-4.0999999999999996</v>
      </c>
      <c r="AO20" s="229">
        <v>1.2500000000000001E-2</v>
      </c>
      <c r="AP20" s="231">
        <v>1200.3499999999999</v>
      </c>
      <c r="AQ20" s="231">
        <v>1206.1400000000001</v>
      </c>
      <c r="AR20" s="228">
        <v>0</v>
      </c>
      <c r="AS20" s="230">
        <v>3387</v>
      </c>
      <c r="AT20" s="230">
        <v>2003</v>
      </c>
      <c r="AU20" s="230">
        <v>1383</v>
      </c>
      <c r="AV20" s="229">
        <v>0.69040000000000001</v>
      </c>
      <c r="AW20" s="230">
        <v>3074</v>
      </c>
      <c r="AX20" s="230">
        <v>1835</v>
      </c>
      <c r="AY20" s="230">
        <v>1239</v>
      </c>
      <c r="AZ20" s="229">
        <v>0.67490000000000006</v>
      </c>
      <c r="BA20" s="228">
        <v>299</v>
      </c>
      <c r="BB20" s="228">
        <v>163</v>
      </c>
      <c r="BC20" s="228">
        <v>136</v>
      </c>
      <c r="BD20" s="229">
        <v>0.83709999999999996</v>
      </c>
      <c r="BE20" s="228">
        <v>14</v>
      </c>
      <c r="BF20" s="228">
        <v>5</v>
      </c>
      <c r="BG20" s="228">
        <v>8</v>
      </c>
      <c r="BH20" s="229">
        <v>1.5556000000000001</v>
      </c>
      <c r="BI20" s="230">
        <v>14829</v>
      </c>
      <c r="BJ20" s="230">
        <v>5958</v>
      </c>
      <c r="BK20" s="230">
        <v>8872</v>
      </c>
      <c r="BL20" s="229">
        <v>1.4891000000000001</v>
      </c>
      <c r="BM20" s="230">
        <v>10708</v>
      </c>
      <c r="BN20" s="230">
        <v>4481</v>
      </c>
      <c r="BO20" s="230">
        <v>6228</v>
      </c>
      <c r="BP20" s="229">
        <v>1.39</v>
      </c>
      <c r="BQ20" s="230">
        <v>28924</v>
      </c>
      <c r="BR20" s="230">
        <v>12441</v>
      </c>
      <c r="BS20" s="230">
        <v>16483</v>
      </c>
      <c r="BT20" s="229">
        <v>1.3248</v>
      </c>
      <c r="BU20" s="230">
        <v>18646244</v>
      </c>
      <c r="BV20" s="230">
        <v>6532725</v>
      </c>
      <c r="BW20" s="230">
        <v>12113519</v>
      </c>
      <c r="BX20" s="229">
        <v>1.8543000000000001</v>
      </c>
      <c r="BY20" s="230">
        <v>9162</v>
      </c>
      <c r="BZ20" s="230">
        <v>9504</v>
      </c>
      <c r="CA20" s="228">
        <v>-343</v>
      </c>
      <c r="CB20" s="229">
        <v>-3.61E-2</v>
      </c>
      <c r="CC20" s="230">
        <v>8785</v>
      </c>
      <c r="CD20" s="230">
        <v>9203</v>
      </c>
      <c r="CE20" s="228">
        <v>-418</v>
      </c>
      <c r="CF20" s="229">
        <v>-4.5400000000000003E-2</v>
      </c>
      <c r="CG20" s="228">
        <v>352</v>
      </c>
      <c r="CH20" s="228">
        <v>279</v>
      </c>
      <c r="CI20" s="228">
        <v>72</v>
      </c>
      <c r="CJ20" s="229">
        <v>0.25919999999999999</v>
      </c>
      <c r="CK20" s="228">
        <v>25</v>
      </c>
      <c r="CL20" s="228">
        <v>22</v>
      </c>
      <c r="CM20" s="228">
        <v>2</v>
      </c>
      <c r="CN20" s="229">
        <v>0.1003</v>
      </c>
      <c r="CO20" s="230">
        <v>3916</v>
      </c>
      <c r="CP20" s="230">
        <v>3846</v>
      </c>
      <c r="CQ20" s="228">
        <v>70</v>
      </c>
      <c r="CR20" s="229">
        <v>1.8200000000000001E-2</v>
      </c>
      <c r="CS20" s="230">
        <v>2275</v>
      </c>
      <c r="CT20" s="230">
        <v>2351</v>
      </c>
      <c r="CU20" s="228">
        <v>-76</v>
      </c>
      <c r="CV20" s="229">
        <v>-3.2399999999999998E-2</v>
      </c>
      <c r="CW20" s="230">
        <v>15353</v>
      </c>
      <c r="CX20" s="230">
        <v>15702</v>
      </c>
      <c r="CY20" s="228">
        <v>-349</v>
      </c>
      <c r="CZ20" s="229">
        <v>-2.2200000000000001E-2</v>
      </c>
      <c r="DA20" s="228">
        <v>19.309999999999999</v>
      </c>
      <c r="DB20" s="228">
        <v>28.3</v>
      </c>
      <c r="DC20" s="228">
        <v>-8.99</v>
      </c>
      <c r="DD20" s="228">
        <v>-8.99</v>
      </c>
      <c r="DE20" s="228">
        <v>26.99</v>
      </c>
      <c r="DF20" s="228">
        <v>26.88</v>
      </c>
      <c r="DG20" s="228">
        <v>-7.68</v>
      </c>
      <c r="DH20" s="228">
        <v>0.11</v>
      </c>
      <c r="DI20" s="228">
        <v>18.38</v>
      </c>
      <c r="DJ20" s="228">
        <v>27.37</v>
      </c>
      <c r="DK20" s="228">
        <v>-8.99</v>
      </c>
      <c r="DL20" s="228">
        <v>-8.99</v>
      </c>
      <c r="DM20" s="228">
        <v>20.6</v>
      </c>
      <c r="DN20" s="228">
        <v>29.53</v>
      </c>
      <c r="DO20" s="228">
        <v>-8.93</v>
      </c>
      <c r="DP20" s="228">
        <v>-8.93</v>
      </c>
      <c r="DQ20" s="228">
        <v>0.57999999999999996</v>
      </c>
      <c r="DR20" s="228">
        <v>0.61</v>
      </c>
      <c r="DS20" s="228">
        <v>-0.03</v>
      </c>
      <c r="DT20" s="229">
        <v>-4.9200000000000001E-2</v>
      </c>
      <c r="DU20" s="231">
        <v>1200</v>
      </c>
      <c r="DV20" s="231">
        <v>1200</v>
      </c>
      <c r="DW20" s="228">
        <v>0.72</v>
      </c>
      <c r="DX20" s="228">
        <v>0.75</v>
      </c>
      <c r="DY20" s="228">
        <v>-0.03</v>
      </c>
      <c r="DZ20" s="229">
        <v>-0.04</v>
      </c>
      <c r="EA20" s="229">
        <v>4.1099999999999998E-2</v>
      </c>
      <c r="EB20" s="230">
        <v>2518750</v>
      </c>
      <c r="EC20" s="229">
        <v>5.5999999999999999E-3</v>
      </c>
      <c r="ED20" s="229">
        <v>4.1099999999999998E-2</v>
      </c>
      <c r="EE20" s="228">
        <v>5.79</v>
      </c>
      <c r="EF20" s="229">
        <v>4.7999999999999996E-3</v>
      </c>
      <c r="EG20" s="230">
        <v>11057192</v>
      </c>
      <c r="EH20" s="230">
        <v>4217733</v>
      </c>
      <c r="EI20" s="229">
        <v>1.6215999999999999</v>
      </c>
      <c r="EJ20" s="229">
        <v>0.59299999999999997</v>
      </c>
      <c r="EK20" s="231">
        <v>15234.23</v>
      </c>
      <c r="EL20" s="231">
        <v>10506.17</v>
      </c>
      <c r="EM20" s="231">
        <v>3395.88</v>
      </c>
      <c r="EN20" s="228">
        <v>211.28</v>
      </c>
      <c r="EO20" s="231">
        <v>29136.27</v>
      </c>
      <c r="EP20" s="231">
        <v>12354.28</v>
      </c>
      <c r="EQ20" s="231">
        <v>16781.990000000002</v>
      </c>
      <c r="ER20" s="229">
        <v>1.3584000000000001</v>
      </c>
      <c r="ES20" s="231">
        <v>3959.54</v>
      </c>
      <c r="ET20" s="231">
        <v>2180</v>
      </c>
      <c r="EU20" s="231">
        <v>9163.81</v>
      </c>
      <c r="EV20" s="231">
        <v>316147681</v>
      </c>
      <c r="EW20" s="231">
        <v>15303.35</v>
      </c>
      <c r="EX20" s="231">
        <v>15429.04</v>
      </c>
      <c r="EY20" s="228">
        <v>-125.69</v>
      </c>
      <c r="EZ20" s="229">
        <v>-8.0999999999999996E-3</v>
      </c>
      <c r="FA20" s="229">
        <v>0.40550000000000003</v>
      </c>
      <c r="FB20" s="227" t="s">
        <v>556</v>
      </c>
      <c r="FC20">
        <f t="shared" si="0"/>
        <v>377</v>
      </c>
    </row>
    <row r="21" spans="1:159" ht="17.25" thickBot="1" x14ac:dyDescent="0.3">
      <c r="A21" s="226">
        <v>45946</v>
      </c>
      <c r="B21" s="227" t="s">
        <v>162</v>
      </c>
      <c r="C21" s="227" t="s">
        <v>174</v>
      </c>
      <c r="D21" s="228">
        <v>75</v>
      </c>
      <c r="E21" s="228">
        <v>12</v>
      </c>
      <c r="F21" s="231">
        <v>9158</v>
      </c>
      <c r="G21" s="231">
        <v>9036.5</v>
      </c>
      <c r="H21" s="228">
        <v>121.5</v>
      </c>
      <c r="I21" s="229">
        <v>1.34E-2</v>
      </c>
      <c r="J21" s="231">
        <v>9151.5</v>
      </c>
      <c r="K21" s="231">
        <v>8998</v>
      </c>
      <c r="L21" s="228">
        <v>153.5</v>
      </c>
      <c r="M21" s="229">
        <v>1.7100000000000001E-2</v>
      </c>
      <c r="N21" s="231">
        <v>9158</v>
      </c>
      <c r="O21" s="231">
        <v>9036.5</v>
      </c>
      <c r="P21" s="228">
        <v>121.5</v>
      </c>
      <c r="Q21" s="229">
        <v>1.34E-2</v>
      </c>
      <c r="R21" s="231">
        <v>9184</v>
      </c>
      <c r="S21" s="231">
        <v>9067.5</v>
      </c>
      <c r="T21" s="228">
        <v>116.5</v>
      </c>
      <c r="U21" s="229">
        <v>1.2800000000000001E-2</v>
      </c>
      <c r="V21" s="231">
        <v>9219.5</v>
      </c>
      <c r="W21" s="231">
        <v>9104.5</v>
      </c>
      <c r="X21" s="228">
        <v>115</v>
      </c>
      <c r="Y21" s="229">
        <v>1.26E-2</v>
      </c>
      <c r="Z21" s="228">
        <v>6.5</v>
      </c>
      <c r="AA21" s="228">
        <v>38.5</v>
      </c>
      <c r="AB21" s="228">
        <v>-32</v>
      </c>
      <c r="AC21" s="229">
        <v>6.9999999999999999E-4</v>
      </c>
      <c r="AD21" s="228">
        <v>6.5</v>
      </c>
      <c r="AE21" s="228">
        <v>38.5</v>
      </c>
      <c r="AF21" s="228">
        <v>-32</v>
      </c>
      <c r="AG21" s="229">
        <v>6.9999999999999999E-4</v>
      </c>
      <c r="AH21" s="228">
        <v>32.5</v>
      </c>
      <c r="AI21" s="228">
        <v>69.5</v>
      </c>
      <c r="AJ21" s="228">
        <v>-37</v>
      </c>
      <c r="AK21" s="229">
        <v>3.5999999999999999E-3</v>
      </c>
      <c r="AL21" s="228">
        <v>68</v>
      </c>
      <c r="AM21" s="228">
        <v>106.5</v>
      </c>
      <c r="AN21" s="228">
        <v>-38.5</v>
      </c>
      <c r="AO21" s="229">
        <v>7.4000000000000003E-3</v>
      </c>
      <c r="AP21" s="231">
        <v>9158.2999999999993</v>
      </c>
      <c r="AQ21" s="231">
        <v>9178.58</v>
      </c>
      <c r="AR21" s="228">
        <v>0</v>
      </c>
      <c r="AS21" s="228">
        <v>581</v>
      </c>
      <c r="AT21" s="228">
        <v>727</v>
      </c>
      <c r="AU21" s="228">
        <v>-145</v>
      </c>
      <c r="AV21" s="229">
        <v>-0.19980000000000001</v>
      </c>
      <c r="AW21" s="228">
        <v>504</v>
      </c>
      <c r="AX21" s="228">
        <v>622</v>
      </c>
      <c r="AY21" s="228">
        <v>-118</v>
      </c>
      <c r="AZ21" s="229">
        <v>-0.1905</v>
      </c>
      <c r="BA21" s="228">
        <v>71</v>
      </c>
      <c r="BB21" s="228">
        <v>98</v>
      </c>
      <c r="BC21" s="228">
        <v>-27</v>
      </c>
      <c r="BD21" s="229">
        <v>-0.27929999999999999</v>
      </c>
      <c r="BE21" s="228">
        <v>7</v>
      </c>
      <c r="BF21" s="228">
        <v>6</v>
      </c>
      <c r="BG21" s="228">
        <v>1</v>
      </c>
      <c r="BH21" s="229">
        <v>0.1222</v>
      </c>
      <c r="BI21" s="230">
        <v>3174</v>
      </c>
      <c r="BJ21" s="230">
        <v>3939</v>
      </c>
      <c r="BK21" s="228">
        <v>-765</v>
      </c>
      <c r="BL21" s="229">
        <v>-0.19409999999999999</v>
      </c>
      <c r="BM21" s="230">
        <v>1324</v>
      </c>
      <c r="BN21" s="230">
        <v>2276</v>
      </c>
      <c r="BO21" s="228">
        <v>-952</v>
      </c>
      <c r="BP21" s="229">
        <v>-0.41839999999999999</v>
      </c>
      <c r="BQ21" s="230">
        <v>5079</v>
      </c>
      <c r="BR21" s="230">
        <v>6941</v>
      </c>
      <c r="BS21" s="230">
        <v>-1862</v>
      </c>
      <c r="BT21" s="229">
        <v>-0.26829999999999998</v>
      </c>
      <c r="BU21" s="230">
        <v>356188</v>
      </c>
      <c r="BV21" s="230">
        <v>311090</v>
      </c>
      <c r="BW21" s="230">
        <v>45098</v>
      </c>
      <c r="BX21" s="229">
        <v>0.14499999999999999</v>
      </c>
      <c r="BY21" s="230">
        <v>2799</v>
      </c>
      <c r="BZ21" s="230">
        <v>2805</v>
      </c>
      <c r="CA21" s="228">
        <v>-6</v>
      </c>
      <c r="CB21" s="229">
        <v>-2.2000000000000001E-3</v>
      </c>
      <c r="CC21" s="230">
        <v>2640</v>
      </c>
      <c r="CD21" s="230">
        <v>2662</v>
      </c>
      <c r="CE21" s="228">
        <v>-22</v>
      </c>
      <c r="CF21" s="229">
        <v>-8.3000000000000001E-3</v>
      </c>
      <c r="CG21" s="228">
        <v>143</v>
      </c>
      <c r="CH21" s="228">
        <v>129</v>
      </c>
      <c r="CI21" s="228">
        <v>14</v>
      </c>
      <c r="CJ21" s="229">
        <v>0.1095</v>
      </c>
      <c r="CK21" s="228">
        <v>17</v>
      </c>
      <c r="CL21" s="228">
        <v>15</v>
      </c>
      <c r="CM21" s="228">
        <v>2</v>
      </c>
      <c r="CN21" s="229">
        <v>0.1147</v>
      </c>
      <c r="CO21" s="230">
        <v>1442</v>
      </c>
      <c r="CP21" s="230">
        <v>1641</v>
      </c>
      <c r="CQ21" s="228">
        <v>-199</v>
      </c>
      <c r="CR21" s="229">
        <v>-0.1215</v>
      </c>
      <c r="CS21" s="228">
        <v>968</v>
      </c>
      <c r="CT21" s="228">
        <v>998</v>
      </c>
      <c r="CU21" s="228">
        <v>-30</v>
      </c>
      <c r="CV21" s="229">
        <v>-3.0300000000000001E-2</v>
      </c>
      <c r="CW21" s="230">
        <v>5209</v>
      </c>
      <c r="CX21" s="230">
        <v>5445</v>
      </c>
      <c r="CY21" s="228">
        <v>-236</v>
      </c>
      <c r="CZ21" s="229">
        <v>-4.3299999999999998E-2</v>
      </c>
      <c r="DA21" s="228">
        <v>21.52</v>
      </c>
      <c r="DB21" s="228">
        <v>23.41</v>
      </c>
      <c r="DC21" s="228">
        <v>-1.89</v>
      </c>
      <c r="DD21" s="228">
        <v>-1.89</v>
      </c>
      <c r="DE21" s="228">
        <v>30.52</v>
      </c>
      <c r="DF21" s="228">
        <v>30.51</v>
      </c>
      <c r="DG21" s="228">
        <v>-9</v>
      </c>
      <c r="DH21" s="228">
        <v>0.01</v>
      </c>
      <c r="DI21" s="228">
        <v>21.37</v>
      </c>
      <c r="DJ21" s="228">
        <v>23.47</v>
      </c>
      <c r="DK21" s="228">
        <v>-2.1</v>
      </c>
      <c r="DL21" s="228">
        <v>-2.1</v>
      </c>
      <c r="DM21" s="228">
        <v>21.88</v>
      </c>
      <c r="DN21" s="228">
        <v>23.31</v>
      </c>
      <c r="DO21" s="228">
        <v>-1.43</v>
      </c>
      <c r="DP21" s="228">
        <v>-1.43</v>
      </c>
      <c r="DQ21" s="228">
        <v>0.67</v>
      </c>
      <c r="DR21" s="228">
        <v>0.61</v>
      </c>
      <c r="DS21" s="228">
        <v>0.06</v>
      </c>
      <c r="DT21" s="229">
        <v>9.8400000000000001E-2</v>
      </c>
      <c r="DU21" s="231">
        <v>10000</v>
      </c>
      <c r="DV21" s="231">
        <v>8800</v>
      </c>
      <c r="DW21" s="228">
        <v>0.42</v>
      </c>
      <c r="DX21" s="228">
        <v>0.57999999999999996</v>
      </c>
      <c r="DY21" s="228">
        <v>-0.16</v>
      </c>
      <c r="DZ21" s="229">
        <v>-0.27589999999999998</v>
      </c>
      <c r="EA21" s="229">
        <v>5.6899999999999999E-2</v>
      </c>
      <c r="EB21" s="230">
        <v>156750</v>
      </c>
      <c r="EC21" s="229">
        <v>2.8E-3</v>
      </c>
      <c r="ED21" s="229">
        <v>5.6899999999999999E-2</v>
      </c>
      <c r="EE21" s="228">
        <v>20.28</v>
      </c>
      <c r="EF21" s="229">
        <v>2.2000000000000001E-3</v>
      </c>
      <c r="EG21" s="230">
        <v>203113</v>
      </c>
      <c r="EH21" s="230">
        <v>140098</v>
      </c>
      <c r="EI21" s="229">
        <v>0.44979999999999998</v>
      </c>
      <c r="EJ21" s="229">
        <v>0.57020000000000004</v>
      </c>
      <c r="EK21" s="231">
        <v>3263.19</v>
      </c>
      <c r="EL21" s="231">
        <v>1293.49</v>
      </c>
      <c r="EM21" s="228">
        <v>581.57000000000005</v>
      </c>
      <c r="EN21" s="228">
        <v>80.14</v>
      </c>
      <c r="EO21" s="231">
        <v>5138.25</v>
      </c>
      <c r="EP21" s="231">
        <v>6981.58</v>
      </c>
      <c r="EQ21" s="231">
        <v>-1843.33</v>
      </c>
      <c r="ER21" s="229">
        <v>-0.26400000000000001</v>
      </c>
      <c r="ES21" s="231">
        <v>1480.76</v>
      </c>
      <c r="ET21" s="228">
        <v>908.77</v>
      </c>
      <c r="EU21" s="231">
        <v>2799.5</v>
      </c>
      <c r="EV21" s="231">
        <v>12547731</v>
      </c>
      <c r="EW21" s="231">
        <v>5189.0200000000004</v>
      </c>
      <c r="EX21" s="231">
        <v>5378.57</v>
      </c>
      <c r="EY21" s="228">
        <v>-189.55</v>
      </c>
      <c r="EZ21" s="229">
        <v>-3.5200000000000002E-2</v>
      </c>
      <c r="FA21" s="229">
        <v>0.45329999999999998</v>
      </c>
      <c r="FB21" s="227" t="s">
        <v>556</v>
      </c>
      <c r="FC21">
        <f t="shared" si="0"/>
        <v>159</v>
      </c>
    </row>
    <row r="22" spans="1:159" ht="17.25" thickBot="1" x14ac:dyDescent="0.3">
      <c r="A22" s="226">
        <v>45946</v>
      </c>
      <c r="B22" s="227" t="s">
        <v>175</v>
      </c>
      <c r="C22" s="227" t="s">
        <v>176</v>
      </c>
      <c r="D22" s="228">
        <v>500</v>
      </c>
      <c r="E22" s="228">
        <v>12</v>
      </c>
      <c r="F22" s="231">
        <v>2098</v>
      </c>
      <c r="G22" s="231">
        <v>2088.3000000000002</v>
      </c>
      <c r="H22" s="228">
        <v>9.6999999999999993</v>
      </c>
      <c r="I22" s="229">
        <v>4.5999999999999999E-3</v>
      </c>
      <c r="J22" s="231">
        <v>2090.1999999999998</v>
      </c>
      <c r="K22" s="231">
        <v>2084.1</v>
      </c>
      <c r="L22" s="228">
        <v>6.1</v>
      </c>
      <c r="M22" s="229">
        <v>2.8999999999999998E-3</v>
      </c>
      <c r="N22" s="231">
        <v>2098</v>
      </c>
      <c r="O22" s="231">
        <v>2088.3000000000002</v>
      </c>
      <c r="P22" s="228">
        <v>9.6999999999999993</v>
      </c>
      <c r="Q22" s="229">
        <v>4.5999999999999999E-3</v>
      </c>
      <c r="R22" s="231">
        <v>2109.4</v>
      </c>
      <c r="S22" s="231">
        <v>2099.6</v>
      </c>
      <c r="T22" s="228">
        <v>9.8000000000000007</v>
      </c>
      <c r="U22" s="229">
        <v>4.7000000000000002E-3</v>
      </c>
      <c r="V22" s="231">
        <v>2121.3000000000002</v>
      </c>
      <c r="W22" s="231">
        <v>2111</v>
      </c>
      <c r="X22" s="228">
        <v>10.3</v>
      </c>
      <c r="Y22" s="229">
        <v>4.8999999999999998E-3</v>
      </c>
      <c r="Z22" s="228">
        <v>7.8</v>
      </c>
      <c r="AA22" s="228">
        <v>4.2</v>
      </c>
      <c r="AB22" s="228">
        <v>3.6</v>
      </c>
      <c r="AC22" s="229">
        <v>3.7000000000000002E-3</v>
      </c>
      <c r="AD22" s="228">
        <v>7.8</v>
      </c>
      <c r="AE22" s="228">
        <v>4.2</v>
      </c>
      <c r="AF22" s="228">
        <v>3.6</v>
      </c>
      <c r="AG22" s="229">
        <v>3.7000000000000002E-3</v>
      </c>
      <c r="AH22" s="228">
        <v>19.2</v>
      </c>
      <c r="AI22" s="228">
        <v>15.5</v>
      </c>
      <c r="AJ22" s="228">
        <v>3.7</v>
      </c>
      <c r="AK22" s="229">
        <v>9.1999999999999998E-3</v>
      </c>
      <c r="AL22" s="228">
        <v>31.1</v>
      </c>
      <c r="AM22" s="228">
        <v>26.9</v>
      </c>
      <c r="AN22" s="228">
        <v>4.2</v>
      </c>
      <c r="AO22" s="229">
        <v>1.49E-2</v>
      </c>
      <c r="AP22" s="231">
        <v>2096.33</v>
      </c>
      <c r="AQ22" s="231">
        <v>2107.29</v>
      </c>
      <c r="AR22" s="228">
        <v>0</v>
      </c>
      <c r="AS22" s="228">
        <v>403</v>
      </c>
      <c r="AT22" s="228">
        <v>617</v>
      </c>
      <c r="AU22" s="228">
        <v>-214</v>
      </c>
      <c r="AV22" s="229">
        <v>-0.34639999999999999</v>
      </c>
      <c r="AW22" s="228">
        <v>331</v>
      </c>
      <c r="AX22" s="228">
        <v>530</v>
      </c>
      <c r="AY22" s="228">
        <v>-198</v>
      </c>
      <c r="AZ22" s="229">
        <v>-0.3745</v>
      </c>
      <c r="BA22" s="228">
        <v>68</v>
      </c>
      <c r="BB22" s="228">
        <v>76</v>
      </c>
      <c r="BC22" s="228">
        <v>-9</v>
      </c>
      <c r="BD22" s="229">
        <v>-0.114</v>
      </c>
      <c r="BE22" s="228">
        <v>4</v>
      </c>
      <c r="BF22" s="228">
        <v>11</v>
      </c>
      <c r="BG22" s="228">
        <v>-7</v>
      </c>
      <c r="BH22" s="229">
        <v>-0.6139</v>
      </c>
      <c r="BI22" s="230">
        <v>2505</v>
      </c>
      <c r="BJ22" s="230">
        <v>3986</v>
      </c>
      <c r="BK22" s="230">
        <v>-1481</v>
      </c>
      <c r="BL22" s="229">
        <v>-0.37159999999999999</v>
      </c>
      <c r="BM22" s="230">
        <v>1303</v>
      </c>
      <c r="BN22" s="230">
        <v>1699</v>
      </c>
      <c r="BO22" s="228">
        <v>-395</v>
      </c>
      <c r="BP22" s="229">
        <v>-0.23280000000000001</v>
      </c>
      <c r="BQ22" s="230">
        <v>4211</v>
      </c>
      <c r="BR22" s="230">
        <v>6302</v>
      </c>
      <c r="BS22" s="230">
        <v>-2090</v>
      </c>
      <c r="BT22" s="229">
        <v>-0.33169999999999999</v>
      </c>
      <c r="BU22" s="230">
        <v>1620190</v>
      </c>
      <c r="BV22" s="230">
        <v>1664034</v>
      </c>
      <c r="BW22" s="230">
        <v>-43844</v>
      </c>
      <c r="BX22" s="229">
        <v>-2.63E-2</v>
      </c>
      <c r="BY22" s="230">
        <v>3910</v>
      </c>
      <c r="BZ22" s="230">
        <v>3818</v>
      </c>
      <c r="CA22" s="228">
        <v>91</v>
      </c>
      <c r="CB22" s="229">
        <v>2.4E-2</v>
      </c>
      <c r="CC22" s="230">
        <v>3796</v>
      </c>
      <c r="CD22" s="230">
        <v>3733</v>
      </c>
      <c r="CE22" s="228">
        <v>62</v>
      </c>
      <c r="CF22" s="229">
        <v>1.67E-2</v>
      </c>
      <c r="CG22" s="228">
        <v>105</v>
      </c>
      <c r="CH22" s="228">
        <v>76</v>
      </c>
      <c r="CI22" s="228">
        <v>29</v>
      </c>
      <c r="CJ22" s="229">
        <v>0.37309999999999999</v>
      </c>
      <c r="CK22" s="228">
        <v>9</v>
      </c>
      <c r="CL22" s="228">
        <v>8</v>
      </c>
      <c r="CM22" s="228">
        <v>1</v>
      </c>
      <c r="CN22" s="229">
        <v>8.8599999999999998E-2</v>
      </c>
      <c r="CO22" s="230">
        <v>1238</v>
      </c>
      <c r="CP22" s="230">
        <v>1216</v>
      </c>
      <c r="CQ22" s="228">
        <v>21</v>
      </c>
      <c r="CR22" s="229">
        <v>1.7600000000000001E-2</v>
      </c>
      <c r="CS22" s="228">
        <v>946</v>
      </c>
      <c r="CT22" s="228">
        <v>873</v>
      </c>
      <c r="CU22" s="228">
        <v>73</v>
      </c>
      <c r="CV22" s="229">
        <v>8.3500000000000005E-2</v>
      </c>
      <c r="CW22" s="230">
        <v>6094</v>
      </c>
      <c r="CX22" s="230">
        <v>5908</v>
      </c>
      <c r="CY22" s="228">
        <v>186</v>
      </c>
      <c r="CZ22" s="229">
        <v>3.1399999999999997E-2</v>
      </c>
      <c r="DA22" s="228">
        <v>19.29</v>
      </c>
      <c r="DB22" s="228">
        <v>21.65</v>
      </c>
      <c r="DC22" s="228">
        <v>-2.36</v>
      </c>
      <c r="DD22" s="228">
        <v>-2.36</v>
      </c>
      <c r="DE22" s="228">
        <v>28.19</v>
      </c>
      <c r="DF22" s="228">
        <v>28.25</v>
      </c>
      <c r="DG22" s="228">
        <v>-8.9</v>
      </c>
      <c r="DH22" s="228">
        <v>-0.06</v>
      </c>
      <c r="DI22" s="228">
        <v>17.940000000000001</v>
      </c>
      <c r="DJ22" s="228">
        <v>21.14</v>
      </c>
      <c r="DK22" s="228">
        <v>-3.2</v>
      </c>
      <c r="DL22" s="228">
        <v>-3.2</v>
      </c>
      <c r="DM22" s="228">
        <v>21.89</v>
      </c>
      <c r="DN22" s="228">
        <v>22.86</v>
      </c>
      <c r="DO22" s="228">
        <v>-0.97</v>
      </c>
      <c r="DP22" s="228">
        <v>-0.97</v>
      </c>
      <c r="DQ22" s="228">
        <v>0.76</v>
      </c>
      <c r="DR22" s="228">
        <v>0.72</v>
      </c>
      <c r="DS22" s="228">
        <v>0.04</v>
      </c>
      <c r="DT22" s="229">
        <v>5.5599999999999997E-2</v>
      </c>
      <c r="DU22" s="231">
        <v>2100</v>
      </c>
      <c r="DV22" s="231">
        <v>1800</v>
      </c>
      <c r="DW22" s="228">
        <v>0.52</v>
      </c>
      <c r="DX22" s="228">
        <v>0.43</v>
      </c>
      <c r="DY22" s="228">
        <v>0.09</v>
      </c>
      <c r="DZ22" s="229">
        <v>0.20930000000000001</v>
      </c>
      <c r="EA22" s="229">
        <v>2.92E-2</v>
      </c>
      <c r="EB22" s="230">
        <v>404000</v>
      </c>
      <c r="EC22" s="229">
        <v>5.4000000000000003E-3</v>
      </c>
      <c r="ED22" s="229">
        <v>2.92E-2</v>
      </c>
      <c r="EE22" s="228">
        <v>10.96</v>
      </c>
      <c r="EF22" s="229">
        <v>5.1999999999999998E-3</v>
      </c>
      <c r="EG22" s="230">
        <v>1078265</v>
      </c>
      <c r="EH22" s="230">
        <v>942087</v>
      </c>
      <c r="EI22" s="229">
        <v>0.14449999999999999</v>
      </c>
      <c r="EJ22" s="229">
        <v>0.66549999999999998</v>
      </c>
      <c r="EK22" s="231">
        <v>2559.39</v>
      </c>
      <c r="EL22" s="231">
        <v>1261.27</v>
      </c>
      <c r="EM22" s="228">
        <v>403.11</v>
      </c>
      <c r="EN22" s="228">
        <v>30.12</v>
      </c>
      <c r="EO22" s="231">
        <v>4223.76</v>
      </c>
      <c r="EP22" s="231">
        <v>6296.3</v>
      </c>
      <c r="EQ22" s="231">
        <v>-2072.54</v>
      </c>
      <c r="ER22" s="229">
        <v>-0.32919999999999999</v>
      </c>
      <c r="ES22" s="231">
        <v>1246.3499999999999</v>
      </c>
      <c r="ET22" s="228">
        <v>887.44</v>
      </c>
      <c r="EU22" s="231">
        <v>3910.4</v>
      </c>
      <c r="EV22" s="231">
        <v>65659712</v>
      </c>
      <c r="EW22" s="231">
        <v>6044.19</v>
      </c>
      <c r="EX22" s="231">
        <v>5842.8</v>
      </c>
      <c r="EY22" s="228">
        <v>201.39</v>
      </c>
      <c r="EZ22" s="229">
        <v>3.4500000000000003E-2</v>
      </c>
      <c r="FA22" s="229">
        <v>0.44240000000000002</v>
      </c>
      <c r="FB22" s="227" t="s">
        <v>555</v>
      </c>
      <c r="FC22">
        <f t="shared" si="0"/>
        <v>114</v>
      </c>
    </row>
    <row r="23" spans="1:159" ht="17.25" thickBot="1" x14ac:dyDescent="0.3">
      <c r="A23" s="226">
        <v>45946</v>
      </c>
      <c r="B23" s="227" t="s">
        <v>175</v>
      </c>
      <c r="C23" s="227" t="s">
        <v>177</v>
      </c>
      <c r="D23" s="228">
        <v>750</v>
      </c>
      <c r="E23" s="228">
        <v>12</v>
      </c>
      <c r="F23" s="231">
        <v>1066.45</v>
      </c>
      <c r="G23" s="231">
        <v>1060.9000000000001</v>
      </c>
      <c r="H23" s="228">
        <v>5.55</v>
      </c>
      <c r="I23" s="229">
        <v>5.1999999999999998E-3</v>
      </c>
      <c r="J23" s="231">
        <v>1065.75</v>
      </c>
      <c r="K23" s="231">
        <v>1059.9000000000001</v>
      </c>
      <c r="L23" s="228">
        <v>5.85</v>
      </c>
      <c r="M23" s="229">
        <v>5.4999999999999997E-3</v>
      </c>
      <c r="N23" s="231">
        <v>1066.45</v>
      </c>
      <c r="O23" s="231">
        <v>1060.9000000000001</v>
      </c>
      <c r="P23" s="228">
        <v>5.55</v>
      </c>
      <c r="Q23" s="229">
        <v>5.1999999999999998E-3</v>
      </c>
      <c r="R23" s="231">
        <v>1072.0999999999999</v>
      </c>
      <c r="S23" s="231">
        <v>1066.3</v>
      </c>
      <c r="T23" s="228">
        <v>5.8</v>
      </c>
      <c r="U23" s="229">
        <v>5.4000000000000003E-3</v>
      </c>
      <c r="V23" s="231">
        <v>1078.45</v>
      </c>
      <c r="W23" s="231">
        <v>1072.5999999999999</v>
      </c>
      <c r="X23" s="228">
        <v>5.85</v>
      </c>
      <c r="Y23" s="229">
        <v>5.4999999999999997E-3</v>
      </c>
      <c r="Z23" s="228">
        <v>0.7</v>
      </c>
      <c r="AA23" s="228">
        <v>1</v>
      </c>
      <c r="AB23" s="228">
        <v>-0.3</v>
      </c>
      <c r="AC23" s="229">
        <v>6.9999999999999999E-4</v>
      </c>
      <c r="AD23" s="228">
        <v>0.7</v>
      </c>
      <c r="AE23" s="228">
        <v>1</v>
      </c>
      <c r="AF23" s="228">
        <v>-0.3</v>
      </c>
      <c r="AG23" s="229">
        <v>6.9999999999999999E-4</v>
      </c>
      <c r="AH23" s="228">
        <v>6.35</v>
      </c>
      <c r="AI23" s="228">
        <v>6.4</v>
      </c>
      <c r="AJ23" s="228">
        <v>-0.05</v>
      </c>
      <c r="AK23" s="229">
        <v>6.0000000000000001E-3</v>
      </c>
      <c r="AL23" s="228">
        <v>12.7</v>
      </c>
      <c r="AM23" s="228">
        <v>12.7</v>
      </c>
      <c r="AN23" s="228">
        <v>0</v>
      </c>
      <c r="AO23" s="229">
        <v>1.1900000000000001E-2</v>
      </c>
      <c r="AP23" s="231">
        <v>1069.81</v>
      </c>
      <c r="AQ23" s="231">
        <v>1076.44</v>
      </c>
      <c r="AR23" s="228">
        <v>0</v>
      </c>
      <c r="AS23" s="230">
        <v>1342</v>
      </c>
      <c r="AT23" s="230">
        <v>1425</v>
      </c>
      <c r="AU23" s="228">
        <v>-82</v>
      </c>
      <c r="AV23" s="229">
        <v>-5.79E-2</v>
      </c>
      <c r="AW23" s="230">
        <v>1152</v>
      </c>
      <c r="AX23" s="230">
        <v>1236</v>
      </c>
      <c r="AY23" s="228">
        <v>-83</v>
      </c>
      <c r="AZ23" s="229">
        <v>-6.7500000000000004E-2</v>
      </c>
      <c r="BA23" s="228">
        <v>178</v>
      </c>
      <c r="BB23" s="228">
        <v>171</v>
      </c>
      <c r="BC23" s="228">
        <v>7</v>
      </c>
      <c r="BD23" s="229">
        <v>3.9800000000000002E-2</v>
      </c>
      <c r="BE23" s="228">
        <v>12</v>
      </c>
      <c r="BF23" s="228">
        <v>18</v>
      </c>
      <c r="BG23" s="228">
        <v>-6</v>
      </c>
      <c r="BH23" s="229">
        <v>-0.3216</v>
      </c>
      <c r="BI23" s="230">
        <v>6111</v>
      </c>
      <c r="BJ23" s="230">
        <v>6527</v>
      </c>
      <c r="BK23" s="228">
        <v>-416</v>
      </c>
      <c r="BL23" s="229">
        <v>-6.3700000000000007E-2</v>
      </c>
      <c r="BM23" s="230">
        <v>3847</v>
      </c>
      <c r="BN23" s="230">
        <v>3650</v>
      </c>
      <c r="BO23" s="228">
        <v>198</v>
      </c>
      <c r="BP23" s="229">
        <v>5.4199999999999998E-2</v>
      </c>
      <c r="BQ23" s="230">
        <v>11301</v>
      </c>
      <c r="BR23" s="230">
        <v>11601</v>
      </c>
      <c r="BS23" s="228">
        <v>-300</v>
      </c>
      <c r="BT23" s="229">
        <v>-2.5899999999999999E-2</v>
      </c>
      <c r="BU23" s="230">
        <v>11510799</v>
      </c>
      <c r="BV23" s="230">
        <v>10627512</v>
      </c>
      <c r="BW23" s="230">
        <v>883287</v>
      </c>
      <c r="BX23" s="229">
        <v>8.3099999999999993E-2</v>
      </c>
      <c r="BY23" s="230">
        <v>9606</v>
      </c>
      <c r="BZ23" s="230">
        <v>9579</v>
      </c>
      <c r="CA23" s="228">
        <v>27</v>
      </c>
      <c r="CB23" s="229">
        <v>2.8E-3</v>
      </c>
      <c r="CC23" s="230">
        <v>9303</v>
      </c>
      <c r="CD23" s="230">
        <v>9321</v>
      </c>
      <c r="CE23" s="228">
        <v>-18</v>
      </c>
      <c r="CF23" s="229">
        <v>-1.9E-3</v>
      </c>
      <c r="CG23" s="228">
        <v>280</v>
      </c>
      <c r="CH23" s="228">
        <v>237</v>
      </c>
      <c r="CI23" s="228">
        <v>43</v>
      </c>
      <c r="CJ23" s="229">
        <v>0.1832</v>
      </c>
      <c r="CK23" s="228">
        <v>23</v>
      </c>
      <c r="CL23" s="228">
        <v>22</v>
      </c>
      <c r="CM23" s="228">
        <v>2</v>
      </c>
      <c r="CN23" s="229">
        <v>8.1799999999999998E-2</v>
      </c>
      <c r="CO23" s="230">
        <v>2029</v>
      </c>
      <c r="CP23" s="230">
        <v>1933</v>
      </c>
      <c r="CQ23" s="228">
        <v>96</v>
      </c>
      <c r="CR23" s="229">
        <v>4.9500000000000002E-2</v>
      </c>
      <c r="CS23" s="230">
        <v>1815</v>
      </c>
      <c r="CT23" s="230">
        <v>1663</v>
      </c>
      <c r="CU23" s="228">
        <v>153</v>
      </c>
      <c r="CV23" s="229">
        <v>9.1899999999999996E-2</v>
      </c>
      <c r="CW23" s="230">
        <v>13451</v>
      </c>
      <c r="CX23" s="230">
        <v>13175</v>
      </c>
      <c r="CY23" s="228">
        <v>276</v>
      </c>
      <c r="CZ23" s="229">
        <v>2.0899999999999998E-2</v>
      </c>
      <c r="DA23" s="228">
        <v>22.56</v>
      </c>
      <c r="DB23" s="228">
        <v>28.23</v>
      </c>
      <c r="DC23" s="228">
        <v>-5.67</v>
      </c>
      <c r="DD23" s="228">
        <v>-5.67</v>
      </c>
      <c r="DE23" s="228">
        <v>31.39</v>
      </c>
      <c r="DF23" s="228">
        <v>31.46</v>
      </c>
      <c r="DG23" s="228">
        <v>-8.83</v>
      </c>
      <c r="DH23" s="228">
        <v>-7.0000000000000007E-2</v>
      </c>
      <c r="DI23" s="228">
        <v>21.68</v>
      </c>
      <c r="DJ23" s="228">
        <v>27.37</v>
      </c>
      <c r="DK23" s="228">
        <v>-5.69</v>
      </c>
      <c r="DL23" s="228">
        <v>-5.69</v>
      </c>
      <c r="DM23" s="228">
        <v>23.96</v>
      </c>
      <c r="DN23" s="228">
        <v>29.76</v>
      </c>
      <c r="DO23" s="228">
        <v>-5.8</v>
      </c>
      <c r="DP23" s="228">
        <v>-5.8</v>
      </c>
      <c r="DQ23" s="228">
        <v>0.89</v>
      </c>
      <c r="DR23" s="228">
        <v>0.86</v>
      </c>
      <c r="DS23" s="228">
        <v>0.03</v>
      </c>
      <c r="DT23" s="229">
        <v>3.49E-2</v>
      </c>
      <c r="DU23" s="231">
        <v>1100</v>
      </c>
      <c r="DV23" s="231">
        <v>1000</v>
      </c>
      <c r="DW23" s="228">
        <v>0.63</v>
      </c>
      <c r="DX23" s="228">
        <v>0.56000000000000005</v>
      </c>
      <c r="DY23" s="228">
        <v>7.0000000000000007E-2</v>
      </c>
      <c r="DZ23" s="229">
        <v>0.125</v>
      </c>
      <c r="EA23" s="229">
        <v>3.1600000000000003E-2</v>
      </c>
      <c r="EB23" s="230">
        <v>2420250</v>
      </c>
      <c r="EC23" s="229">
        <v>5.3E-3</v>
      </c>
      <c r="ED23" s="229">
        <v>3.1600000000000003E-2</v>
      </c>
      <c r="EE23" s="228">
        <v>6.63</v>
      </c>
      <c r="EF23" s="229">
        <v>6.1999999999999998E-3</v>
      </c>
      <c r="EG23" s="230">
        <v>6748719</v>
      </c>
      <c r="EH23" s="230">
        <v>6455368</v>
      </c>
      <c r="EI23" s="229">
        <v>4.5400000000000003E-2</v>
      </c>
      <c r="EJ23" s="229">
        <v>0.58630000000000004</v>
      </c>
      <c r="EK23" s="231">
        <v>6316.14</v>
      </c>
      <c r="EL23" s="231">
        <v>3785.25</v>
      </c>
      <c r="EM23" s="231">
        <v>1347.84</v>
      </c>
      <c r="EN23" s="228">
        <v>106.54</v>
      </c>
      <c r="EO23" s="231">
        <v>11449.23</v>
      </c>
      <c r="EP23" s="231">
        <v>11541.01</v>
      </c>
      <c r="EQ23" s="228">
        <v>-91.77</v>
      </c>
      <c r="ER23" s="229">
        <v>-8.0000000000000002E-3</v>
      </c>
      <c r="ES23" s="231">
        <v>2028.46</v>
      </c>
      <c r="ET23" s="231">
        <v>1697.56</v>
      </c>
      <c r="EU23" s="231">
        <v>9608.19</v>
      </c>
      <c r="EV23" s="231">
        <v>281116345</v>
      </c>
      <c r="EW23" s="231">
        <v>13334.21</v>
      </c>
      <c r="EX23" s="231">
        <v>12987.52</v>
      </c>
      <c r="EY23" s="228">
        <v>346.69</v>
      </c>
      <c r="EZ23" s="229">
        <v>2.6700000000000002E-2</v>
      </c>
      <c r="FA23" s="229">
        <v>0.44869999999999999</v>
      </c>
      <c r="FB23" s="227" t="s">
        <v>555</v>
      </c>
      <c r="FC23">
        <f t="shared" si="0"/>
        <v>303</v>
      </c>
    </row>
    <row r="24" spans="1:159" ht="17.25" thickBot="1" x14ac:dyDescent="0.3">
      <c r="A24" s="226">
        <v>45946</v>
      </c>
      <c r="B24" s="227" t="s">
        <v>172</v>
      </c>
      <c r="C24" s="227" t="s">
        <v>179</v>
      </c>
      <c r="D24" s="228">
        <v>3600</v>
      </c>
      <c r="E24" s="228">
        <v>12</v>
      </c>
      <c r="F24" s="228">
        <v>161.85</v>
      </c>
      <c r="G24" s="228">
        <v>163.74</v>
      </c>
      <c r="H24" s="228">
        <v>-1.89</v>
      </c>
      <c r="I24" s="229">
        <v>-1.15E-2</v>
      </c>
      <c r="J24" s="228">
        <v>161.56</v>
      </c>
      <c r="K24" s="228">
        <v>163.19999999999999</v>
      </c>
      <c r="L24" s="228">
        <v>-1.64</v>
      </c>
      <c r="M24" s="229">
        <v>-0.01</v>
      </c>
      <c r="N24" s="228">
        <v>161.85</v>
      </c>
      <c r="O24" s="228">
        <v>163.74</v>
      </c>
      <c r="P24" s="228">
        <v>-1.89</v>
      </c>
      <c r="Q24" s="229">
        <v>-1.15E-2</v>
      </c>
      <c r="R24" s="228">
        <v>162.81</v>
      </c>
      <c r="S24" s="228">
        <v>164.61</v>
      </c>
      <c r="T24" s="228">
        <v>-1.8</v>
      </c>
      <c r="U24" s="229">
        <v>-1.09E-2</v>
      </c>
      <c r="V24" s="228">
        <v>163.9</v>
      </c>
      <c r="W24" s="228">
        <v>165.69</v>
      </c>
      <c r="X24" s="228">
        <v>-1.79</v>
      </c>
      <c r="Y24" s="229">
        <v>-1.0800000000000001E-2</v>
      </c>
      <c r="Z24" s="228">
        <v>0.28999999999999998</v>
      </c>
      <c r="AA24" s="228">
        <v>0.54</v>
      </c>
      <c r="AB24" s="228">
        <v>-0.25</v>
      </c>
      <c r="AC24" s="229">
        <v>1.8E-3</v>
      </c>
      <c r="AD24" s="228">
        <v>0.28999999999999998</v>
      </c>
      <c r="AE24" s="228">
        <v>0.54</v>
      </c>
      <c r="AF24" s="228">
        <v>-0.25</v>
      </c>
      <c r="AG24" s="229">
        <v>1.8E-3</v>
      </c>
      <c r="AH24" s="228">
        <v>1.25</v>
      </c>
      <c r="AI24" s="228">
        <v>1.41</v>
      </c>
      <c r="AJ24" s="228">
        <v>-0.16</v>
      </c>
      <c r="AK24" s="229">
        <v>7.7000000000000002E-3</v>
      </c>
      <c r="AL24" s="228">
        <v>2.34</v>
      </c>
      <c r="AM24" s="228">
        <v>2.4900000000000002</v>
      </c>
      <c r="AN24" s="228">
        <v>-0.15</v>
      </c>
      <c r="AO24" s="229">
        <v>1.4500000000000001E-2</v>
      </c>
      <c r="AP24" s="228">
        <v>162.38999999999999</v>
      </c>
      <c r="AQ24" s="228">
        <v>163.28</v>
      </c>
      <c r="AR24" s="228">
        <v>0</v>
      </c>
      <c r="AS24" s="228">
        <v>303</v>
      </c>
      <c r="AT24" s="228">
        <v>399</v>
      </c>
      <c r="AU24" s="228">
        <v>-97</v>
      </c>
      <c r="AV24" s="229">
        <v>-0.24210000000000001</v>
      </c>
      <c r="AW24" s="228">
        <v>216</v>
      </c>
      <c r="AX24" s="228">
        <v>277</v>
      </c>
      <c r="AY24" s="228">
        <v>-61</v>
      </c>
      <c r="AZ24" s="229">
        <v>-0.22159999999999999</v>
      </c>
      <c r="BA24" s="228">
        <v>81</v>
      </c>
      <c r="BB24" s="228">
        <v>119</v>
      </c>
      <c r="BC24" s="228">
        <v>-38</v>
      </c>
      <c r="BD24" s="229">
        <v>-0.317</v>
      </c>
      <c r="BE24" s="228">
        <v>6</v>
      </c>
      <c r="BF24" s="228">
        <v>3</v>
      </c>
      <c r="BG24" s="228">
        <v>2</v>
      </c>
      <c r="BH24" s="229">
        <v>0.69489999999999996</v>
      </c>
      <c r="BI24" s="228">
        <v>557</v>
      </c>
      <c r="BJ24" s="228">
        <v>445</v>
      </c>
      <c r="BK24" s="228">
        <v>111</v>
      </c>
      <c r="BL24" s="229">
        <v>0.24979999999999999</v>
      </c>
      <c r="BM24" s="228">
        <v>255</v>
      </c>
      <c r="BN24" s="228">
        <v>230</v>
      </c>
      <c r="BO24" s="228">
        <v>25</v>
      </c>
      <c r="BP24" s="229">
        <v>0.1075</v>
      </c>
      <c r="BQ24" s="230">
        <v>1114</v>
      </c>
      <c r="BR24" s="230">
        <v>1074</v>
      </c>
      <c r="BS24" s="228">
        <v>39</v>
      </c>
      <c r="BT24" s="229">
        <v>3.6499999999999998E-2</v>
      </c>
      <c r="BU24" s="230">
        <v>6212585</v>
      </c>
      <c r="BV24" s="230">
        <v>5473265</v>
      </c>
      <c r="BW24" s="230">
        <v>739320</v>
      </c>
      <c r="BX24" s="229">
        <v>0.1351</v>
      </c>
      <c r="BY24" s="230">
        <v>1751</v>
      </c>
      <c r="BZ24" s="230">
        <v>1704</v>
      </c>
      <c r="CA24" s="228">
        <v>47</v>
      </c>
      <c r="CB24" s="229">
        <v>2.7699999999999999E-2</v>
      </c>
      <c r="CC24" s="230">
        <v>1429</v>
      </c>
      <c r="CD24" s="230">
        <v>1427</v>
      </c>
      <c r="CE24" s="228">
        <v>3</v>
      </c>
      <c r="CF24" s="229">
        <v>1.9E-3</v>
      </c>
      <c r="CG24" s="228">
        <v>302</v>
      </c>
      <c r="CH24" s="228">
        <v>261</v>
      </c>
      <c r="CI24" s="228">
        <v>41</v>
      </c>
      <c r="CJ24" s="229">
        <v>0.15840000000000001</v>
      </c>
      <c r="CK24" s="228">
        <v>19</v>
      </c>
      <c r="CL24" s="228">
        <v>16</v>
      </c>
      <c r="CM24" s="228">
        <v>3</v>
      </c>
      <c r="CN24" s="229">
        <v>0.20219999999999999</v>
      </c>
      <c r="CO24" s="228">
        <v>779</v>
      </c>
      <c r="CP24" s="228">
        <v>694</v>
      </c>
      <c r="CQ24" s="228">
        <v>86</v>
      </c>
      <c r="CR24" s="229">
        <v>0.1234</v>
      </c>
      <c r="CS24" s="228">
        <v>552</v>
      </c>
      <c r="CT24" s="228">
        <v>533</v>
      </c>
      <c r="CU24" s="228">
        <v>19</v>
      </c>
      <c r="CV24" s="229">
        <v>3.4700000000000002E-2</v>
      </c>
      <c r="CW24" s="230">
        <v>3082</v>
      </c>
      <c r="CX24" s="230">
        <v>2931</v>
      </c>
      <c r="CY24" s="228">
        <v>151</v>
      </c>
      <c r="CZ24" s="229">
        <v>5.1700000000000003E-2</v>
      </c>
      <c r="DA24" s="228">
        <v>34.79</v>
      </c>
      <c r="DB24" s="228">
        <v>33.79</v>
      </c>
      <c r="DC24" s="228">
        <v>1</v>
      </c>
      <c r="DD24" s="228">
        <v>1</v>
      </c>
      <c r="DE24" s="228">
        <v>42.03</v>
      </c>
      <c r="DF24" s="228">
        <v>42.11</v>
      </c>
      <c r="DG24" s="228">
        <v>-7.24</v>
      </c>
      <c r="DH24" s="228">
        <v>-0.08</v>
      </c>
      <c r="DI24" s="228">
        <v>35.07</v>
      </c>
      <c r="DJ24" s="228">
        <v>33.81</v>
      </c>
      <c r="DK24" s="228">
        <v>1.26</v>
      </c>
      <c r="DL24" s="228">
        <v>1.26</v>
      </c>
      <c r="DM24" s="228">
        <v>34.200000000000003</v>
      </c>
      <c r="DN24" s="228">
        <v>33.76</v>
      </c>
      <c r="DO24" s="228">
        <v>0.44</v>
      </c>
      <c r="DP24" s="228">
        <v>0.44</v>
      </c>
      <c r="DQ24" s="228">
        <v>0.71</v>
      </c>
      <c r="DR24" s="228">
        <v>0.77</v>
      </c>
      <c r="DS24" s="228">
        <v>-0.06</v>
      </c>
      <c r="DT24" s="229">
        <v>-7.7899999999999997E-2</v>
      </c>
      <c r="DU24" s="228">
        <v>165</v>
      </c>
      <c r="DV24" s="228">
        <v>150</v>
      </c>
      <c r="DW24" s="228">
        <v>0.46</v>
      </c>
      <c r="DX24" s="228">
        <v>0.52</v>
      </c>
      <c r="DY24" s="228">
        <v>-0.06</v>
      </c>
      <c r="DZ24" s="229">
        <v>-0.1154</v>
      </c>
      <c r="EA24" s="229">
        <v>0.18360000000000001</v>
      </c>
      <c r="EB24" s="230">
        <v>17110800</v>
      </c>
      <c r="EC24" s="229">
        <v>5.8999999999999999E-3</v>
      </c>
      <c r="ED24" s="229">
        <v>0.18360000000000001</v>
      </c>
      <c r="EE24" s="228">
        <v>0.89</v>
      </c>
      <c r="EF24" s="229">
        <v>5.4999999999999997E-3</v>
      </c>
      <c r="EG24" s="230">
        <v>2631298</v>
      </c>
      <c r="EH24" s="230">
        <v>2670176</v>
      </c>
      <c r="EI24" s="229">
        <v>-1.46E-2</v>
      </c>
      <c r="EJ24" s="229">
        <v>0.42349999999999999</v>
      </c>
      <c r="EK24" s="228">
        <v>584.74</v>
      </c>
      <c r="EL24" s="228">
        <v>255.49</v>
      </c>
      <c r="EM24" s="228">
        <v>304.17</v>
      </c>
      <c r="EN24" s="228">
        <v>59.69</v>
      </c>
      <c r="EO24" s="231">
        <v>1144.4000000000001</v>
      </c>
      <c r="EP24" s="231">
        <v>1112.17</v>
      </c>
      <c r="EQ24" s="228">
        <v>32.229999999999997</v>
      </c>
      <c r="ER24" s="229">
        <v>2.9000000000000001E-2</v>
      </c>
      <c r="ES24" s="228">
        <v>820.77</v>
      </c>
      <c r="ET24" s="228">
        <v>541.99</v>
      </c>
      <c r="EU24" s="231">
        <v>1752.81</v>
      </c>
      <c r="EV24" s="231">
        <v>142752962</v>
      </c>
      <c r="EW24" s="231">
        <v>3115.57</v>
      </c>
      <c r="EX24" s="231">
        <v>2982.47</v>
      </c>
      <c r="EY24" s="228">
        <v>133.1</v>
      </c>
      <c r="EZ24" s="229">
        <v>4.4600000000000001E-2</v>
      </c>
      <c r="FA24" s="229">
        <v>1.3339000000000001</v>
      </c>
      <c r="FB24" s="227" t="s">
        <v>567</v>
      </c>
      <c r="FC24">
        <f t="shared" si="0"/>
        <v>322</v>
      </c>
    </row>
    <row r="25" spans="1:159" ht="17.25" thickBot="1" x14ac:dyDescent="0.3">
      <c r="A25" s="226">
        <v>45946</v>
      </c>
      <c r="B25" s="227" t="s">
        <v>172</v>
      </c>
      <c r="C25" s="227" t="s">
        <v>180</v>
      </c>
      <c r="D25" s="228">
        <v>2925</v>
      </c>
      <c r="E25" s="228">
        <v>12</v>
      </c>
      <c r="F25" s="228">
        <v>266.85000000000002</v>
      </c>
      <c r="G25" s="228">
        <v>268.85000000000002</v>
      </c>
      <c r="H25" s="228">
        <v>-2</v>
      </c>
      <c r="I25" s="229">
        <v>-7.4000000000000003E-3</v>
      </c>
      <c r="J25" s="228">
        <v>266.14999999999998</v>
      </c>
      <c r="K25" s="228">
        <v>268.39999999999998</v>
      </c>
      <c r="L25" s="228">
        <v>-2.25</v>
      </c>
      <c r="M25" s="229">
        <v>-8.3999999999999995E-3</v>
      </c>
      <c r="N25" s="228">
        <v>266.85000000000002</v>
      </c>
      <c r="O25" s="228">
        <v>268.85000000000002</v>
      </c>
      <c r="P25" s="228">
        <v>-2</v>
      </c>
      <c r="Q25" s="229">
        <v>-7.4000000000000003E-3</v>
      </c>
      <c r="R25" s="228">
        <v>268.3</v>
      </c>
      <c r="S25" s="228">
        <v>270.3</v>
      </c>
      <c r="T25" s="228">
        <v>-2</v>
      </c>
      <c r="U25" s="229">
        <v>-7.4000000000000003E-3</v>
      </c>
      <c r="V25" s="228">
        <v>270</v>
      </c>
      <c r="W25" s="228">
        <v>271.60000000000002</v>
      </c>
      <c r="X25" s="228">
        <v>-1.6</v>
      </c>
      <c r="Y25" s="229">
        <v>-5.8999999999999999E-3</v>
      </c>
      <c r="Z25" s="228">
        <v>0.7</v>
      </c>
      <c r="AA25" s="228">
        <v>0.45</v>
      </c>
      <c r="AB25" s="228">
        <v>0.25</v>
      </c>
      <c r="AC25" s="229">
        <v>2.5999999999999999E-3</v>
      </c>
      <c r="AD25" s="228">
        <v>0.7</v>
      </c>
      <c r="AE25" s="228">
        <v>0.45</v>
      </c>
      <c r="AF25" s="228">
        <v>0.25</v>
      </c>
      <c r="AG25" s="229">
        <v>2.5999999999999999E-3</v>
      </c>
      <c r="AH25" s="228">
        <v>2.15</v>
      </c>
      <c r="AI25" s="228">
        <v>1.9</v>
      </c>
      <c r="AJ25" s="228">
        <v>0.25</v>
      </c>
      <c r="AK25" s="229">
        <v>8.0999999999999996E-3</v>
      </c>
      <c r="AL25" s="228">
        <v>3.85</v>
      </c>
      <c r="AM25" s="228">
        <v>3.2</v>
      </c>
      <c r="AN25" s="228">
        <v>0.65</v>
      </c>
      <c r="AO25" s="229">
        <v>1.4500000000000001E-2</v>
      </c>
      <c r="AP25" s="228">
        <v>267.63</v>
      </c>
      <c r="AQ25" s="228">
        <v>269.07</v>
      </c>
      <c r="AR25" s="228">
        <v>0</v>
      </c>
      <c r="AS25" s="228">
        <v>424</v>
      </c>
      <c r="AT25" s="228">
        <v>540</v>
      </c>
      <c r="AU25" s="228">
        <v>-116</v>
      </c>
      <c r="AV25" s="229">
        <v>-0.21490000000000001</v>
      </c>
      <c r="AW25" s="228">
        <v>370</v>
      </c>
      <c r="AX25" s="228">
        <v>454</v>
      </c>
      <c r="AY25" s="228">
        <v>-84</v>
      </c>
      <c r="AZ25" s="229">
        <v>-0.18529999999999999</v>
      </c>
      <c r="BA25" s="228">
        <v>52</v>
      </c>
      <c r="BB25" s="228">
        <v>84</v>
      </c>
      <c r="BC25" s="228">
        <v>-32</v>
      </c>
      <c r="BD25" s="229">
        <v>-0.3755</v>
      </c>
      <c r="BE25" s="228">
        <v>1</v>
      </c>
      <c r="BF25" s="228">
        <v>2</v>
      </c>
      <c r="BG25" s="228">
        <v>0</v>
      </c>
      <c r="BH25" s="229">
        <v>-0.1739</v>
      </c>
      <c r="BI25" s="228">
        <v>902</v>
      </c>
      <c r="BJ25" s="230">
        <v>1411</v>
      </c>
      <c r="BK25" s="228">
        <v>-509</v>
      </c>
      <c r="BL25" s="229">
        <v>-0.36059999999999998</v>
      </c>
      <c r="BM25" s="228">
        <v>469</v>
      </c>
      <c r="BN25" s="228">
        <v>849</v>
      </c>
      <c r="BO25" s="228">
        <v>-380</v>
      </c>
      <c r="BP25" s="229">
        <v>-0.44790000000000002</v>
      </c>
      <c r="BQ25" s="230">
        <v>1794</v>
      </c>
      <c r="BR25" s="230">
        <v>2799</v>
      </c>
      <c r="BS25" s="230">
        <v>-1005</v>
      </c>
      <c r="BT25" s="229">
        <v>-0.35899999999999999</v>
      </c>
      <c r="BU25" s="230">
        <v>7582506</v>
      </c>
      <c r="BV25" s="230">
        <v>8759913</v>
      </c>
      <c r="BW25" s="230">
        <v>-1177407</v>
      </c>
      <c r="BX25" s="229">
        <v>-0.13439999999999999</v>
      </c>
      <c r="BY25" s="230">
        <v>3309</v>
      </c>
      <c r="BZ25" s="230">
        <v>3292</v>
      </c>
      <c r="CA25" s="228">
        <v>18</v>
      </c>
      <c r="CB25" s="229">
        <v>5.4000000000000003E-3</v>
      </c>
      <c r="CC25" s="230">
        <v>3153</v>
      </c>
      <c r="CD25" s="230">
        <v>3157</v>
      </c>
      <c r="CE25" s="228">
        <v>-4</v>
      </c>
      <c r="CF25" s="229">
        <v>-1.2999999999999999E-3</v>
      </c>
      <c r="CG25" s="228">
        <v>150</v>
      </c>
      <c r="CH25" s="228">
        <v>129</v>
      </c>
      <c r="CI25" s="228">
        <v>21</v>
      </c>
      <c r="CJ25" s="229">
        <v>0.16470000000000001</v>
      </c>
      <c r="CK25" s="228">
        <v>6</v>
      </c>
      <c r="CL25" s="228">
        <v>6</v>
      </c>
      <c r="CM25" s="228">
        <v>1</v>
      </c>
      <c r="CN25" s="229">
        <v>0.125</v>
      </c>
      <c r="CO25" s="230">
        <v>1264</v>
      </c>
      <c r="CP25" s="230">
        <v>1207</v>
      </c>
      <c r="CQ25" s="228">
        <v>58</v>
      </c>
      <c r="CR25" s="229">
        <v>4.7899999999999998E-2</v>
      </c>
      <c r="CS25" s="228">
        <v>860</v>
      </c>
      <c r="CT25" s="228">
        <v>873</v>
      </c>
      <c r="CU25" s="228">
        <v>-13</v>
      </c>
      <c r="CV25" s="229">
        <v>-1.49E-2</v>
      </c>
      <c r="CW25" s="230">
        <v>5434</v>
      </c>
      <c r="CX25" s="230">
        <v>5371</v>
      </c>
      <c r="CY25" s="228">
        <v>63</v>
      </c>
      <c r="CZ25" s="229">
        <v>1.1599999999999999E-2</v>
      </c>
      <c r="DA25" s="228">
        <v>28.27</v>
      </c>
      <c r="DB25" s="228">
        <v>27.99</v>
      </c>
      <c r="DC25" s="228">
        <v>0.28000000000000003</v>
      </c>
      <c r="DD25" s="228">
        <v>0.28000000000000003</v>
      </c>
      <c r="DE25" s="228">
        <v>35.36</v>
      </c>
      <c r="DF25" s="228">
        <v>35.43</v>
      </c>
      <c r="DG25" s="228">
        <v>-7.09</v>
      </c>
      <c r="DH25" s="228">
        <v>-7.0000000000000007E-2</v>
      </c>
      <c r="DI25" s="228">
        <v>28.48</v>
      </c>
      <c r="DJ25" s="228">
        <v>27.68</v>
      </c>
      <c r="DK25" s="228">
        <v>0.8</v>
      </c>
      <c r="DL25" s="228">
        <v>0.8</v>
      </c>
      <c r="DM25" s="228">
        <v>27.86</v>
      </c>
      <c r="DN25" s="228">
        <v>28.51</v>
      </c>
      <c r="DO25" s="228">
        <v>-0.65</v>
      </c>
      <c r="DP25" s="228">
        <v>-0.65</v>
      </c>
      <c r="DQ25" s="228">
        <v>0.68</v>
      </c>
      <c r="DR25" s="228">
        <v>0.72</v>
      </c>
      <c r="DS25" s="228">
        <v>-0.04</v>
      </c>
      <c r="DT25" s="229">
        <v>-5.5599999999999997E-2</v>
      </c>
      <c r="DU25" s="228">
        <v>285</v>
      </c>
      <c r="DV25" s="228">
        <v>250</v>
      </c>
      <c r="DW25" s="228">
        <v>0.52</v>
      </c>
      <c r="DX25" s="228">
        <v>0.6</v>
      </c>
      <c r="DY25" s="228">
        <v>-0.08</v>
      </c>
      <c r="DZ25" s="229">
        <v>-0.1333</v>
      </c>
      <c r="EA25" s="229">
        <v>4.7300000000000002E-2</v>
      </c>
      <c r="EB25" s="230">
        <v>5039775</v>
      </c>
      <c r="EC25" s="229">
        <v>5.4000000000000003E-3</v>
      </c>
      <c r="ED25" s="229">
        <v>4.7300000000000002E-2</v>
      </c>
      <c r="EE25" s="228">
        <v>1.44</v>
      </c>
      <c r="EF25" s="229">
        <v>5.4000000000000003E-3</v>
      </c>
      <c r="EG25" s="230">
        <v>4296948</v>
      </c>
      <c r="EH25" s="230">
        <v>5021471</v>
      </c>
      <c r="EI25" s="229">
        <v>-0.14430000000000001</v>
      </c>
      <c r="EJ25" s="229">
        <v>0.56669999999999998</v>
      </c>
      <c r="EK25" s="228">
        <v>938.68</v>
      </c>
      <c r="EL25" s="228">
        <v>466.44</v>
      </c>
      <c r="EM25" s="228">
        <v>425.37</v>
      </c>
      <c r="EN25" s="228">
        <v>58.05</v>
      </c>
      <c r="EO25" s="231">
        <v>1830.49</v>
      </c>
      <c r="EP25" s="231">
        <v>2858.29</v>
      </c>
      <c r="EQ25" s="231">
        <v>-1027.8</v>
      </c>
      <c r="ER25" s="229">
        <v>-0.35959999999999998</v>
      </c>
      <c r="ES25" s="231">
        <v>1285.99</v>
      </c>
      <c r="ET25" s="228">
        <v>825.6</v>
      </c>
      <c r="EU25" s="231">
        <v>3310.29</v>
      </c>
      <c r="EV25" s="231">
        <v>257509827</v>
      </c>
      <c r="EW25" s="231">
        <v>5421.87</v>
      </c>
      <c r="EX25" s="231">
        <v>5378.92</v>
      </c>
      <c r="EY25" s="228">
        <v>42.95</v>
      </c>
      <c r="EZ25" s="229">
        <v>8.0000000000000002E-3</v>
      </c>
      <c r="FA25" s="229">
        <v>0.79069999999999996</v>
      </c>
      <c r="FB25" s="227" t="s">
        <v>567</v>
      </c>
      <c r="FC25">
        <f t="shared" si="0"/>
        <v>156</v>
      </c>
    </row>
    <row r="26" spans="1:159" ht="17.25" thickBot="1" x14ac:dyDescent="0.3">
      <c r="A26" s="226">
        <v>45946</v>
      </c>
      <c r="B26" s="227" t="s">
        <v>172</v>
      </c>
      <c r="C26" s="227" t="s">
        <v>602</v>
      </c>
      <c r="D26" s="228">
        <v>5200</v>
      </c>
      <c r="E26" s="228">
        <v>12</v>
      </c>
      <c r="F26" s="228">
        <v>125.76</v>
      </c>
      <c r="G26" s="228">
        <v>126.85</v>
      </c>
      <c r="H26" s="228">
        <v>-1.0900000000000001</v>
      </c>
      <c r="I26" s="229">
        <v>-8.6E-3</v>
      </c>
      <c r="J26" s="228">
        <v>125.42</v>
      </c>
      <c r="K26" s="228">
        <v>126.34</v>
      </c>
      <c r="L26" s="228">
        <v>-0.92</v>
      </c>
      <c r="M26" s="229">
        <v>-7.3000000000000001E-3</v>
      </c>
      <c r="N26" s="228">
        <v>125.76</v>
      </c>
      <c r="O26" s="228">
        <v>126.85</v>
      </c>
      <c r="P26" s="228">
        <v>-1.0900000000000001</v>
      </c>
      <c r="Q26" s="229">
        <v>-8.6E-3</v>
      </c>
      <c r="R26" s="228">
        <v>126.44</v>
      </c>
      <c r="S26" s="228">
        <v>127.52</v>
      </c>
      <c r="T26" s="228">
        <v>-1.08</v>
      </c>
      <c r="U26" s="229">
        <v>-8.5000000000000006E-3</v>
      </c>
      <c r="V26" s="228">
        <v>127.3</v>
      </c>
      <c r="W26" s="228">
        <v>128.33000000000001</v>
      </c>
      <c r="X26" s="228">
        <v>-1.03</v>
      </c>
      <c r="Y26" s="229">
        <v>-8.0000000000000002E-3</v>
      </c>
      <c r="Z26" s="228">
        <v>0.34</v>
      </c>
      <c r="AA26" s="228">
        <v>0.51</v>
      </c>
      <c r="AB26" s="228">
        <v>-0.17</v>
      </c>
      <c r="AC26" s="229">
        <v>2.7000000000000001E-3</v>
      </c>
      <c r="AD26" s="228">
        <v>0.34</v>
      </c>
      <c r="AE26" s="228">
        <v>0.51</v>
      </c>
      <c r="AF26" s="228">
        <v>-0.17</v>
      </c>
      <c r="AG26" s="229">
        <v>2.7000000000000001E-3</v>
      </c>
      <c r="AH26" s="228">
        <v>1.02</v>
      </c>
      <c r="AI26" s="228">
        <v>1.18</v>
      </c>
      <c r="AJ26" s="228">
        <v>-0.16</v>
      </c>
      <c r="AK26" s="229">
        <v>8.0999999999999996E-3</v>
      </c>
      <c r="AL26" s="228">
        <v>1.88</v>
      </c>
      <c r="AM26" s="228">
        <v>1.99</v>
      </c>
      <c r="AN26" s="228">
        <v>-0.11</v>
      </c>
      <c r="AO26" s="229">
        <v>1.4999999999999999E-2</v>
      </c>
      <c r="AP26" s="228">
        <v>126.42</v>
      </c>
      <c r="AQ26" s="228">
        <v>126.99</v>
      </c>
      <c r="AR26" s="228">
        <v>0</v>
      </c>
      <c r="AS26" s="228">
        <v>175</v>
      </c>
      <c r="AT26" s="228">
        <v>178</v>
      </c>
      <c r="AU26" s="228">
        <v>-3</v>
      </c>
      <c r="AV26" s="229">
        <v>-1.6899999999999998E-2</v>
      </c>
      <c r="AW26" s="228">
        <v>153</v>
      </c>
      <c r="AX26" s="228">
        <v>144</v>
      </c>
      <c r="AY26" s="228">
        <v>8</v>
      </c>
      <c r="AZ26" s="229">
        <v>5.8500000000000003E-2</v>
      </c>
      <c r="BA26" s="228">
        <v>21</v>
      </c>
      <c r="BB26" s="228">
        <v>31</v>
      </c>
      <c r="BC26" s="228">
        <v>-10</v>
      </c>
      <c r="BD26" s="229">
        <v>-0.32219999999999999</v>
      </c>
      <c r="BE26" s="228">
        <v>1</v>
      </c>
      <c r="BF26" s="228">
        <v>3</v>
      </c>
      <c r="BG26" s="228">
        <v>-1</v>
      </c>
      <c r="BH26" s="229">
        <v>-0.52500000000000002</v>
      </c>
      <c r="BI26" s="228">
        <v>205</v>
      </c>
      <c r="BJ26" s="228">
        <v>226</v>
      </c>
      <c r="BK26" s="228">
        <v>-20</v>
      </c>
      <c r="BL26" s="229">
        <v>-8.9300000000000004E-2</v>
      </c>
      <c r="BM26" s="228">
        <v>67</v>
      </c>
      <c r="BN26" s="228">
        <v>66</v>
      </c>
      <c r="BO26" s="228">
        <v>1</v>
      </c>
      <c r="BP26" s="229">
        <v>9.9000000000000008E-3</v>
      </c>
      <c r="BQ26" s="228">
        <v>447</v>
      </c>
      <c r="BR26" s="228">
        <v>470</v>
      </c>
      <c r="BS26" s="228">
        <v>-22</v>
      </c>
      <c r="BT26" s="229">
        <v>-4.7899999999999998E-2</v>
      </c>
      <c r="BU26" s="230">
        <v>5203637</v>
      </c>
      <c r="BV26" s="230">
        <v>6708235</v>
      </c>
      <c r="BW26" s="230">
        <v>-1504598</v>
      </c>
      <c r="BX26" s="229">
        <v>-0.2243</v>
      </c>
      <c r="BY26" s="228">
        <v>885</v>
      </c>
      <c r="BZ26" s="228">
        <v>883</v>
      </c>
      <c r="CA26" s="228">
        <v>2</v>
      </c>
      <c r="CB26" s="229">
        <v>2.3999999999999998E-3</v>
      </c>
      <c r="CC26" s="228">
        <v>815</v>
      </c>
      <c r="CD26" s="228">
        <v>823</v>
      </c>
      <c r="CE26" s="228">
        <v>-7</v>
      </c>
      <c r="CF26" s="229">
        <v>-8.8000000000000005E-3</v>
      </c>
      <c r="CG26" s="228">
        <v>64</v>
      </c>
      <c r="CH26" s="228">
        <v>55</v>
      </c>
      <c r="CI26" s="228">
        <v>9</v>
      </c>
      <c r="CJ26" s="229">
        <v>0.15720000000000001</v>
      </c>
      <c r="CK26" s="228">
        <v>6</v>
      </c>
      <c r="CL26" s="228">
        <v>5</v>
      </c>
      <c r="CM26" s="228">
        <v>1</v>
      </c>
      <c r="CN26" s="229">
        <v>0.12659999999999999</v>
      </c>
      <c r="CO26" s="228">
        <v>397</v>
      </c>
      <c r="CP26" s="228">
        <v>398</v>
      </c>
      <c r="CQ26" s="228">
        <v>0</v>
      </c>
      <c r="CR26" s="229">
        <v>-1.1999999999999999E-3</v>
      </c>
      <c r="CS26" s="228">
        <v>218</v>
      </c>
      <c r="CT26" s="228">
        <v>212</v>
      </c>
      <c r="CU26" s="228">
        <v>6</v>
      </c>
      <c r="CV26" s="229">
        <v>2.7400000000000001E-2</v>
      </c>
      <c r="CW26" s="230">
        <v>1501</v>
      </c>
      <c r="CX26" s="230">
        <v>1493</v>
      </c>
      <c r="CY26" s="228">
        <v>7</v>
      </c>
      <c r="CZ26" s="229">
        <v>5.0000000000000001E-3</v>
      </c>
      <c r="DA26" s="228">
        <v>33.68</v>
      </c>
      <c r="DB26" s="228">
        <v>31.67</v>
      </c>
      <c r="DC26" s="228">
        <v>2.0099999999999998</v>
      </c>
      <c r="DD26" s="228">
        <v>2.0099999999999998</v>
      </c>
      <c r="DE26" s="228">
        <v>39.33</v>
      </c>
      <c r="DF26" s="228">
        <v>39.409999999999997</v>
      </c>
      <c r="DG26" s="228">
        <v>-5.65</v>
      </c>
      <c r="DH26" s="228">
        <v>-0.08</v>
      </c>
      <c r="DI26" s="228">
        <v>33.82</v>
      </c>
      <c r="DJ26" s="228">
        <v>31.62</v>
      </c>
      <c r="DK26" s="228">
        <v>2.2000000000000002</v>
      </c>
      <c r="DL26" s="228">
        <v>2.2000000000000002</v>
      </c>
      <c r="DM26" s="228">
        <v>33.22</v>
      </c>
      <c r="DN26" s="228">
        <v>31.85</v>
      </c>
      <c r="DO26" s="228">
        <v>1.37</v>
      </c>
      <c r="DP26" s="228">
        <v>1.37</v>
      </c>
      <c r="DQ26" s="228">
        <v>0.55000000000000004</v>
      </c>
      <c r="DR26" s="228">
        <v>0.53</v>
      </c>
      <c r="DS26" s="228">
        <v>0.02</v>
      </c>
      <c r="DT26" s="229">
        <v>3.7699999999999997E-2</v>
      </c>
      <c r="DU26" s="228">
        <v>130</v>
      </c>
      <c r="DV26" s="228">
        <v>125</v>
      </c>
      <c r="DW26" s="228">
        <v>0.32</v>
      </c>
      <c r="DX26" s="228">
        <v>0.28999999999999998</v>
      </c>
      <c r="DY26" s="228">
        <v>0.03</v>
      </c>
      <c r="DZ26" s="229">
        <v>0.10340000000000001</v>
      </c>
      <c r="EA26" s="229">
        <v>7.8899999999999998E-2</v>
      </c>
      <c r="EB26" s="230">
        <v>4810000</v>
      </c>
      <c r="EC26" s="229">
        <v>5.4000000000000003E-3</v>
      </c>
      <c r="ED26" s="229">
        <v>7.8899999999999998E-2</v>
      </c>
      <c r="EE26" s="228">
        <v>0.56999999999999995</v>
      </c>
      <c r="EF26" s="229">
        <v>4.4999999999999997E-3</v>
      </c>
      <c r="EG26" s="230">
        <v>2279132</v>
      </c>
      <c r="EH26" s="230">
        <v>3456079</v>
      </c>
      <c r="EI26" s="229">
        <v>-0.34050000000000002</v>
      </c>
      <c r="EJ26" s="229">
        <v>0.438</v>
      </c>
      <c r="EK26" s="228">
        <v>214.81</v>
      </c>
      <c r="EL26" s="228">
        <v>67.37</v>
      </c>
      <c r="EM26" s="228">
        <v>176.1</v>
      </c>
      <c r="EN26" s="228">
        <v>22.17</v>
      </c>
      <c r="EO26" s="228">
        <v>458.27</v>
      </c>
      <c r="EP26" s="228">
        <v>480.69</v>
      </c>
      <c r="EQ26" s="228">
        <v>-22.42</v>
      </c>
      <c r="ER26" s="229">
        <v>-4.6600000000000003E-2</v>
      </c>
      <c r="ES26" s="228">
        <v>408.96</v>
      </c>
      <c r="ET26" s="228">
        <v>207.53</v>
      </c>
      <c r="EU26" s="228">
        <v>885.74</v>
      </c>
      <c r="EV26" s="231">
        <v>181770921</v>
      </c>
      <c r="EW26" s="231">
        <v>1502.23</v>
      </c>
      <c r="EX26" s="231">
        <v>1502.57</v>
      </c>
      <c r="EY26" s="228">
        <v>-0.34</v>
      </c>
      <c r="EZ26" s="229">
        <v>-2.0000000000000001E-4</v>
      </c>
      <c r="FA26" s="229">
        <v>0.65649999999999997</v>
      </c>
      <c r="FB26" s="227" t="s">
        <v>567</v>
      </c>
      <c r="FC26">
        <f t="shared" si="0"/>
        <v>70</v>
      </c>
    </row>
    <row r="27" spans="1:159" ht="17.25" thickBot="1" x14ac:dyDescent="0.3">
      <c r="A27" s="226">
        <v>45946</v>
      </c>
      <c r="B27" s="227" t="s">
        <v>181</v>
      </c>
      <c r="C27" s="227" t="s">
        <v>182</v>
      </c>
      <c r="D27" s="228">
        <v>35</v>
      </c>
      <c r="E27" s="228">
        <v>12</v>
      </c>
      <c r="F27" s="231">
        <v>57486.2</v>
      </c>
      <c r="G27" s="231">
        <v>56987.199999999997</v>
      </c>
      <c r="H27" s="228">
        <v>499</v>
      </c>
      <c r="I27" s="229">
        <v>8.8000000000000005E-3</v>
      </c>
      <c r="J27" s="231">
        <v>57422.55</v>
      </c>
      <c r="K27" s="231">
        <v>56799.9</v>
      </c>
      <c r="L27" s="228">
        <v>622.65</v>
      </c>
      <c r="M27" s="229">
        <v>1.0999999999999999E-2</v>
      </c>
      <c r="N27" s="231">
        <v>57486.2</v>
      </c>
      <c r="O27" s="231">
        <v>56987.199999999997</v>
      </c>
      <c r="P27" s="228">
        <v>499</v>
      </c>
      <c r="Q27" s="229">
        <v>8.8000000000000005E-3</v>
      </c>
      <c r="R27" s="231">
        <v>57784.800000000003</v>
      </c>
      <c r="S27" s="231">
        <v>57274.6</v>
      </c>
      <c r="T27" s="228">
        <v>510.2</v>
      </c>
      <c r="U27" s="229">
        <v>8.8999999999999999E-3</v>
      </c>
      <c r="V27" s="231">
        <v>58111.4</v>
      </c>
      <c r="W27" s="231">
        <v>57624.800000000003</v>
      </c>
      <c r="X27" s="228">
        <v>486.6</v>
      </c>
      <c r="Y27" s="229">
        <v>8.3999999999999995E-3</v>
      </c>
      <c r="Z27" s="228">
        <v>63.65</v>
      </c>
      <c r="AA27" s="228">
        <v>187.3</v>
      </c>
      <c r="AB27" s="228">
        <v>-123.65</v>
      </c>
      <c r="AC27" s="229">
        <v>1.1000000000000001E-3</v>
      </c>
      <c r="AD27" s="228">
        <v>63.65</v>
      </c>
      <c r="AE27" s="228">
        <v>187.3</v>
      </c>
      <c r="AF27" s="228">
        <v>-123.65</v>
      </c>
      <c r="AG27" s="229">
        <v>1.1000000000000001E-3</v>
      </c>
      <c r="AH27" s="228">
        <v>362.25</v>
      </c>
      <c r="AI27" s="228">
        <v>474.7</v>
      </c>
      <c r="AJ27" s="228">
        <v>-112.45</v>
      </c>
      <c r="AK27" s="229">
        <v>6.3E-3</v>
      </c>
      <c r="AL27" s="228">
        <v>688.85</v>
      </c>
      <c r="AM27" s="228">
        <v>824.9</v>
      </c>
      <c r="AN27" s="228">
        <v>-136.05000000000001</v>
      </c>
      <c r="AO27" s="229">
        <v>1.2E-2</v>
      </c>
      <c r="AP27" s="231">
        <v>57363.01</v>
      </c>
      <c r="AQ27" s="231">
        <v>57667.78</v>
      </c>
      <c r="AR27" s="228">
        <v>0</v>
      </c>
      <c r="AS27" s="230">
        <v>6979</v>
      </c>
      <c r="AT27" s="230">
        <v>4932</v>
      </c>
      <c r="AU27" s="230">
        <v>2048</v>
      </c>
      <c r="AV27" s="229">
        <v>0.41520000000000001</v>
      </c>
      <c r="AW27" s="230">
        <v>5799</v>
      </c>
      <c r="AX27" s="230">
        <v>4322</v>
      </c>
      <c r="AY27" s="230">
        <v>1477</v>
      </c>
      <c r="AZ27" s="229">
        <v>0.3417</v>
      </c>
      <c r="BA27" s="228">
        <v>790</v>
      </c>
      <c r="BB27" s="228">
        <v>433</v>
      </c>
      <c r="BC27" s="228">
        <v>357</v>
      </c>
      <c r="BD27" s="229">
        <v>0.82310000000000005</v>
      </c>
      <c r="BE27" s="228">
        <v>390</v>
      </c>
      <c r="BF27" s="228">
        <v>176</v>
      </c>
      <c r="BG27" s="228">
        <v>214</v>
      </c>
      <c r="BH27" s="229">
        <v>1.216</v>
      </c>
      <c r="BI27" s="230">
        <v>455928</v>
      </c>
      <c r="BJ27" s="230">
        <v>358298</v>
      </c>
      <c r="BK27" s="230">
        <v>97630</v>
      </c>
      <c r="BL27" s="229">
        <v>0.27250000000000002</v>
      </c>
      <c r="BM27" s="230">
        <v>398511</v>
      </c>
      <c r="BN27" s="230">
        <v>310748</v>
      </c>
      <c r="BO27" s="230">
        <v>87762</v>
      </c>
      <c r="BP27" s="229">
        <v>0.28239999999999998</v>
      </c>
      <c r="BQ27" s="230">
        <v>861418</v>
      </c>
      <c r="BR27" s="230">
        <v>673978</v>
      </c>
      <c r="BS27" s="230">
        <v>187440</v>
      </c>
      <c r="BT27" s="229">
        <v>0.27810000000000001</v>
      </c>
      <c r="BU27" s="228">
        <v>0</v>
      </c>
      <c r="BV27" s="228">
        <v>0</v>
      </c>
      <c r="BW27" s="228">
        <v>0</v>
      </c>
      <c r="BX27" s="229">
        <v>0</v>
      </c>
      <c r="BY27" s="230">
        <v>11402</v>
      </c>
      <c r="BZ27" s="230">
        <v>11196</v>
      </c>
      <c r="CA27" s="228">
        <v>206</v>
      </c>
      <c r="CB27" s="229">
        <v>1.84E-2</v>
      </c>
      <c r="CC27" s="230">
        <v>9732</v>
      </c>
      <c r="CD27" s="230">
        <v>9742</v>
      </c>
      <c r="CE27" s="228">
        <v>-10</v>
      </c>
      <c r="CF27" s="229">
        <v>-1E-3</v>
      </c>
      <c r="CG27" s="230">
        <v>1235</v>
      </c>
      <c r="CH27" s="230">
        <v>1136</v>
      </c>
      <c r="CI27" s="228">
        <v>100</v>
      </c>
      <c r="CJ27" s="229">
        <v>8.7900000000000006E-2</v>
      </c>
      <c r="CK27" s="228">
        <v>434</v>
      </c>
      <c r="CL27" s="228">
        <v>318</v>
      </c>
      <c r="CM27" s="228">
        <v>116</v>
      </c>
      <c r="CN27" s="229">
        <v>0.36670000000000003</v>
      </c>
      <c r="CO27" s="230">
        <v>113553</v>
      </c>
      <c r="CP27" s="230">
        <v>115344</v>
      </c>
      <c r="CQ27" s="230">
        <v>-1791</v>
      </c>
      <c r="CR27" s="229">
        <v>-1.55E-2</v>
      </c>
      <c r="CS27" s="230">
        <v>134467</v>
      </c>
      <c r="CT27" s="230">
        <v>126780</v>
      </c>
      <c r="CU27" s="230">
        <v>7687</v>
      </c>
      <c r="CV27" s="229">
        <v>6.0600000000000001E-2</v>
      </c>
      <c r="CW27" s="230">
        <v>259421</v>
      </c>
      <c r="CX27" s="230">
        <v>253319</v>
      </c>
      <c r="CY27" s="230">
        <v>6103</v>
      </c>
      <c r="CZ27" s="229">
        <v>2.41E-2</v>
      </c>
      <c r="DA27" s="228">
        <v>12.81</v>
      </c>
      <c r="DB27" s="228">
        <v>12.02</v>
      </c>
      <c r="DC27" s="228">
        <v>0.79</v>
      </c>
      <c r="DD27" s="228">
        <v>0.79</v>
      </c>
      <c r="DE27" s="228">
        <v>17.23</v>
      </c>
      <c r="DF27" s="228">
        <v>17.21</v>
      </c>
      <c r="DG27" s="228">
        <v>-4.42</v>
      </c>
      <c r="DH27" s="228">
        <v>0.02</v>
      </c>
      <c r="DI27" s="228">
        <v>11.31</v>
      </c>
      <c r="DJ27" s="228">
        <v>10.75</v>
      </c>
      <c r="DK27" s="228">
        <v>0.56000000000000005</v>
      </c>
      <c r="DL27" s="228">
        <v>0.56000000000000005</v>
      </c>
      <c r="DM27" s="228">
        <v>14.53</v>
      </c>
      <c r="DN27" s="228">
        <v>13.48</v>
      </c>
      <c r="DO27" s="228">
        <v>1.05</v>
      </c>
      <c r="DP27" s="228">
        <v>1.05</v>
      </c>
      <c r="DQ27" s="228">
        <v>1.18</v>
      </c>
      <c r="DR27" s="228">
        <v>1.1000000000000001</v>
      </c>
      <c r="DS27" s="228">
        <v>0.08</v>
      </c>
      <c r="DT27" s="229">
        <v>7.2700000000000001E-2</v>
      </c>
      <c r="DU27" s="231">
        <v>57000</v>
      </c>
      <c r="DV27" s="231">
        <v>57000</v>
      </c>
      <c r="DW27" s="228">
        <v>0.87</v>
      </c>
      <c r="DX27" s="228">
        <v>0.87</v>
      </c>
      <c r="DY27" s="228">
        <v>0</v>
      </c>
      <c r="DZ27" s="229">
        <v>0</v>
      </c>
      <c r="EA27" s="229">
        <v>0.1464</v>
      </c>
      <c r="EB27" s="230">
        <v>252805</v>
      </c>
      <c r="EC27" s="229">
        <v>5.1999999999999998E-3</v>
      </c>
      <c r="ED27" s="229">
        <v>0.1464</v>
      </c>
      <c r="EE27" s="228">
        <v>304.77</v>
      </c>
      <c r="EF27" s="229">
        <v>5.3E-3</v>
      </c>
      <c r="EG27" s="228">
        <v>0</v>
      </c>
      <c r="EH27" s="228">
        <v>0</v>
      </c>
      <c r="EI27" s="229">
        <v>0</v>
      </c>
      <c r="EJ27" s="229">
        <v>0</v>
      </c>
      <c r="EK27" s="231">
        <v>462926.9</v>
      </c>
      <c r="EL27" s="231">
        <v>386772.28</v>
      </c>
      <c r="EM27" s="231">
        <v>6972.82</v>
      </c>
      <c r="EN27" s="228">
        <v>0</v>
      </c>
      <c r="EO27" s="231">
        <v>856672.01</v>
      </c>
      <c r="EP27" s="231">
        <v>666876.14</v>
      </c>
      <c r="EQ27" s="231">
        <v>189795.87</v>
      </c>
      <c r="ER27" s="229">
        <v>0.28460000000000002</v>
      </c>
      <c r="ES27" s="231">
        <v>114090.43</v>
      </c>
      <c r="ET27" s="231">
        <v>128296.01</v>
      </c>
      <c r="EU27" s="231">
        <v>11413.04</v>
      </c>
      <c r="EV27" s="228">
        <v>0</v>
      </c>
      <c r="EW27" s="231">
        <v>253799.48</v>
      </c>
      <c r="EX27" s="231">
        <v>247221.29</v>
      </c>
      <c r="EY27" s="231">
        <v>6578.19</v>
      </c>
      <c r="EZ27" s="229">
        <v>2.6599999999999999E-2</v>
      </c>
      <c r="FA27" s="229">
        <v>0</v>
      </c>
      <c r="FB27" s="227" t="s">
        <v>555</v>
      </c>
      <c r="FC27">
        <f t="shared" si="0"/>
        <v>1670</v>
      </c>
    </row>
    <row r="28" spans="1:159" ht="17.25" thickBot="1" x14ac:dyDescent="0.3">
      <c r="A28" s="226">
        <v>45946</v>
      </c>
      <c r="B28" s="227" t="s">
        <v>184</v>
      </c>
      <c r="C28" s="227" t="s">
        <v>672</v>
      </c>
      <c r="D28" s="228">
        <v>325</v>
      </c>
      <c r="E28" s="228">
        <v>12</v>
      </c>
      <c r="F28" s="231">
        <v>1510.3</v>
      </c>
      <c r="G28" s="231">
        <v>1507</v>
      </c>
      <c r="H28" s="228">
        <v>3.3</v>
      </c>
      <c r="I28" s="229">
        <v>2.2000000000000001E-3</v>
      </c>
      <c r="J28" s="231">
        <v>1504.9</v>
      </c>
      <c r="K28" s="231">
        <v>1500.9</v>
      </c>
      <c r="L28" s="228">
        <v>4</v>
      </c>
      <c r="M28" s="229">
        <v>2.7000000000000001E-3</v>
      </c>
      <c r="N28" s="231">
        <v>1510.3</v>
      </c>
      <c r="O28" s="231">
        <v>1507</v>
      </c>
      <c r="P28" s="228">
        <v>3.3</v>
      </c>
      <c r="Q28" s="229">
        <v>2.2000000000000001E-3</v>
      </c>
      <c r="R28" s="231">
        <v>1518.6</v>
      </c>
      <c r="S28" s="231">
        <v>1515.5</v>
      </c>
      <c r="T28" s="228">
        <v>3.1</v>
      </c>
      <c r="U28" s="229">
        <v>2E-3</v>
      </c>
      <c r="V28" s="231">
        <v>1529.7</v>
      </c>
      <c r="W28" s="231">
        <v>1525.3</v>
      </c>
      <c r="X28" s="228">
        <v>4.4000000000000004</v>
      </c>
      <c r="Y28" s="229">
        <v>2.8999999999999998E-3</v>
      </c>
      <c r="Z28" s="228">
        <v>5.4</v>
      </c>
      <c r="AA28" s="228">
        <v>6.1</v>
      </c>
      <c r="AB28" s="228">
        <v>-0.7</v>
      </c>
      <c r="AC28" s="229">
        <v>3.5999999999999999E-3</v>
      </c>
      <c r="AD28" s="228">
        <v>5.4</v>
      </c>
      <c r="AE28" s="228">
        <v>6.1</v>
      </c>
      <c r="AF28" s="228">
        <v>-0.7</v>
      </c>
      <c r="AG28" s="229">
        <v>3.5999999999999999E-3</v>
      </c>
      <c r="AH28" s="228">
        <v>13.7</v>
      </c>
      <c r="AI28" s="228">
        <v>14.6</v>
      </c>
      <c r="AJ28" s="228">
        <v>-0.9</v>
      </c>
      <c r="AK28" s="229">
        <v>9.1000000000000004E-3</v>
      </c>
      <c r="AL28" s="228">
        <v>24.8</v>
      </c>
      <c r="AM28" s="228">
        <v>24.4</v>
      </c>
      <c r="AN28" s="228">
        <v>0.4</v>
      </c>
      <c r="AO28" s="229">
        <v>1.6500000000000001E-2</v>
      </c>
      <c r="AP28" s="231">
        <v>1507.48</v>
      </c>
      <c r="AQ28" s="231">
        <v>1514.59</v>
      </c>
      <c r="AR28" s="228">
        <v>0</v>
      </c>
      <c r="AS28" s="228">
        <v>98</v>
      </c>
      <c r="AT28" s="228">
        <v>117</v>
      </c>
      <c r="AU28" s="228">
        <v>-19</v>
      </c>
      <c r="AV28" s="229">
        <v>-0.16389999999999999</v>
      </c>
      <c r="AW28" s="228">
        <v>74</v>
      </c>
      <c r="AX28" s="228">
        <v>102</v>
      </c>
      <c r="AY28" s="228">
        <v>-29</v>
      </c>
      <c r="AZ28" s="229">
        <v>-0.2787</v>
      </c>
      <c r="BA28" s="228">
        <v>23</v>
      </c>
      <c r="BB28" s="228">
        <v>13</v>
      </c>
      <c r="BC28" s="228">
        <v>10</v>
      </c>
      <c r="BD28" s="229">
        <v>0.75190000000000001</v>
      </c>
      <c r="BE28" s="228">
        <v>1</v>
      </c>
      <c r="BF28" s="228">
        <v>1</v>
      </c>
      <c r="BG28" s="228">
        <v>0</v>
      </c>
      <c r="BH28" s="229">
        <v>-0.1724</v>
      </c>
      <c r="BI28" s="228">
        <v>461</v>
      </c>
      <c r="BJ28" s="228">
        <v>478</v>
      </c>
      <c r="BK28" s="228">
        <v>-17</v>
      </c>
      <c r="BL28" s="229">
        <v>-3.5200000000000002E-2</v>
      </c>
      <c r="BM28" s="228">
        <v>111</v>
      </c>
      <c r="BN28" s="228">
        <v>160</v>
      </c>
      <c r="BO28" s="228">
        <v>-49</v>
      </c>
      <c r="BP28" s="229">
        <v>-0.30370000000000003</v>
      </c>
      <c r="BQ28" s="228">
        <v>670</v>
      </c>
      <c r="BR28" s="228">
        <v>755</v>
      </c>
      <c r="BS28" s="228">
        <v>-85</v>
      </c>
      <c r="BT28" s="229">
        <v>-0.112</v>
      </c>
      <c r="BU28" s="230">
        <v>699615</v>
      </c>
      <c r="BV28" s="230">
        <v>740306</v>
      </c>
      <c r="BW28" s="230">
        <v>-40691</v>
      </c>
      <c r="BX28" s="229">
        <v>-5.5E-2</v>
      </c>
      <c r="BY28" s="228">
        <v>696</v>
      </c>
      <c r="BZ28" s="228">
        <v>688</v>
      </c>
      <c r="CA28" s="228">
        <v>8</v>
      </c>
      <c r="CB28" s="229">
        <v>1.1299999999999999E-2</v>
      </c>
      <c r="CC28" s="228">
        <v>630</v>
      </c>
      <c r="CD28" s="228">
        <v>634</v>
      </c>
      <c r="CE28" s="228">
        <v>-3</v>
      </c>
      <c r="CF28" s="229">
        <v>-5.0000000000000001E-3</v>
      </c>
      <c r="CG28" s="228">
        <v>58</v>
      </c>
      <c r="CH28" s="228">
        <v>48</v>
      </c>
      <c r="CI28" s="228">
        <v>10</v>
      </c>
      <c r="CJ28" s="229">
        <v>0.21010000000000001</v>
      </c>
      <c r="CK28" s="228">
        <v>8</v>
      </c>
      <c r="CL28" s="228">
        <v>7</v>
      </c>
      <c r="CM28" s="228">
        <v>1</v>
      </c>
      <c r="CN28" s="229">
        <v>0.1338</v>
      </c>
      <c r="CO28" s="228">
        <v>559</v>
      </c>
      <c r="CP28" s="228">
        <v>563</v>
      </c>
      <c r="CQ28" s="228">
        <v>-4</v>
      </c>
      <c r="CR28" s="229">
        <v>-6.7999999999999996E-3</v>
      </c>
      <c r="CS28" s="228">
        <v>325</v>
      </c>
      <c r="CT28" s="228">
        <v>318</v>
      </c>
      <c r="CU28" s="228">
        <v>7</v>
      </c>
      <c r="CV28" s="229">
        <v>2.1100000000000001E-2</v>
      </c>
      <c r="CW28" s="230">
        <v>1580</v>
      </c>
      <c r="CX28" s="230">
        <v>1570</v>
      </c>
      <c r="CY28" s="228">
        <v>11</v>
      </c>
      <c r="CZ28" s="229">
        <v>6.7999999999999996E-3</v>
      </c>
      <c r="DA28" s="228">
        <v>32.380000000000003</v>
      </c>
      <c r="DB28" s="228">
        <v>34.22</v>
      </c>
      <c r="DC28" s="228">
        <v>-1.84</v>
      </c>
      <c r="DD28" s="228">
        <v>-1.84</v>
      </c>
      <c r="DE28" s="228">
        <v>52.91</v>
      </c>
      <c r="DF28" s="228">
        <v>53.04</v>
      </c>
      <c r="DG28" s="228">
        <v>-20.53</v>
      </c>
      <c r="DH28" s="228">
        <v>-0.13</v>
      </c>
      <c r="DI28" s="228">
        <v>32.729999999999997</v>
      </c>
      <c r="DJ28" s="228">
        <v>34.6</v>
      </c>
      <c r="DK28" s="228">
        <v>-1.87</v>
      </c>
      <c r="DL28" s="228">
        <v>-1.87</v>
      </c>
      <c r="DM28" s="228">
        <v>30.95</v>
      </c>
      <c r="DN28" s="228">
        <v>33.08</v>
      </c>
      <c r="DO28" s="228">
        <v>-2.13</v>
      </c>
      <c r="DP28" s="228">
        <v>-2.13</v>
      </c>
      <c r="DQ28" s="228">
        <v>0.57999999999999996</v>
      </c>
      <c r="DR28" s="228">
        <v>0.56999999999999995</v>
      </c>
      <c r="DS28" s="228">
        <v>0.01</v>
      </c>
      <c r="DT28" s="229">
        <v>1.7500000000000002E-2</v>
      </c>
      <c r="DU28" s="231">
        <v>1600</v>
      </c>
      <c r="DV28" s="231">
        <v>1450</v>
      </c>
      <c r="DW28" s="228">
        <v>0.24</v>
      </c>
      <c r="DX28" s="228">
        <v>0.33</v>
      </c>
      <c r="DY28" s="228">
        <v>-0.09</v>
      </c>
      <c r="DZ28" s="229">
        <v>-0.2727</v>
      </c>
      <c r="EA28" s="229">
        <v>9.4200000000000006E-2</v>
      </c>
      <c r="EB28" s="230">
        <v>361725</v>
      </c>
      <c r="EC28" s="229">
        <v>5.4999999999999997E-3</v>
      </c>
      <c r="ED28" s="229">
        <v>9.4200000000000006E-2</v>
      </c>
      <c r="EE28" s="228">
        <v>7.11</v>
      </c>
      <c r="EF28" s="229">
        <v>4.7000000000000002E-3</v>
      </c>
      <c r="EG28" s="230">
        <v>233312</v>
      </c>
      <c r="EH28" s="230">
        <v>237344</v>
      </c>
      <c r="EI28" s="229">
        <v>-1.7000000000000001E-2</v>
      </c>
      <c r="EJ28" s="229">
        <v>0.33350000000000002</v>
      </c>
      <c r="EK28" s="228">
        <v>485.03</v>
      </c>
      <c r="EL28" s="228">
        <v>111.41</v>
      </c>
      <c r="EM28" s="228">
        <v>97.57</v>
      </c>
      <c r="EN28" s="228">
        <v>27.02</v>
      </c>
      <c r="EO28" s="228">
        <v>694.01</v>
      </c>
      <c r="EP28" s="228">
        <v>780.09</v>
      </c>
      <c r="EQ28" s="228">
        <v>-86.09</v>
      </c>
      <c r="ER28" s="229">
        <v>-0.1104</v>
      </c>
      <c r="ES28" s="228">
        <v>598.34</v>
      </c>
      <c r="ET28" s="228">
        <v>322.10000000000002</v>
      </c>
      <c r="EU28" s="228">
        <v>696.39</v>
      </c>
      <c r="EV28" s="231">
        <v>13786716</v>
      </c>
      <c r="EW28" s="231">
        <v>1616.83</v>
      </c>
      <c r="EX28" s="231">
        <v>1606.01</v>
      </c>
      <c r="EY28" s="228">
        <v>10.82</v>
      </c>
      <c r="EZ28" s="229">
        <v>6.7000000000000002E-3</v>
      </c>
      <c r="FA28" s="229">
        <v>0.75900000000000001</v>
      </c>
      <c r="FB28" s="227" t="s">
        <v>555</v>
      </c>
      <c r="FC28">
        <f t="shared" si="0"/>
        <v>66</v>
      </c>
    </row>
    <row r="29" spans="1:159" s="195" customFormat="1" ht="17.25" thickBot="1" x14ac:dyDescent="0.3">
      <c r="A29" s="226">
        <v>45946</v>
      </c>
      <c r="B29" s="227" t="s">
        <v>184</v>
      </c>
      <c r="C29" s="227" t="s">
        <v>185</v>
      </c>
      <c r="D29" s="228">
        <v>2850</v>
      </c>
      <c r="E29" s="228">
        <v>12</v>
      </c>
      <c r="F29" s="228">
        <v>413.45</v>
      </c>
      <c r="G29" s="228">
        <v>409.95</v>
      </c>
      <c r="H29" s="228">
        <v>3.5</v>
      </c>
      <c r="I29" s="229">
        <v>8.5000000000000006E-3</v>
      </c>
      <c r="J29" s="228">
        <v>411.8</v>
      </c>
      <c r="K29" s="228">
        <v>408.1</v>
      </c>
      <c r="L29" s="228">
        <v>3.7</v>
      </c>
      <c r="M29" s="229">
        <v>9.1000000000000004E-3</v>
      </c>
      <c r="N29" s="228">
        <v>413.45</v>
      </c>
      <c r="O29" s="228">
        <v>409.95</v>
      </c>
      <c r="P29" s="228">
        <v>3.5</v>
      </c>
      <c r="Q29" s="229">
        <v>8.5000000000000006E-3</v>
      </c>
      <c r="R29" s="228">
        <v>415.6</v>
      </c>
      <c r="S29" s="228">
        <v>412.05</v>
      </c>
      <c r="T29" s="228">
        <v>3.55</v>
      </c>
      <c r="U29" s="229">
        <v>8.6E-3</v>
      </c>
      <c r="V29" s="228">
        <v>418.1</v>
      </c>
      <c r="W29" s="228">
        <v>414.7</v>
      </c>
      <c r="X29" s="228">
        <v>3.4</v>
      </c>
      <c r="Y29" s="229">
        <v>8.2000000000000007E-3</v>
      </c>
      <c r="Z29" s="228">
        <v>1.65</v>
      </c>
      <c r="AA29" s="228">
        <v>1.85</v>
      </c>
      <c r="AB29" s="228">
        <v>-0.2</v>
      </c>
      <c r="AC29" s="229">
        <v>4.0000000000000001E-3</v>
      </c>
      <c r="AD29" s="228">
        <v>1.65</v>
      </c>
      <c r="AE29" s="228">
        <v>1.85</v>
      </c>
      <c r="AF29" s="228">
        <v>-0.2</v>
      </c>
      <c r="AG29" s="229">
        <v>4.0000000000000001E-3</v>
      </c>
      <c r="AH29" s="228">
        <v>3.8</v>
      </c>
      <c r="AI29" s="228">
        <v>3.95</v>
      </c>
      <c r="AJ29" s="228">
        <v>-0.15</v>
      </c>
      <c r="AK29" s="229">
        <v>9.1999999999999998E-3</v>
      </c>
      <c r="AL29" s="228">
        <v>6.3</v>
      </c>
      <c r="AM29" s="228">
        <v>6.6</v>
      </c>
      <c r="AN29" s="228">
        <v>-0.3</v>
      </c>
      <c r="AO29" s="229">
        <v>1.5299999999999999E-2</v>
      </c>
      <c r="AP29" s="228">
        <v>413.23</v>
      </c>
      <c r="AQ29" s="228">
        <v>415.3</v>
      </c>
      <c r="AR29" s="228">
        <v>0</v>
      </c>
      <c r="AS29" s="228">
        <v>784</v>
      </c>
      <c r="AT29" s="228">
        <v>857</v>
      </c>
      <c r="AU29" s="228">
        <v>-73</v>
      </c>
      <c r="AV29" s="229">
        <v>-8.5199999999999998E-2</v>
      </c>
      <c r="AW29" s="228">
        <v>631</v>
      </c>
      <c r="AX29" s="228">
        <v>700</v>
      </c>
      <c r="AY29" s="228">
        <v>-68</v>
      </c>
      <c r="AZ29" s="229">
        <v>-9.7799999999999998E-2</v>
      </c>
      <c r="BA29" s="228">
        <v>137</v>
      </c>
      <c r="BB29" s="228">
        <v>140</v>
      </c>
      <c r="BC29" s="228">
        <v>-3</v>
      </c>
      <c r="BD29" s="229">
        <v>-2.2700000000000001E-2</v>
      </c>
      <c r="BE29" s="228">
        <v>16</v>
      </c>
      <c r="BF29" s="228">
        <v>17</v>
      </c>
      <c r="BG29" s="228">
        <v>-1</v>
      </c>
      <c r="BH29" s="229">
        <v>-8.3299999999999999E-2</v>
      </c>
      <c r="BI29" s="230">
        <v>3149</v>
      </c>
      <c r="BJ29" s="230">
        <v>3629</v>
      </c>
      <c r="BK29" s="228">
        <v>-480</v>
      </c>
      <c r="BL29" s="229">
        <v>-0.1323</v>
      </c>
      <c r="BM29" s="230">
        <v>1670</v>
      </c>
      <c r="BN29" s="230">
        <v>1934</v>
      </c>
      <c r="BO29" s="228">
        <v>-264</v>
      </c>
      <c r="BP29" s="229">
        <v>-0.1366</v>
      </c>
      <c r="BQ29" s="230">
        <v>5604</v>
      </c>
      <c r="BR29" s="230">
        <v>6421</v>
      </c>
      <c r="BS29" s="228">
        <v>-817</v>
      </c>
      <c r="BT29" s="229">
        <v>-0.1273</v>
      </c>
      <c r="BU29" s="230">
        <v>12260675</v>
      </c>
      <c r="BV29" s="230">
        <v>11371081</v>
      </c>
      <c r="BW29" s="230">
        <v>889594</v>
      </c>
      <c r="BX29" s="229">
        <v>7.8200000000000006E-2</v>
      </c>
      <c r="BY29" s="230">
        <v>4646</v>
      </c>
      <c r="BZ29" s="230">
        <v>4637</v>
      </c>
      <c r="CA29" s="228">
        <v>9</v>
      </c>
      <c r="CB29" s="229">
        <v>2E-3</v>
      </c>
      <c r="CC29" s="230">
        <v>4149</v>
      </c>
      <c r="CD29" s="230">
        <v>4172</v>
      </c>
      <c r="CE29" s="228">
        <v>-23</v>
      </c>
      <c r="CF29" s="229">
        <v>-5.4999999999999997E-3</v>
      </c>
      <c r="CG29" s="228">
        <v>431</v>
      </c>
      <c r="CH29" s="228">
        <v>399</v>
      </c>
      <c r="CI29" s="228">
        <v>33</v>
      </c>
      <c r="CJ29" s="229">
        <v>8.2500000000000004E-2</v>
      </c>
      <c r="CK29" s="228">
        <v>66</v>
      </c>
      <c r="CL29" s="228">
        <v>66</v>
      </c>
      <c r="CM29" s="228">
        <v>0</v>
      </c>
      <c r="CN29" s="229">
        <v>-7.1000000000000004E-3</v>
      </c>
      <c r="CO29" s="230">
        <v>2976</v>
      </c>
      <c r="CP29" s="230">
        <v>3090</v>
      </c>
      <c r="CQ29" s="228">
        <v>-114</v>
      </c>
      <c r="CR29" s="229">
        <v>-3.6999999999999998E-2</v>
      </c>
      <c r="CS29" s="230">
        <v>1730</v>
      </c>
      <c r="CT29" s="230">
        <v>1731</v>
      </c>
      <c r="CU29" s="228">
        <v>-2</v>
      </c>
      <c r="CV29" s="229">
        <v>-8.9999999999999998E-4</v>
      </c>
      <c r="CW29" s="230">
        <v>9352</v>
      </c>
      <c r="CX29" s="230">
        <v>9458</v>
      </c>
      <c r="CY29" s="228">
        <v>-106</v>
      </c>
      <c r="CZ29" s="229">
        <v>-1.1299999999999999E-2</v>
      </c>
      <c r="DA29" s="228">
        <v>23.36</v>
      </c>
      <c r="DB29" s="228">
        <v>24.2</v>
      </c>
      <c r="DC29" s="228">
        <v>-0.84</v>
      </c>
      <c r="DD29" s="228">
        <v>-0.84</v>
      </c>
      <c r="DE29" s="228">
        <v>37.65</v>
      </c>
      <c r="DF29" s="228">
        <v>37.729999999999997</v>
      </c>
      <c r="DG29" s="228">
        <v>-14.29</v>
      </c>
      <c r="DH29" s="228">
        <v>-0.08</v>
      </c>
      <c r="DI29" s="228">
        <v>23.21</v>
      </c>
      <c r="DJ29" s="228">
        <v>24.32</v>
      </c>
      <c r="DK29" s="228">
        <v>-1.1100000000000001</v>
      </c>
      <c r="DL29" s="228">
        <v>-1.1100000000000001</v>
      </c>
      <c r="DM29" s="228">
        <v>23.62</v>
      </c>
      <c r="DN29" s="228">
        <v>23.97</v>
      </c>
      <c r="DO29" s="228">
        <v>-0.35</v>
      </c>
      <c r="DP29" s="228">
        <v>-0.35</v>
      </c>
      <c r="DQ29" s="228">
        <v>0.57999999999999996</v>
      </c>
      <c r="DR29" s="228">
        <v>0.56000000000000005</v>
      </c>
      <c r="DS29" s="228">
        <v>0.02</v>
      </c>
      <c r="DT29" s="229">
        <v>3.5700000000000003E-2</v>
      </c>
      <c r="DU29" s="228">
        <v>420</v>
      </c>
      <c r="DV29" s="228">
        <v>410</v>
      </c>
      <c r="DW29" s="228">
        <v>0.53</v>
      </c>
      <c r="DX29" s="228">
        <v>0.53</v>
      </c>
      <c r="DY29" s="228">
        <v>0</v>
      </c>
      <c r="DZ29" s="229">
        <v>0</v>
      </c>
      <c r="EA29" s="229">
        <v>0.107</v>
      </c>
      <c r="EB29" s="230">
        <v>11243250</v>
      </c>
      <c r="EC29" s="229">
        <v>5.1999999999999998E-3</v>
      </c>
      <c r="ED29" s="229">
        <v>0.107</v>
      </c>
      <c r="EE29" s="228">
        <v>2.0699999999999998</v>
      </c>
      <c r="EF29" s="229">
        <v>5.0000000000000001E-3</v>
      </c>
      <c r="EG29" s="230">
        <v>7087860</v>
      </c>
      <c r="EH29" s="230">
        <v>5978847</v>
      </c>
      <c r="EI29" s="229">
        <v>0.1855</v>
      </c>
      <c r="EJ29" s="229">
        <v>0.57809999999999995</v>
      </c>
      <c r="EK29" s="231">
        <v>3250.38</v>
      </c>
      <c r="EL29" s="231">
        <v>1640.95</v>
      </c>
      <c r="EM29" s="228">
        <v>784.74</v>
      </c>
      <c r="EN29" s="228">
        <v>74.44</v>
      </c>
      <c r="EO29" s="231">
        <v>5676.07</v>
      </c>
      <c r="EP29" s="231">
        <v>6463.91</v>
      </c>
      <c r="EQ29" s="228">
        <v>-787.84</v>
      </c>
      <c r="ER29" s="229">
        <v>-0.12189999999999999</v>
      </c>
      <c r="ES29" s="231">
        <v>3059.42</v>
      </c>
      <c r="ET29" s="231">
        <v>1662.39</v>
      </c>
      <c r="EU29" s="231">
        <v>4649.1499999999996</v>
      </c>
      <c r="EV29" s="231">
        <v>535778534</v>
      </c>
      <c r="EW29" s="231">
        <v>9370.9599999999991</v>
      </c>
      <c r="EX29" s="231">
        <v>9436.33</v>
      </c>
      <c r="EY29" s="228">
        <v>-65.37</v>
      </c>
      <c r="EZ29" s="229">
        <v>-6.8999999999999999E-3</v>
      </c>
      <c r="FA29" s="229">
        <v>0.42220000000000002</v>
      </c>
      <c r="FB29" s="227" t="s">
        <v>555</v>
      </c>
      <c r="FC29" s="195">
        <f t="shared" si="0"/>
        <v>497</v>
      </c>
    </row>
    <row r="30" spans="1:159" ht="17.25" thickBot="1" x14ac:dyDescent="0.3">
      <c r="A30" s="226">
        <v>45946</v>
      </c>
      <c r="B30" s="227" t="s">
        <v>162</v>
      </c>
      <c r="C30" s="227" t="s">
        <v>187</v>
      </c>
      <c r="D30" s="228">
        <v>500</v>
      </c>
      <c r="E30" s="228">
        <v>12</v>
      </c>
      <c r="F30" s="231">
        <v>1270.2</v>
      </c>
      <c r="G30" s="231">
        <v>1231.3</v>
      </c>
      <c r="H30" s="228">
        <v>38.9</v>
      </c>
      <c r="I30" s="229">
        <v>3.1600000000000003E-2</v>
      </c>
      <c r="J30" s="231">
        <v>1265.2</v>
      </c>
      <c r="K30" s="231">
        <v>1232.5999999999999</v>
      </c>
      <c r="L30" s="228">
        <v>32.6</v>
      </c>
      <c r="M30" s="229">
        <v>2.64E-2</v>
      </c>
      <c r="N30" s="231">
        <v>1270.2</v>
      </c>
      <c r="O30" s="231">
        <v>1231.3</v>
      </c>
      <c r="P30" s="228">
        <v>38.9</v>
      </c>
      <c r="Q30" s="229">
        <v>3.1600000000000003E-2</v>
      </c>
      <c r="R30" s="231">
        <v>1264.3</v>
      </c>
      <c r="S30" s="231">
        <v>1226.7</v>
      </c>
      <c r="T30" s="228">
        <v>37.6</v>
      </c>
      <c r="U30" s="229">
        <v>3.0700000000000002E-2</v>
      </c>
      <c r="V30" s="231">
        <v>1261.5</v>
      </c>
      <c r="W30" s="231">
        <v>1228</v>
      </c>
      <c r="X30" s="228">
        <v>33.5</v>
      </c>
      <c r="Y30" s="229">
        <v>2.7300000000000001E-2</v>
      </c>
      <c r="Z30" s="228">
        <v>5</v>
      </c>
      <c r="AA30" s="228">
        <v>-1.3</v>
      </c>
      <c r="AB30" s="228">
        <v>6.3</v>
      </c>
      <c r="AC30" s="229">
        <v>4.0000000000000001E-3</v>
      </c>
      <c r="AD30" s="228">
        <v>5</v>
      </c>
      <c r="AE30" s="228">
        <v>-1.3</v>
      </c>
      <c r="AF30" s="228">
        <v>6.3</v>
      </c>
      <c r="AG30" s="229">
        <v>4.0000000000000001E-3</v>
      </c>
      <c r="AH30" s="228">
        <v>-0.9</v>
      </c>
      <c r="AI30" s="228">
        <v>-5.9</v>
      </c>
      <c r="AJ30" s="228">
        <v>5</v>
      </c>
      <c r="AK30" s="229">
        <v>-6.9999999999999999E-4</v>
      </c>
      <c r="AL30" s="228">
        <v>-3.7</v>
      </c>
      <c r="AM30" s="228">
        <v>-4.5999999999999996</v>
      </c>
      <c r="AN30" s="228">
        <v>0.9</v>
      </c>
      <c r="AO30" s="229">
        <v>-2.8999999999999998E-3</v>
      </c>
      <c r="AP30" s="231">
        <v>1264.8599999999999</v>
      </c>
      <c r="AQ30" s="231">
        <v>1259.9000000000001</v>
      </c>
      <c r="AR30" s="228">
        <v>0</v>
      </c>
      <c r="AS30" s="228">
        <v>736</v>
      </c>
      <c r="AT30" s="228">
        <v>357</v>
      </c>
      <c r="AU30" s="228">
        <v>379</v>
      </c>
      <c r="AV30" s="229">
        <v>1.0605</v>
      </c>
      <c r="AW30" s="228">
        <v>575</v>
      </c>
      <c r="AX30" s="228">
        <v>281</v>
      </c>
      <c r="AY30" s="228">
        <v>293</v>
      </c>
      <c r="AZ30" s="229">
        <v>1.0427</v>
      </c>
      <c r="BA30" s="228">
        <v>151</v>
      </c>
      <c r="BB30" s="228">
        <v>72</v>
      </c>
      <c r="BC30" s="228">
        <v>80</v>
      </c>
      <c r="BD30" s="229">
        <v>1.1135999999999999</v>
      </c>
      <c r="BE30" s="228">
        <v>10</v>
      </c>
      <c r="BF30" s="228">
        <v>4</v>
      </c>
      <c r="BG30" s="228">
        <v>6</v>
      </c>
      <c r="BH30" s="229">
        <v>1.3432999999999999</v>
      </c>
      <c r="BI30" s="230">
        <v>2567</v>
      </c>
      <c r="BJ30" s="228">
        <v>651</v>
      </c>
      <c r="BK30" s="230">
        <v>1916</v>
      </c>
      <c r="BL30" s="229">
        <v>2.9418000000000002</v>
      </c>
      <c r="BM30" s="228">
        <v>730</v>
      </c>
      <c r="BN30" s="228">
        <v>258</v>
      </c>
      <c r="BO30" s="228">
        <v>471</v>
      </c>
      <c r="BP30" s="229">
        <v>1.8232999999999999</v>
      </c>
      <c r="BQ30" s="230">
        <v>4032</v>
      </c>
      <c r="BR30" s="230">
        <v>1267</v>
      </c>
      <c r="BS30" s="230">
        <v>2765</v>
      </c>
      <c r="BT30" s="229">
        <v>2.1831999999999998</v>
      </c>
      <c r="BU30" s="230">
        <v>1763254</v>
      </c>
      <c r="BV30" s="230">
        <v>383051</v>
      </c>
      <c r="BW30" s="230">
        <v>1380203</v>
      </c>
      <c r="BX30" s="229">
        <v>3.6032000000000002</v>
      </c>
      <c r="BY30" s="230">
        <v>1514</v>
      </c>
      <c r="BZ30" s="230">
        <v>1551</v>
      </c>
      <c r="CA30" s="228">
        <v>-37</v>
      </c>
      <c r="CB30" s="229">
        <v>-2.3599999999999999E-2</v>
      </c>
      <c r="CC30" s="230">
        <v>1295</v>
      </c>
      <c r="CD30" s="230">
        <v>1388</v>
      </c>
      <c r="CE30" s="228">
        <v>-93</v>
      </c>
      <c r="CF30" s="229">
        <v>-6.7299999999999999E-2</v>
      </c>
      <c r="CG30" s="228">
        <v>208</v>
      </c>
      <c r="CH30" s="228">
        <v>154</v>
      </c>
      <c r="CI30" s="228">
        <v>53</v>
      </c>
      <c r="CJ30" s="229">
        <v>0.34429999999999999</v>
      </c>
      <c r="CK30" s="228">
        <v>12</v>
      </c>
      <c r="CL30" s="228">
        <v>8</v>
      </c>
      <c r="CM30" s="228">
        <v>4</v>
      </c>
      <c r="CN30" s="229">
        <v>0.47620000000000001</v>
      </c>
      <c r="CO30" s="228">
        <v>518</v>
      </c>
      <c r="CP30" s="228">
        <v>427</v>
      </c>
      <c r="CQ30" s="228">
        <v>91</v>
      </c>
      <c r="CR30" s="229">
        <v>0.21299999999999999</v>
      </c>
      <c r="CS30" s="228">
        <v>315</v>
      </c>
      <c r="CT30" s="228">
        <v>282</v>
      </c>
      <c r="CU30" s="228">
        <v>33</v>
      </c>
      <c r="CV30" s="229">
        <v>0.1152</v>
      </c>
      <c r="CW30" s="230">
        <v>2347</v>
      </c>
      <c r="CX30" s="230">
        <v>2260</v>
      </c>
      <c r="CY30" s="228">
        <v>87</v>
      </c>
      <c r="CZ30" s="229">
        <v>3.85E-2</v>
      </c>
      <c r="DA30" s="228">
        <v>27.49</v>
      </c>
      <c r="DB30" s="228">
        <v>27.5</v>
      </c>
      <c r="DC30" s="228">
        <v>-0.01</v>
      </c>
      <c r="DD30" s="228">
        <v>-0.01</v>
      </c>
      <c r="DE30" s="228">
        <v>38.56</v>
      </c>
      <c r="DF30" s="228">
        <v>38.42</v>
      </c>
      <c r="DG30" s="228">
        <v>-11.07</v>
      </c>
      <c r="DH30" s="228">
        <v>0.14000000000000001</v>
      </c>
      <c r="DI30" s="228">
        <v>27.13</v>
      </c>
      <c r="DJ30" s="228">
        <v>27.31</v>
      </c>
      <c r="DK30" s="228">
        <v>-0.18</v>
      </c>
      <c r="DL30" s="228">
        <v>-0.18</v>
      </c>
      <c r="DM30" s="228">
        <v>28.76</v>
      </c>
      <c r="DN30" s="228">
        <v>27.99</v>
      </c>
      <c r="DO30" s="228">
        <v>0.77</v>
      </c>
      <c r="DP30" s="228">
        <v>0.77</v>
      </c>
      <c r="DQ30" s="228">
        <v>0.61</v>
      </c>
      <c r="DR30" s="228">
        <v>0.66</v>
      </c>
      <c r="DS30" s="228">
        <v>-0.05</v>
      </c>
      <c r="DT30" s="229">
        <v>-7.5800000000000006E-2</v>
      </c>
      <c r="DU30" s="231">
        <v>1300</v>
      </c>
      <c r="DV30" s="231">
        <v>1200</v>
      </c>
      <c r="DW30" s="228">
        <v>0.28000000000000003</v>
      </c>
      <c r="DX30" s="228">
        <v>0.4</v>
      </c>
      <c r="DY30" s="228">
        <v>-0.12</v>
      </c>
      <c r="DZ30" s="229">
        <v>-0.3</v>
      </c>
      <c r="EA30" s="229">
        <v>0.1449</v>
      </c>
      <c r="EB30" s="230">
        <v>1278500</v>
      </c>
      <c r="EC30" s="229">
        <v>-4.5999999999999999E-3</v>
      </c>
      <c r="ED30" s="229">
        <v>0.1449</v>
      </c>
      <c r="EE30" s="228">
        <v>-4.96</v>
      </c>
      <c r="EF30" s="229">
        <v>-3.8999999999999998E-3</v>
      </c>
      <c r="EG30" s="230">
        <v>870045</v>
      </c>
      <c r="EH30" s="230">
        <v>154213</v>
      </c>
      <c r="EI30" s="229">
        <v>4.6417999999999999</v>
      </c>
      <c r="EJ30" s="229">
        <v>0.49340000000000001</v>
      </c>
      <c r="EK30" s="231">
        <v>2637.89</v>
      </c>
      <c r="EL30" s="228">
        <v>708.1</v>
      </c>
      <c r="EM30" s="228">
        <v>732.08</v>
      </c>
      <c r="EN30" s="228">
        <v>39.92</v>
      </c>
      <c r="EO30" s="231">
        <v>4078.07</v>
      </c>
      <c r="EP30" s="231">
        <v>1247.33</v>
      </c>
      <c r="EQ30" s="231">
        <v>2830.74</v>
      </c>
      <c r="ER30" s="229">
        <v>2.2694000000000001</v>
      </c>
      <c r="ES30" s="228">
        <v>522.66999999999996</v>
      </c>
      <c r="ET30" s="228">
        <v>298.20999999999998</v>
      </c>
      <c r="EU30" s="231">
        <v>1513.1</v>
      </c>
      <c r="EV30" s="231">
        <v>35155737</v>
      </c>
      <c r="EW30" s="231">
        <v>2333.98</v>
      </c>
      <c r="EX30" s="231">
        <v>2193.21</v>
      </c>
      <c r="EY30" s="228">
        <v>140.77000000000001</v>
      </c>
      <c r="EZ30" s="229">
        <v>6.4199999999999993E-2</v>
      </c>
      <c r="FA30" s="229">
        <v>0.52569999999999995</v>
      </c>
      <c r="FB30" s="227" t="s">
        <v>556</v>
      </c>
      <c r="FC30">
        <f t="shared" si="0"/>
        <v>219</v>
      </c>
    </row>
    <row r="31" spans="1:159" ht="17.25" thickBot="1" x14ac:dyDescent="0.3">
      <c r="A31" s="226">
        <v>45946</v>
      </c>
      <c r="B31" s="227" t="s">
        <v>188</v>
      </c>
      <c r="C31" s="227" t="s">
        <v>189</v>
      </c>
      <c r="D31" s="228">
        <v>475</v>
      </c>
      <c r="E31" s="228">
        <v>12</v>
      </c>
      <c r="F31" s="231">
        <v>1974</v>
      </c>
      <c r="G31" s="231">
        <v>1976.3</v>
      </c>
      <c r="H31" s="228">
        <v>-2.2999999999999998</v>
      </c>
      <c r="I31" s="229">
        <v>-1.1999999999999999E-3</v>
      </c>
      <c r="J31" s="231">
        <v>1967.4</v>
      </c>
      <c r="K31" s="231">
        <v>1968.5</v>
      </c>
      <c r="L31" s="228">
        <v>-1.1000000000000001</v>
      </c>
      <c r="M31" s="229">
        <v>-5.9999999999999995E-4</v>
      </c>
      <c r="N31" s="231">
        <v>1974</v>
      </c>
      <c r="O31" s="231">
        <v>1976.3</v>
      </c>
      <c r="P31" s="228">
        <v>-2.2999999999999998</v>
      </c>
      <c r="Q31" s="229">
        <v>-1.1999999999999999E-3</v>
      </c>
      <c r="R31" s="231">
        <v>1985.4</v>
      </c>
      <c r="S31" s="231">
        <v>1987</v>
      </c>
      <c r="T31" s="228">
        <v>-1.6</v>
      </c>
      <c r="U31" s="229">
        <v>-8.0000000000000004E-4</v>
      </c>
      <c r="V31" s="231">
        <v>1997.6</v>
      </c>
      <c r="W31" s="231">
        <v>1999.1</v>
      </c>
      <c r="X31" s="228">
        <v>-1.5</v>
      </c>
      <c r="Y31" s="229">
        <v>-8.0000000000000004E-4</v>
      </c>
      <c r="Z31" s="228">
        <v>6.6</v>
      </c>
      <c r="AA31" s="228">
        <v>7.8</v>
      </c>
      <c r="AB31" s="228">
        <v>-1.2</v>
      </c>
      <c r="AC31" s="229">
        <v>3.3999999999999998E-3</v>
      </c>
      <c r="AD31" s="228">
        <v>6.6</v>
      </c>
      <c r="AE31" s="228">
        <v>7.8</v>
      </c>
      <c r="AF31" s="228">
        <v>-1.2</v>
      </c>
      <c r="AG31" s="229">
        <v>3.3999999999999998E-3</v>
      </c>
      <c r="AH31" s="228">
        <v>18</v>
      </c>
      <c r="AI31" s="228">
        <v>18.5</v>
      </c>
      <c r="AJ31" s="228">
        <v>-0.5</v>
      </c>
      <c r="AK31" s="229">
        <v>9.1000000000000004E-3</v>
      </c>
      <c r="AL31" s="228">
        <v>30.2</v>
      </c>
      <c r="AM31" s="228">
        <v>30.6</v>
      </c>
      <c r="AN31" s="228">
        <v>-0.4</v>
      </c>
      <c r="AO31" s="229">
        <v>1.54E-2</v>
      </c>
      <c r="AP31" s="231">
        <v>1979.32</v>
      </c>
      <c r="AQ31" s="231">
        <v>1989.61</v>
      </c>
      <c r="AR31" s="228">
        <v>0</v>
      </c>
      <c r="AS31" s="230">
        <v>1306</v>
      </c>
      <c r="AT31" s="228">
        <v>911</v>
      </c>
      <c r="AU31" s="228">
        <v>394</v>
      </c>
      <c r="AV31" s="229">
        <v>0.43259999999999998</v>
      </c>
      <c r="AW31" s="230">
        <v>1110</v>
      </c>
      <c r="AX31" s="228">
        <v>783</v>
      </c>
      <c r="AY31" s="228">
        <v>326</v>
      </c>
      <c r="AZ31" s="229">
        <v>0.41660000000000003</v>
      </c>
      <c r="BA31" s="228">
        <v>192</v>
      </c>
      <c r="BB31" s="228">
        <v>123</v>
      </c>
      <c r="BC31" s="228">
        <v>70</v>
      </c>
      <c r="BD31" s="229">
        <v>0.56999999999999995</v>
      </c>
      <c r="BE31" s="228">
        <v>3</v>
      </c>
      <c r="BF31" s="228">
        <v>5</v>
      </c>
      <c r="BG31" s="228">
        <v>-2</v>
      </c>
      <c r="BH31" s="229">
        <v>-0.36209999999999998</v>
      </c>
      <c r="BI31" s="230">
        <v>3999</v>
      </c>
      <c r="BJ31" s="230">
        <v>4453</v>
      </c>
      <c r="BK31" s="228">
        <v>-454</v>
      </c>
      <c r="BL31" s="229">
        <v>-0.1019</v>
      </c>
      <c r="BM31" s="230">
        <v>2174</v>
      </c>
      <c r="BN31" s="230">
        <v>2342</v>
      </c>
      <c r="BO31" s="228">
        <v>-168</v>
      </c>
      <c r="BP31" s="229">
        <v>-7.1599999999999997E-2</v>
      </c>
      <c r="BQ31" s="230">
        <v>7479</v>
      </c>
      <c r="BR31" s="230">
        <v>7706</v>
      </c>
      <c r="BS31" s="228">
        <v>-227</v>
      </c>
      <c r="BT31" s="229">
        <v>-2.9399999999999999E-2</v>
      </c>
      <c r="BU31" s="230">
        <v>4073528</v>
      </c>
      <c r="BV31" s="230">
        <v>3624262</v>
      </c>
      <c r="BW31" s="230">
        <v>449266</v>
      </c>
      <c r="BX31" s="229">
        <v>0.124</v>
      </c>
      <c r="BY31" s="230">
        <v>9684</v>
      </c>
      <c r="BZ31" s="230">
        <v>9695</v>
      </c>
      <c r="CA31" s="228">
        <v>-11</v>
      </c>
      <c r="CB31" s="229">
        <v>-1.1000000000000001E-3</v>
      </c>
      <c r="CC31" s="230">
        <v>8839</v>
      </c>
      <c r="CD31" s="230">
        <v>8979</v>
      </c>
      <c r="CE31" s="228">
        <v>-141</v>
      </c>
      <c r="CF31" s="229">
        <v>-1.5699999999999999E-2</v>
      </c>
      <c r="CG31" s="228">
        <v>347</v>
      </c>
      <c r="CH31" s="228">
        <v>218</v>
      </c>
      <c r="CI31" s="228">
        <v>129</v>
      </c>
      <c r="CJ31" s="229">
        <v>0.59260000000000002</v>
      </c>
      <c r="CK31" s="228">
        <v>498</v>
      </c>
      <c r="CL31" s="228">
        <v>497</v>
      </c>
      <c r="CM31" s="228">
        <v>1</v>
      </c>
      <c r="CN31" s="229">
        <v>1.1000000000000001E-3</v>
      </c>
      <c r="CO31" s="230">
        <v>2591</v>
      </c>
      <c r="CP31" s="230">
        <v>2547</v>
      </c>
      <c r="CQ31" s="228">
        <v>43</v>
      </c>
      <c r="CR31" s="229">
        <v>1.7000000000000001E-2</v>
      </c>
      <c r="CS31" s="230">
        <v>1490</v>
      </c>
      <c r="CT31" s="230">
        <v>1469</v>
      </c>
      <c r="CU31" s="228">
        <v>21</v>
      </c>
      <c r="CV31" s="229">
        <v>1.4200000000000001E-2</v>
      </c>
      <c r="CW31" s="230">
        <v>13765</v>
      </c>
      <c r="CX31" s="230">
        <v>13712</v>
      </c>
      <c r="CY31" s="228">
        <v>53</v>
      </c>
      <c r="CZ31" s="229">
        <v>3.8999999999999998E-3</v>
      </c>
      <c r="DA31" s="228">
        <v>14.89</v>
      </c>
      <c r="DB31" s="228">
        <v>14.82</v>
      </c>
      <c r="DC31" s="228">
        <v>7.0000000000000007E-2</v>
      </c>
      <c r="DD31" s="228">
        <v>7.0000000000000007E-2</v>
      </c>
      <c r="DE31" s="228">
        <v>24.59</v>
      </c>
      <c r="DF31" s="228">
        <v>24.65</v>
      </c>
      <c r="DG31" s="228">
        <v>-9.6999999999999993</v>
      </c>
      <c r="DH31" s="228">
        <v>-0.06</v>
      </c>
      <c r="DI31" s="228">
        <v>14.76</v>
      </c>
      <c r="DJ31" s="228">
        <v>14.35</v>
      </c>
      <c r="DK31" s="228">
        <v>0.41</v>
      </c>
      <c r="DL31" s="228">
        <v>0.41</v>
      </c>
      <c r="DM31" s="228">
        <v>15.12</v>
      </c>
      <c r="DN31" s="228">
        <v>15.73</v>
      </c>
      <c r="DO31" s="228">
        <v>-0.61</v>
      </c>
      <c r="DP31" s="228">
        <v>-0.61</v>
      </c>
      <c r="DQ31" s="228">
        <v>0.57999999999999996</v>
      </c>
      <c r="DR31" s="228">
        <v>0.57999999999999996</v>
      </c>
      <c r="DS31" s="228">
        <v>0</v>
      </c>
      <c r="DT31" s="229">
        <v>0</v>
      </c>
      <c r="DU31" s="231">
        <v>1960</v>
      </c>
      <c r="DV31" s="231">
        <v>1960</v>
      </c>
      <c r="DW31" s="228">
        <v>0.54</v>
      </c>
      <c r="DX31" s="228">
        <v>0.53</v>
      </c>
      <c r="DY31" s="228">
        <v>0.01</v>
      </c>
      <c r="DZ31" s="229">
        <v>1.89E-2</v>
      </c>
      <c r="EA31" s="229">
        <v>8.7300000000000003E-2</v>
      </c>
      <c r="EB31" s="230">
        <v>3625200</v>
      </c>
      <c r="EC31" s="229">
        <v>5.7999999999999996E-3</v>
      </c>
      <c r="ED31" s="229">
        <v>8.7300000000000003E-2</v>
      </c>
      <c r="EE31" s="228">
        <v>10.29</v>
      </c>
      <c r="EF31" s="229">
        <v>5.1999999999999998E-3</v>
      </c>
      <c r="EG31" s="230">
        <v>2328079</v>
      </c>
      <c r="EH31" s="230">
        <v>2055235</v>
      </c>
      <c r="EI31" s="229">
        <v>0.1328</v>
      </c>
      <c r="EJ31" s="229">
        <v>0.57150000000000001</v>
      </c>
      <c r="EK31" s="231">
        <v>4085.43</v>
      </c>
      <c r="EL31" s="231">
        <v>2163.7399999999998</v>
      </c>
      <c r="EM31" s="231">
        <v>1310.25</v>
      </c>
      <c r="EN31" s="228">
        <v>89.99</v>
      </c>
      <c r="EO31" s="231">
        <v>7559.41</v>
      </c>
      <c r="EP31" s="231">
        <v>7747.61</v>
      </c>
      <c r="EQ31" s="228">
        <v>-188.2</v>
      </c>
      <c r="ER31" s="229">
        <v>-2.4299999999999999E-2</v>
      </c>
      <c r="ES31" s="231">
        <v>2598.88</v>
      </c>
      <c r="ET31" s="231">
        <v>1434.98</v>
      </c>
      <c r="EU31" s="231">
        <v>9692.2900000000009</v>
      </c>
      <c r="EV31" s="231">
        <v>314058656</v>
      </c>
      <c r="EW31" s="231">
        <v>13726.15</v>
      </c>
      <c r="EX31" s="231">
        <v>13678.94</v>
      </c>
      <c r="EY31" s="228">
        <v>47.21</v>
      </c>
      <c r="EZ31" s="229">
        <v>3.5000000000000001E-3</v>
      </c>
      <c r="FA31" s="229">
        <v>0.222</v>
      </c>
      <c r="FB31" s="227" t="s">
        <v>568</v>
      </c>
      <c r="FC31">
        <f t="shared" si="0"/>
        <v>845</v>
      </c>
    </row>
    <row r="32" spans="1:159" ht="17.25" thickBot="1" x14ac:dyDescent="0.3">
      <c r="A32" s="226">
        <v>45946</v>
      </c>
      <c r="B32" s="227" t="s">
        <v>184</v>
      </c>
      <c r="C32" s="227" t="s">
        <v>190</v>
      </c>
      <c r="D32" s="228">
        <v>2625</v>
      </c>
      <c r="E32" s="228">
        <v>12</v>
      </c>
      <c r="F32" s="228">
        <v>236.86</v>
      </c>
      <c r="G32" s="228">
        <v>236.56</v>
      </c>
      <c r="H32" s="228">
        <v>0.3</v>
      </c>
      <c r="I32" s="229">
        <v>1.2999999999999999E-3</v>
      </c>
      <c r="J32" s="228">
        <v>236.17</v>
      </c>
      <c r="K32" s="228">
        <v>235.8</v>
      </c>
      <c r="L32" s="228">
        <v>0.37</v>
      </c>
      <c r="M32" s="229">
        <v>1.6000000000000001E-3</v>
      </c>
      <c r="N32" s="228">
        <v>236.86</v>
      </c>
      <c r="O32" s="228">
        <v>236.56</v>
      </c>
      <c r="P32" s="228">
        <v>0.3</v>
      </c>
      <c r="Q32" s="229">
        <v>1.2999999999999999E-3</v>
      </c>
      <c r="R32" s="228">
        <v>238.2</v>
      </c>
      <c r="S32" s="228">
        <v>237.96</v>
      </c>
      <c r="T32" s="228">
        <v>0.24</v>
      </c>
      <c r="U32" s="229">
        <v>1E-3</v>
      </c>
      <c r="V32" s="228">
        <v>240.06</v>
      </c>
      <c r="W32" s="228">
        <v>239.52</v>
      </c>
      <c r="X32" s="228">
        <v>0.54</v>
      </c>
      <c r="Y32" s="229">
        <v>2.3E-3</v>
      </c>
      <c r="Z32" s="228">
        <v>0.69</v>
      </c>
      <c r="AA32" s="228">
        <v>0.76</v>
      </c>
      <c r="AB32" s="228">
        <v>-7.0000000000000007E-2</v>
      </c>
      <c r="AC32" s="229">
        <v>2.8999999999999998E-3</v>
      </c>
      <c r="AD32" s="228">
        <v>0.69</v>
      </c>
      <c r="AE32" s="228">
        <v>0.76</v>
      </c>
      <c r="AF32" s="228">
        <v>-7.0000000000000007E-2</v>
      </c>
      <c r="AG32" s="229">
        <v>2.8999999999999998E-3</v>
      </c>
      <c r="AH32" s="228">
        <v>2.0299999999999998</v>
      </c>
      <c r="AI32" s="228">
        <v>2.16</v>
      </c>
      <c r="AJ32" s="228">
        <v>-0.13</v>
      </c>
      <c r="AK32" s="229">
        <v>8.6E-3</v>
      </c>
      <c r="AL32" s="228">
        <v>3.89</v>
      </c>
      <c r="AM32" s="228">
        <v>3.72</v>
      </c>
      <c r="AN32" s="228">
        <v>0.17</v>
      </c>
      <c r="AO32" s="229">
        <v>1.6500000000000001E-2</v>
      </c>
      <c r="AP32" s="228">
        <v>236.41</v>
      </c>
      <c r="AQ32" s="228">
        <v>237.45</v>
      </c>
      <c r="AR32" s="228">
        <v>0</v>
      </c>
      <c r="AS32" s="228">
        <v>189</v>
      </c>
      <c r="AT32" s="228">
        <v>227</v>
      </c>
      <c r="AU32" s="228">
        <v>-37</v>
      </c>
      <c r="AV32" s="229">
        <v>-0.16500000000000001</v>
      </c>
      <c r="AW32" s="228">
        <v>158</v>
      </c>
      <c r="AX32" s="228">
        <v>206</v>
      </c>
      <c r="AY32" s="228">
        <v>-48</v>
      </c>
      <c r="AZ32" s="229">
        <v>-0.23319999999999999</v>
      </c>
      <c r="BA32" s="228">
        <v>30</v>
      </c>
      <c r="BB32" s="228">
        <v>19</v>
      </c>
      <c r="BC32" s="228">
        <v>11</v>
      </c>
      <c r="BD32" s="229">
        <v>0.53990000000000005</v>
      </c>
      <c r="BE32" s="228">
        <v>2</v>
      </c>
      <c r="BF32" s="228">
        <v>2</v>
      </c>
      <c r="BG32" s="228">
        <v>0</v>
      </c>
      <c r="BH32" s="229">
        <v>0.04</v>
      </c>
      <c r="BI32" s="228">
        <v>538</v>
      </c>
      <c r="BJ32" s="228">
        <v>695</v>
      </c>
      <c r="BK32" s="228">
        <v>-157</v>
      </c>
      <c r="BL32" s="229">
        <v>-0.2261</v>
      </c>
      <c r="BM32" s="228">
        <v>243</v>
      </c>
      <c r="BN32" s="228">
        <v>374</v>
      </c>
      <c r="BO32" s="228">
        <v>-131</v>
      </c>
      <c r="BP32" s="229">
        <v>-0.35099999999999998</v>
      </c>
      <c r="BQ32" s="228">
        <v>970</v>
      </c>
      <c r="BR32" s="230">
        <v>1296</v>
      </c>
      <c r="BS32" s="228">
        <v>-326</v>
      </c>
      <c r="BT32" s="229">
        <v>-0.2515</v>
      </c>
      <c r="BU32" s="230">
        <v>4330555</v>
      </c>
      <c r="BV32" s="230">
        <v>5523995</v>
      </c>
      <c r="BW32" s="230">
        <v>-1193440</v>
      </c>
      <c r="BX32" s="229">
        <v>-0.216</v>
      </c>
      <c r="BY32" s="230">
        <v>1423</v>
      </c>
      <c r="BZ32" s="230">
        <v>1407</v>
      </c>
      <c r="CA32" s="228">
        <v>16</v>
      </c>
      <c r="CB32" s="229">
        <v>1.1299999999999999E-2</v>
      </c>
      <c r="CC32" s="230">
        <v>1348</v>
      </c>
      <c r="CD32" s="230">
        <v>1343</v>
      </c>
      <c r="CE32" s="228">
        <v>5</v>
      </c>
      <c r="CF32" s="229">
        <v>3.7000000000000002E-3</v>
      </c>
      <c r="CG32" s="228">
        <v>66</v>
      </c>
      <c r="CH32" s="228">
        <v>56</v>
      </c>
      <c r="CI32" s="228">
        <v>10</v>
      </c>
      <c r="CJ32" s="229">
        <v>0.1802</v>
      </c>
      <c r="CK32" s="228">
        <v>9</v>
      </c>
      <c r="CL32" s="228">
        <v>8</v>
      </c>
      <c r="CM32" s="228">
        <v>1</v>
      </c>
      <c r="CN32" s="229">
        <v>9.0200000000000002E-2</v>
      </c>
      <c r="CO32" s="228">
        <v>659</v>
      </c>
      <c r="CP32" s="228">
        <v>643</v>
      </c>
      <c r="CQ32" s="228">
        <v>17</v>
      </c>
      <c r="CR32" s="229">
        <v>2.5700000000000001E-2</v>
      </c>
      <c r="CS32" s="228">
        <v>383</v>
      </c>
      <c r="CT32" s="228">
        <v>391</v>
      </c>
      <c r="CU32" s="228">
        <v>-8</v>
      </c>
      <c r="CV32" s="229">
        <v>-2.0500000000000001E-2</v>
      </c>
      <c r="CW32" s="230">
        <v>2465</v>
      </c>
      <c r="CX32" s="230">
        <v>2441</v>
      </c>
      <c r="CY32" s="228">
        <v>24</v>
      </c>
      <c r="CZ32" s="229">
        <v>0.01</v>
      </c>
      <c r="DA32" s="228">
        <v>27.79</v>
      </c>
      <c r="DB32" s="228">
        <v>28.14</v>
      </c>
      <c r="DC32" s="228">
        <v>-0.35</v>
      </c>
      <c r="DD32" s="228">
        <v>-0.35</v>
      </c>
      <c r="DE32" s="228">
        <v>45.82</v>
      </c>
      <c r="DF32" s="228">
        <v>45.94</v>
      </c>
      <c r="DG32" s="228">
        <v>-18.03</v>
      </c>
      <c r="DH32" s="228">
        <v>-0.12</v>
      </c>
      <c r="DI32" s="228">
        <v>28.1</v>
      </c>
      <c r="DJ32" s="228">
        <v>28.31</v>
      </c>
      <c r="DK32" s="228">
        <v>-0.21</v>
      </c>
      <c r="DL32" s="228">
        <v>-0.21</v>
      </c>
      <c r="DM32" s="228">
        <v>27.09</v>
      </c>
      <c r="DN32" s="228">
        <v>27.82</v>
      </c>
      <c r="DO32" s="228">
        <v>-0.73</v>
      </c>
      <c r="DP32" s="228">
        <v>-0.73</v>
      </c>
      <c r="DQ32" s="228">
        <v>0.57999999999999996</v>
      </c>
      <c r="DR32" s="228">
        <v>0.61</v>
      </c>
      <c r="DS32" s="228">
        <v>-0.03</v>
      </c>
      <c r="DT32" s="229">
        <v>-4.9200000000000001E-2</v>
      </c>
      <c r="DU32" s="228">
        <v>250</v>
      </c>
      <c r="DV32" s="228">
        <v>240</v>
      </c>
      <c r="DW32" s="228">
        <v>0.45</v>
      </c>
      <c r="DX32" s="228">
        <v>0.54</v>
      </c>
      <c r="DY32" s="228">
        <v>-0.09</v>
      </c>
      <c r="DZ32" s="229">
        <v>-0.16669999999999999</v>
      </c>
      <c r="EA32" s="229">
        <v>5.2699999999999997E-2</v>
      </c>
      <c r="EB32" s="230">
        <v>2709000</v>
      </c>
      <c r="EC32" s="229">
        <v>5.7000000000000002E-3</v>
      </c>
      <c r="ED32" s="229">
        <v>5.2699999999999997E-2</v>
      </c>
      <c r="EE32" s="228">
        <v>1.04</v>
      </c>
      <c r="EF32" s="229">
        <v>4.4000000000000003E-3</v>
      </c>
      <c r="EG32" s="230">
        <v>1876387</v>
      </c>
      <c r="EH32" s="230">
        <v>2619160</v>
      </c>
      <c r="EI32" s="229">
        <v>-0.28360000000000002</v>
      </c>
      <c r="EJ32" s="229">
        <v>0.43330000000000002</v>
      </c>
      <c r="EK32" s="228">
        <v>557.20000000000005</v>
      </c>
      <c r="EL32" s="228">
        <v>243.41</v>
      </c>
      <c r="EM32" s="228">
        <v>189.24</v>
      </c>
      <c r="EN32" s="228">
        <v>38.35</v>
      </c>
      <c r="EO32" s="228">
        <v>989.84</v>
      </c>
      <c r="EP32" s="231">
        <v>1319.66</v>
      </c>
      <c r="EQ32" s="228">
        <v>-329.81</v>
      </c>
      <c r="ER32" s="229">
        <v>-0.24990000000000001</v>
      </c>
      <c r="ES32" s="228">
        <v>690.31</v>
      </c>
      <c r="ET32" s="228">
        <v>378.3</v>
      </c>
      <c r="EU32" s="231">
        <v>1423.64</v>
      </c>
      <c r="EV32" s="231">
        <v>169029877</v>
      </c>
      <c r="EW32" s="231">
        <v>2492.25</v>
      </c>
      <c r="EX32" s="231">
        <v>2465.75</v>
      </c>
      <c r="EY32" s="228">
        <v>26.5</v>
      </c>
      <c r="EZ32" s="229">
        <v>1.0699999999999999E-2</v>
      </c>
      <c r="FA32" s="229">
        <v>0.61570000000000003</v>
      </c>
      <c r="FB32" s="227" t="s">
        <v>555</v>
      </c>
      <c r="FC32">
        <f t="shared" si="0"/>
        <v>75</v>
      </c>
    </row>
    <row r="33" spans="1:159" ht="17.25" thickBot="1" x14ac:dyDescent="0.3">
      <c r="A33" s="226">
        <v>45946</v>
      </c>
      <c r="B33" s="227" t="s">
        <v>170</v>
      </c>
      <c r="C33" s="227" t="s">
        <v>191</v>
      </c>
      <c r="D33" s="228">
        <v>2500</v>
      </c>
      <c r="E33" s="228">
        <v>12</v>
      </c>
      <c r="F33" s="228">
        <v>359.65</v>
      </c>
      <c r="G33" s="228">
        <v>357.35</v>
      </c>
      <c r="H33" s="228">
        <v>2.2999999999999998</v>
      </c>
      <c r="I33" s="229">
        <v>6.4000000000000003E-3</v>
      </c>
      <c r="J33" s="228">
        <v>358.2</v>
      </c>
      <c r="K33" s="228">
        <v>356.4</v>
      </c>
      <c r="L33" s="228">
        <v>1.8</v>
      </c>
      <c r="M33" s="229">
        <v>5.1000000000000004E-3</v>
      </c>
      <c r="N33" s="228">
        <v>359.65</v>
      </c>
      <c r="O33" s="228">
        <v>357.35</v>
      </c>
      <c r="P33" s="228">
        <v>2.2999999999999998</v>
      </c>
      <c r="Q33" s="229">
        <v>6.4000000000000003E-3</v>
      </c>
      <c r="R33" s="228">
        <v>361.6</v>
      </c>
      <c r="S33" s="228">
        <v>359.25</v>
      </c>
      <c r="T33" s="228">
        <v>2.35</v>
      </c>
      <c r="U33" s="229">
        <v>6.4999999999999997E-3</v>
      </c>
      <c r="V33" s="228">
        <v>364.95</v>
      </c>
      <c r="W33" s="228">
        <v>361.75</v>
      </c>
      <c r="X33" s="228">
        <v>3.2</v>
      </c>
      <c r="Y33" s="229">
        <v>8.8000000000000005E-3</v>
      </c>
      <c r="Z33" s="228">
        <v>1.45</v>
      </c>
      <c r="AA33" s="228">
        <v>0.95</v>
      </c>
      <c r="AB33" s="228">
        <v>0.5</v>
      </c>
      <c r="AC33" s="229">
        <v>4.0000000000000001E-3</v>
      </c>
      <c r="AD33" s="228">
        <v>1.45</v>
      </c>
      <c r="AE33" s="228">
        <v>0.95</v>
      </c>
      <c r="AF33" s="228">
        <v>0.5</v>
      </c>
      <c r="AG33" s="229">
        <v>4.0000000000000001E-3</v>
      </c>
      <c r="AH33" s="228">
        <v>3.4</v>
      </c>
      <c r="AI33" s="228">
        <v>2.85</v>
      </c>
      <c r="AJ33" s="228">
        <v>0.55000000000000004</v>
      </c>
      <c r="AK33" s="229">
        <v>9.4999999999999998E-3</v>
      </c>
      <c r="AL33" s="228">
        <v>6.75</v>
      </c>
      <c r="AM33" s="228">
        <v>5.35</v>
      </c>
      <c r="AN33" s="228">
        <v>1.4</v>
      </c>
      <c r="AO33" s="229">
        <v>1.8800000000000001E-2</v>
      </c>
      <c r="AP33" s="228">
        <v>359.89</v>
      </c>
      <c r="AQ33" s="228">
        <v>361.85</v>
      </c>
      <c r="AR33" s="228">
        <v>0</v>
      </c>
      <c r="AS33" s="228">
        <v>239</v>
      </c>
      <c r="AT33" s="228">
        <v>185</v>
      </c>
      <c r="AU33" s="228">
        <v>55</v>
      </c>
      <c r="AV33" s="229">
        <v>0.29630000000000001</v>
      </c>
      <c r="AW33" s="228">
        <v>202</v>
      </c>
      <c r="AX33" s="228">
        <v>154</v>
      </c>
      <c r="AY33" s="228">
        <v>49</v>
      </c>
      <c r="AZ33" s="229">
        <v>0.31850000000000001</v>
      </c>
      <c r="BA33" s="228">
        <v>35</v>
      </c>
      <c r="BB33" s="228">
        <v>29</v>
      </c>
      <c r="BC33" s="228">
        <v>7</v>
      </c>
      <c r="BD33" s="229">
        <v>0.2429</v>
      </c>
      <c r="BE33" s="228">
        <v>1</v>
      </c>
      <c r="BF33" s="228">
        <v>2</v>
      </c>
      <c r="BG33" s="228">
        <v>-1</v>
      </c>
      <c r="BH33" s="229">
        <v>-0.48149999999999998</v>
      </c>
      <c r="BI33" s="228">
        <v>609</v>
      </c>
      <c r="BJ33" s="228">
        <v>584</v>
      </c>
      <c r="BK33" s="228">
        <v>25</v>
      </c>
      <c r="BL33" s="229">
        <v>4.2200000000000001E-2</v>
      </c>
      <c r="BM33" s="228">
        <v>334</v>
      </c>
      <c r="BN33" s="228">
        <v>269</v>
      </c>
      <c r="BO33" s="228">
        <v>65</v>
      </c>
      <c r="BP33" s="229">
        <v>0.24110000000000001</v>
      </c>
      <c r="BQ33" s="230">
        <v>1182</v>
      </c>
      <c r="BR33" s="230">
        <v>1038</v>
      </c>
      <c r="BS33" s="228">
        <v>144</v>
      </c>
      <c r="BT33" s="229">
        <v>0.13900000000000001</v>
      </c>
      <c r="BU33" s="230">
        <v>1406317</v>
      </c>
      <c r="BV33" s="230">
        <v>2352953</v>
      </c>
      <c r="BW33" s="230">
        <v>-946636</v>
      </c>
      <c r="BX33" s="229">
        <v>-0.40229999999999999</v>
      </c>
      <c r="BY33" s="230">
        <v>1575</v>
      </c>
      <c r="BZ33" s="230">
        <v>1606</v>
      </c>
      <c r="CA33" s="228">
        <v>-31</v>
      </c>
      <c r="CB33" s="229">
        <v>-1.9300000000000001E-2</v>
      </c>
      <c r="CC33" s="230">
        <v>1491</v>
      </c>
      <c r="CD33" s="230">
        <v>1533</v>
      </c>
      <c r="CE33" s="228">
        <v>-42</v>
      </c>
      <c r="CF33" s="229">
        <v>-2.7400000000000001E-2</v>
      </c>
      <c r="CG33" s="228">
        <v>79</v>
      </c>
      <c r="CH33" s="228">
        <v>67</v>
      </c>
      <c r="CI33" s="228">
        <v>11</v>
      </c>
      <c r="CJ33" s="229">
        <v>0.16930000000000001</v>
      </c>
      <c r="CK33" s="228">
        <v>5</v>
      </c>
      <c r="CL33" s="228">
        <v>6</v>
      </c>
      <c r="CM33" s="228">
        <v>0</v>
      </c>
      <c r="CN33" s="229">
        <v>-8.0600000000000005E-2</v>
      </c>
      <c r="CO33" s="228">
        <v>588</v>
      </c>
      <c r="CP33" s="228">
        <v>594</v>
      </c>
      <c r="CQ33" s="228">
        <v>-6</v>
      </c>
      <c r="CR33" s="229">
        <v>-1.01E-2</v>
      </c>
      <c r="CS33" s="228">
        <v>367</v>
      </c>
      <c r="CT33" s="228">
        <v>355</v>
      </c>
      <c r="CU33" s="228">
        <v>11</v>
      </c>
      <c r="CV33" s="229">
        <v>3.2199999999999999E-2</v>
      </c>
      <c r="CW33" s="230">
        <v>2530</v>
      </c>
      <c r="CX33" s="230">
        <v>2555</v>
      </c>
      <c r="CY33" s="228">
        <v>-26</v>
      </c>
      <c r="CZ33" s="229">
        <v>-0.01</v>
      </c>
      <c r="DA33" s="228">
        <v>24.11</v>
      </c>
      <c r="DB33" s="228">
        <v>26.64</v>
      </c>
      <c r="DC33" s="228">
        <v>-2.5299999999999998</v>
      </c>
      <c r="DD33" s="228">
        <v>-2.5299999999999998</v>
      </c>
      <c r="DE33" s="228">
        <v>39.229999999999997</v>
      </c>
      <c r="DF33" s="228">
        <v>39.33</v>
      </c>
      <c r="DG33" s="228">
        <v>-15.12</v>
      </c>
      <c r="DH33" s="228">
        <v>-0.1</v>
      </c>
      <c r="DI33" s="228">
        <v>23.66</v>
      </c>
      <c r="DJ33" s="228">
        <v>26.11</v>
      </c>
      <c r="DK33" s="228">
        <v>-2.4500000000000002</v>
      </c>
      <c r="DL33" s="228">
        <v>-2.4500000000000002</v>
      </c>
      <c r="DM33" s="228">
        <v>24.93</v>
      </c>
      <c r="DN33" s="228">
        <v>27.81</v>
      </c>
      <c r="DO33" s="228">
        <v>-2.88</v>
      </c>
      <c r="DP33" s="228">
        <v>-2.88</v>
      </c>
      <c r="DQ33" s="228">
        <v>0.62</v>
      </c>
      <c r="DR33" s="228">
        <v>0.6</v>
      </c>
      <c r="DS33" s="228">
        <v>0.02</v>
      </c>
      <c r="DT33" s="229">
        <v>3.3300000000000003E-2</v>
      </c>
      <c r="DU33" s="228">
        <v>360</v>
      </c>
      <c r="DV33" s="228">
        <v>350</v>
      </c>
      <c r="DW33" s="228">
        <v>0.55000000000000004</v>
      </c>
      <c r="DX33" s="228">
        <v>0.46</v>
      </c>
      <c r="DY33" s="228">
        <v>0.09</v>
      </c>
      <c r="DZ33" s="229">
        <v>0.19570000000000001</v>
      </c>
      <c r="EA33" s="229">
        <v>5.33E-2</v>
      </c>
      <c r="EB33" s="230">
        <v>2030000</v>
      </c>
      <c r="EC33" s="229">
        <v>5.4000000000000003E-3</v>
      </c>
      <c r="ED33" s="229">
        <v>5.33E-2</v>
      </c>
      <c r="EE33" s="228">
        <v>1.96</v>
      </c>
      <c r="EF33" s="229">
        <v>5.4000000000000003E-3</v>
      </c>
      <c r="EG33" s="230">
        <v>787823</v>
      </c>
      <c r="EH33" s="230">
        <v>1333272</v>
      </c>
      <c r="EI33" s="229">
        <v>-0.40910000000000002</v>
      </c>
      <c r="EJ33" s="229">
        <v>0.56020000000000003</v>
      </c>
      <c r="EK33" s="228">
        <v>627.24</v>
      </c>
      <c r="EL33" s="228">
        <v>329.23</v>
      </c>
      <c r="EM33" s="228">
        <v>239.54</v>
      </c>
      <c r="EN33" s="228">
        <v>30.99</v>
      </c>
      <c r="EO33" s="231">
        <v>1196</v>
      </c>
      <c r="EP33" s="231">
        <v>1043.73</v>
      </c>
      <c r="EQ33" s="228">
        <v>152.28</v>
      </c>
      <c r="ER33" s="229">
        <v>0.1459</v>
      </c>
      <c r="ES33" s="228">
        <v>606.5</v>
      </c>
      <c r="ET33" s="228">
        <v>349.34</v>
      </c>
      <c r="EU33" s="231">
        <v>1575.41</v>
      </c>
      <c r="EV33" s="231">
        <v>90981174</v>
      </c>
      <c r="EW33" s="231">
        <v>2531.25</v>
      </c>
      <c r="EX33" s="231">
        <v>2544.6999999999998</v>
      </c>
      <c r="EY33" s="228">
        <v>-13.45</v>
      </c>
      <c r="EZ33" s="229">
        <v>-5.3E-3</v>
      </c>
      <c r="FA33" s="229">
        <v>0.77300000000000002</v>
      </c>
      <c r="FB33" s="227" t="s">
        <v>556</v>
      </c>
      <c r="FC33">
        <f t="shared" si="0"/>
        <v>84</v>
      </c>
    </row>
    <row r="34" spans="1:159" ht="17.25" thickBot="1" x14ac:dyDescent="0.3">
      <c r="A34" s="226">
        <v>45946</v>
      </c>
      <c r="B34" s="227" t="s">
        <v>184</v>
      </c>
      <c r="C34" s="227" t="s">
        <v>680</v>
      </c>
      <c r="D34" s="228">
        <v>325</v>
      </c>
      <c r="E34" s="228">
        <v>12</v>
      </c>
      <c r="F34" s="231">
        <v>1964.7</v>
      </c>
      <c r="G34" s="231">
        <v>1922.4</v>
      </c>
      <c r="H34" s="228">
        <v>42.3</v>
      </c>
      <c r="I34" s="229">
        <v>2.1999999999999999E-2</v>
      </c>
      <c r="J34" s="231">
        <v>1957.6</v>
      </c>
      <c r="K34" s="231">
        <v>1913.3</v>
      </c>
      <c r="L34" s="228">
        <v>44.3</v>
      </c>
      <c r="M34" s="229">
        <v>2.3199999999999998E-2</v>
      </c>
      <c r="N34" s="231">
        <v>1964.7</v>
      </c>
      <c r="O34" s="231">
        <v>1922.4</v>
      </c>
      <c r="P34" s="228">
        <v>42.3</v>
      </c>
      <c r="Q34" s="229">
        <v>2.1999999999999999E-2</v>
      </c>
      <c r="R34" s="231">
        <v>1963.8</v>
      </c>
      <c r="S34" s="231">
        <v>1919</v>
      </c>
      <c r="T34" s="228">
        <v>44.8</v>
      </c>
      <c r="U34" s="229">
        <v>2.3300000000000001E-2</v>
      </c>
      <c r="V34" s="231">
        <v>1966</v>
      </c>
      <c r="W34" s="231">
        <v>1907.6</v>
      </c>
      <c r="X34" s="228">
        <v>58.4</v>
      </c>
      <c r="Y34" s="229">
        <v>3.0599999999999999E-2</v>
      </c>
      <c r="Z34" s="228">
        <v>7.1</v>
      </c>
      <c r="AA34" s="228">
        <v>9.1</v>
      </c>
      <c r="AB34" s="228">
        <v>-2</v>
      </c>
      <c r="AC34" s="229">
        <v>3.5999999999999999E-3</v>
      </c>
      <c r="AD34" s="228">
        <v>7.1</v>
      </c>
      <c r="AE34" s="228">
        <v>9.1</v>
      </c>
      <c r="AF34" s="228">
        <v>-2</v>
      </c>
      <c r="AG34" s="229">
        <v>3.5999999999999999E-3</v>
      </c>
      <c r="AH34" s="228">
        <v>6.2</v>
      </c>
      <c r="AI34" s="228">
        <v>5.7</v>
      </c>
      <c r="AJ34" s="228">
        <v>0.5</v>
      </c>
      <c r="AK34" s="229">
        <v>3.2000000000000002E-3</v>
      </c>
      <c r="AL34" s="228">
        <v>8.4</v>
      </c>
      <c r="AM34" s="228">
        <v>-5.7</v>
      </c>
      <c r="AN34" s="228">
        <v>14.1</v>
      </c>
      <c r="AO34" s="229">
        <v>4.3E-3</v>
      </c>
      <c r="AP34" s="231">
        <v>1960.5</v>
      </c>
      <c r="AQ34" s="231">
        <v>1958.86</v>
      </c>
      <c r="AR34" s="228">
        <v>0</v>
      </c>
      <c r="AS34" s="228">
        <v>132</v>
      </c>
      <c r="AT34" s="228">
        <v>104</v>
      </c>
      <c r="AU34" s="228">
        <v>28</v>
      </c>
      <c r="AV34" s="229">
        <v>0.26340000000000002</v>
      </c>
      <c r="AW34" s="228">
        <v>108</v>
      </c>
      <c r="AX34" s="228">
        <v>98</v>
      </c>
      <c r="AY34" s="228">
        <v>10</v>
      </c>
      <c r="AZ34" s="229">
        <v>0.10059999999999999</v>
      </c>
      <c r="BA34" s="228">
        <v>24</v>
      </c>
      <c r="BB34" s="228">
        <v>6</v>
      </c>
      <c r="BC34" s="228">
        <v>18</v>
      </c>
      <c r="BD34" s="229">
        <v>2.8946999999999998</v>
      </c>
      <c r="BE34" s="228">
        <v>0</v>
      </c>
      <c r="BF34" s="228">
        <v>0</v>
      </c>
      <c r="BG34" s="228">
        <v>0</v>
      </c>
      <c r="BH34" s="229">
        <v>0</v>
      </c>
      <c r="BI34" s="228">
        <v>290</v>
      </c>
      <c r="BJ34" s="228">
        <v>130</v>
      </c>
      <c r="BK34" s="228">
        <v>160</v>
      </c>
      <c r="BL34" s="229">
        <v>1.2277</v>
      </c>
      <c r="BM34" s="228">
        <v>109</v>
      </c>
      <c r="BN34" s="228">
        <v>35</v>
      </c>
      <c r="BO34" s="228">
        <v>74</v>
      </c>
      <c r="BP34" s="229">
        <v>2.1473</v>
      </c>
      <c r="BQ34" s="228">
        <v>531</v>
      </c>
      <c r="BR34" s="228">
        <v>269</v>
      </c>
      <c r="BS34" s="228">
        <v>262</v>
      </c>
      <c r="BT34" s="229">
        <v>0.97199999999999998</v>
      </c>
      <c r="BU34" s="230">
        <v>245740</v>
      </c>
      <c r="BV34" s="230">
        <v>399593</v>
      </c>
      <c r="BW34" s="230">
        <v>-153853</v>
      </c>
      <c r="BX34" s="229">
        <v>-0.38500000000000001</v>
      </c>
      <c r="BY34" s="228">
        <v>361</v>
      </c>
      <c r="BZ34" s="228">
        <v>364</v>
      </c>
      <c r="CA34" s="228">
        <v>-3</v>
      </c>
      <c r="CB34" s="229">
        <v>-7.4999999999999997E-3</v>
      </c>
      <c r="CC34" s="228">
        <v>335</v>
      </c>
      <c r="CD34" s="228">
        <v>349</v>
      </c>
      <c r="CE34" s="228">
        <v>-14</v>
      </c>
      <c r="CF34" s="229">
        <v>-4.1300000000000003E-2</v>
      </c>
      <c r="CG34" s="228">
        <v>25</v>
      </c>
      <c r="CH34" s="228">
        <v>14</v>
      </c>
      <c r="CI34" s="228">
        <v>12</v>
      </c>
      <c r="CJ34" s="229">
        <v>0.84719999999999995</v>
      </c>
      <c r="CK34" s="228">
        <v>1</v>
      </c>
      <c r="CL34" s="228">
        <v>1</v>
      </c>
      <c r="CM34" s="228">
        <v>0</v>
      </c>
      <c r="CN34" s="229">
        <v>0</v>
      </c>
      <c r="CO34" s="228">
        <v>119</v>
      </c>
      <c r="CP34" s="228">
        <v>123</v>
      </c>
      <c r="CQ34" s="228">
        <v>-4</v>
      </c>
      <c r="CR34" s="229">
        <v>-3.3799999999999997E-2</v>
      </c>
      <c r="CS34" s="228">
        <v>76</v>
      </c>
      <c r="CT34" s="228">
        <v>72</v>
      </c>
      <c r="CU34" s="228">
        <v>4</v>
      </c>
      <c r="CV34" s="229">
        <v>5.67E-2</v>
      </c>
      <c r="CW34" s="228">
        <v>556</v>
      </c>
      <c r="CX34" s="228">
        <v>558</v>
      </c>
      <c r="CY34" s="228">
        <v>-3</v>
      </c>
      <c r="CZ34" s="229">
        <v>-5.0000000000000001E-3</v>
      </c>
      <c r="DA34" s="228">
        <v>26.74</v>
      </c>
      <c r="DB34" s="228">
        <v>28.84</v>
      </c>
      <c r="DC34" s="228">
        <v>-2.1</v>
      </c>
      <c r="DD34" s="228">
        <v>-2.1</v>
      </c>
      <c r="DE34" s="228">
        <v>42.07</v>
      </c>
      <c r="DF34" s="228">
        <v>42.07</v>
      </c>
      <c r="DG34" s="228">
        <v>-15.33</v>
      </c>
      <c r="DH34" s="228">
        <v>0</v>
      </c>
      <c r="DI34" s="228">
        <v>26.23</v>
      </c>
      <c r="DJ34" s="228">
        <v>28.13</v>
      </c>
      <c r="DK34" s="228">
        <v>-1.9</v>
      </c>
      <c r="DL34" s="228">
        <v>-1.9</v>
      </c>
      <c r="DM34" s="228">
        <v>28.08</v>
      </c>
      <c r="DN34" s="228">
        <v>31.53</v>
      </c>
      <c r="DO34" s="228">
        <v>-3.45</v>
      </c>
      <c r="DP34" s="228">
        <v>-3.45</v>
      </c>
      <c r="DQ34" s="228">
        <v>0.64</v>
      </c>
      <c r="DR34" s="228">
        <v>0.59</v>
      </c>
      <c r="DS34" s="228">
        <v>0.05</v>
      </c>
      <c r="DT34" s="229">
        <v>8.4699999999999998E-2</v>
      </c>
      <c r="DU34" s="231">
        <v>2000</v>
      </c>
      <c r="DV34" s="231">
        <v>1900</v>
      </c>
      <c r="DW34" s="228">
        <v>0.38</v>
      </c>
      <c r="DX34" s="228">
        <v>0.27</v>
      </c>
      <c r="DY34" s="228">
        <v>0.11</v>
      </c>
      <c r="DZ34" s="229">
        <v>0.40739999999999998</v>
      </c>
      <c r="EA34" s="229">
        <v>7.2499999999999995E-2</v>
      </c>
      <c r="EB34" s="230">
        <v>73775</v>
      </c>
      <c r="EC34" s="229">
        <v>-5.0000000000000001E-4</v>
      </c>
      <c r="ED34" s="229">
        <v>7.2499999999999995E-2</v>
      </c>
      <c r="EE34" s="228">
        <v>-1.64</v>
      </c>
      <c r="EF34" s="229">
        <v>-8.0000000000000004E-4</v>
      </c>
      <c r="EG34" s="230">
        <v>109348</v>
      </c>
      <c r="EH34" s="230">
        <v>202902</v>
      </c>
      <c r="EI34" s="229">
        <v>-0.46110000000000001</v>
      </c>
      <c r="EJ34" s="229">
        <v>0.44500000000000001</v>
      </c>
      <c r="EK34" s="228">
        <v>298.77</v>
      </c>
      <c r="EL34" s="228">
        <v>104.59</v>
      </c>
      <c r="EM34" s="228">
        <v>131.68</v>
      </c>
      <c r="EN34" s="228">
        <v>18.53</v>
      </c>
      <c r="EO34" s="228">
        <v>535.04</v>
      </c>
      <c r="EP34" s="228">
        <v>266.51</v>
      </c>
      <c r="EQ34" s="228">
        <v>268.54000000000002</v>
      </c>
      <c r="ER34" s="229">
        <v>1.0076000000000001</v>
      </c>
      <c r="ES34" s="228">
        <v>121.9</v>
      </c>
      <c r="ET34" s="228">
        <v>72.08</v>
      </c>
      <c r="EU34" s="228">
        <v>360.95</v>
      </c>
      <c r="EV34" s="231">
        <v>19584741</v>
      </c>
      <c r="EW34" s="228">
        <v>554.91999999999996</v>
      </c>
      <c r="EX34" s="228">
        <v>548.96</v>
      </c>
      <c r="EY34" s="228">
        <v>5.96</v>
      </c>
      <c r="EZ34" s="229">
        <v>1.09E-2</v>
      </c>
      <c r="FA34" s="229">
        <v>0.1444</v>
      </c>
      <c r="FB34" s="227" t="s">
        <v>556</v>
      </c>
      <c r="FC34">
        <f t="shared" si="0"/>
        <v>26</v>
      </c>
    </row>
    <row r="35" spans="1:159" ht="17.25" thickBot="1" x14ac:dyDescent="0.3">
      <c r="A35" s="226">
        <v>45946</v>
      </c>
      <c r="B35" s="227" t="s">
        <v>162</v>
      </c>
      <c r="C35" s="227" t="s">
        <v>192</v>
      </c>
      <c r="D35" s="228">
        <v>25</v>
      </c>
      <c r="E35" s="228">
        <v>12</v>
      </c>
      <c r="F35" s="231">
        <v>38585</v>
      </c>
      <c r="G35" s="231">
        <v>38455</v>
      </c>
      <c r="H35" s="228">
        <v>130</v>
      </c>
      <c r="I35" s="229">
        <v>3.3999999999999998E-3</v>
      </c>
      <c r="J35" s="231">
        <v>38510</v>
      </c>
      <c r="K35" s="231">
        <v>38380</v>
      </c>
      <c r="L35" s="228">
        <v>130</v>
      </c>
      <c r="M35" s="229">
        <v>3.3999999999999998E-3</v>
      </c>
      <c r="N35" s="231">
        <v>38585</v>
      </c>
      <c r="O35" s="231">
        <v>38455</v>
      </c>
      <c r="P35" s="228">
        <v>130</v>
      </c>
      <c r="Q35" s="229">
        <v>3.3999999999999998E-3</v>
      </c>
      <c r="R35" s="231">
        <v>38825</v>
      </c>
      <c r="S35" s="231">
        <v>38650</v>
      </c>
      <c r="T35" s="228">
        <v>175</v>
      </c>
      <c r="U35" s="229">
        <v>4.4999999999999997E-3</v>
      </c>
      <c r="V35" s="231">
        <v>38420</v>
      </c>
      <c r="W35" s="231">
        <v>38420</v>
      </c>
      <c r="X35" s="228">
        <v>0</v>
      </c>
      <c r="Y35" s="229">
        <v>0</v>
      </c>
      <c r="Z35" s="228">
        <v>75</v>
      </c>
      <c r="AA35" s="228">
        <v>75</v>
      </c>
      <c r="AB35" s="228">
        <v>0</v>
      </c>
      <c r="AC35" s="229">
        <v>1.9E-3</v>
      </c>
      <c r="AD35" s="228">
        <v>75</v>
      </c>
      <c r="AE35" s="228">
        <v>75</v>
      </c>
      <c r="AF35" s="228">
        <v>0</v>
      </c>
      <c r="AG35" s="229">
        <v>1.9E-3</v>
      </c>
      <c r="AH35" s="228">
        <v>315</v>
      </c>
      <c r="AI35" s="228">
        <v>270</v>
      </c>
      <c r="AJ35" s="228">
        <v>45</v>
      </c>
      <c r="AK35" s="229">
        <v>8.2000000000000007E-3</v>
      </c>
      <c r="AL35" s="228">
        <v>-90</v>
      </c>
      <c r="AM35" s="228">
        <v>40</v>
      </c>
      <c r="AN35" s="228">
        <v>-130</v>
      </c>
      <c r="AO35" s="229">
        <v>-2.3E-3</v>
      </c>
      <c r="AP35" s="231">
        <v>38623.440000000002</v>
      </c>
      <c r="AQ35" s="231">
        <v>38822</v>
      </c>
      <c r="AR35" s="228">
        <v>0</v>
      </c>
      <c r="AS35" s="228">
        <v>81</v>
      </c>
      <c r="AT35" s="228">
        <v>136</v>
      </c>
      <c r="AU35" s="228">
        <v>-55</v>
      </c>
      <c r="AV35" s="229">
        <v>-0.40360000000000001</v>
      </c>
      <c r="AW35" s="228">
        <v>67</v>
      </c>
      <c r="AX35" s="228">
        <v>121</v>
      </c>
      <c r="AY35" s="228">
        <v>-54</v>
      </c>
      <c r="AZ35" s="229">
        <v>-0.44519999999999998</v>
      </c>
      <c r="BA35" s="228">
        <v>14</v>
      </c>
      <c r="BB35" s="228">
        <v>14</v>
      </c>
      <c r="BC35" s="228">
        <v>0</v>
      </c>
      <c r="BD35" s="229">
        <v>-2.1000000000000001E-2</v>
      </c>
      <c r="BE35" s="228">
        <v>0</v>
      </c>
      <c r="BF35" s="228">
        <v>0</v>
      </c>
      <c r="BG35" s="228">
        <v>0</v>
      </c>
      <c r="BH35" s="229">
        <v>-1</v>
      </c>
      <c r="BI35" s="228">
        <v>318</v>
      </c>
      <c r="BJ35" s="228">
        <v>482</v>
      </c>
      <c r="BK35" s="228">
        <v>-164</v>
      </c>
      <c r="BL35" s="229">
        <v>-0.34079999999999999</v>
      </c>
      <c r="BM35" s="228">
        <v>129</v>
      </c>
      <c r="BN35" s="228">
        <v>232</v>
      </c>
      <c r="BO35" s="228">
        <v>-102</v>
      </c>
      <c r="BP35" s="229">
        <v>-0.44169999999999998</v>
      </c>
      <c r="BQ35" s="228">
        <v>528</v>
      </c>
      <c r="BR35" s="228">
        <v>849</v>
      </c>
      <c r="BS35" s="228">
        <v>-321</v>
      </c>
      <c r="BT35" s="229">
        <v>-0.37830000000000003</v>
      </c>
      <c r="BU35" s="230">
        <v>16896</v>
      </c>
      <c r="BV35" s="230">
        <v>22755</v>
      </c>
      <c r="BW35" s="230">
        <v>-5859</v>
      </c>
      <c r="BX35" s="229">
        <v>-0.25750000000000001</v>
      </c>
      <c r="BY35" s="228">
        <v>950</v>
      </c>
      <c r="BZ35" s="228">
        <v>953</v>
      </c>
      <c r="CA35" s="228">
        <v>-3</v>
      </c>
      <c r="CB35" s="229">
        <v>-3.0000000000000001E-3</v>
      </c>
      <c r="CC35" s="228">
        <v>918</v>
      </c>
      <c r="CD35" s="228">
        <v>922</v>
      </c>
      <c r="CE35" s="228">
        <v>-3</v>
      </c>
      <c r="CF35" s="229">
        <v>-3.7000000000000002E-3</v>
      </c>
      <c r="CG35" s="228">
        <v>31</v>
      </c>
      <c r="CH35" s="228">
        <v>31</v>
      </c>
      <c r="CI35" s="228">
        <v>0</v>
      </c>
      <c r="CJ35" s="229">
        <v>1.5599999999999999E-2</v>
      </c>
      <c r="CK35" s="228">
        <v>1</v>
      </c>
      <c r="CL35" s="228">
        <v>1</v>
      </c>
      <c r="CM35" s="228">
        <v>0</v>
      </c>
      <c r="CN35" s="229">
        <v>0</v>
      </c>
      <c r="CO35" s="228">
        <v>348</v>
      </c>
      <c r="CP35" s="228">
        <v>354</v>
      </c>
      <c r="CQ35" s="228">
        <v>-5</v>
      </c>
      <c r="CR35" s="229">
        <v>-1.4500000000000001E-2</v>
      </c>
      <c r="CS35" s="228">
        <v>202</v>
      </c>
      <c r="CT35" s="228">
        <v>199</v>
      </c>
      <c r="CU35" s="228">
        <v>3</v>
      </c>
      <c r="CV35" s="229">
        <v>1.46E-2</v>
      </c>
      <c r="CW35" s="230">
        <v>1500</v>
      </c>
      <c r="CX35" s="230">
        <v>1505</v>
      </c>
      <c r="CY35" s="228">
        <v>-5</v>
      </c>
      <c r="CZ35" s="229">
        <v>-3.3999999999999998E-3</v>
      </c>
      <c r="DA35" s="228">
        <v>22.14</v>
      </c>
      <c r="DB35" s="228">
        <v>22.35</v>
      </c>
      <c r="DC35" s="228">
        <v>-0.21</v>
      </c>
      <c r="DD35" s="228">
        <v>-0.21</v>
      </c>
      <c r="DE35" s="228">
        <v>28.89</v>
      </c>
      <c r="DF35" s="228">
        <v>28.96</v>
      </c>
      <c r="DG35" s="228">
        <v>-6.75</v>
      </c>
      <c r="DH35" s="228">
        <v>-7.0000000000000007E-2</v>
      </c>
      <c r="DI35" s="228">
        <v>22.64</v>
      </c>
      <c r="DJ35" s="228">
        <v>22.65</v>
      </c>
      <c r="DK35" s="228">
        <v>-0.01</v>
      </c>
      <c r="DL35" s="228">
        <v>-0.01</v>
      </c>
      <c r="DM35" s="228">
        <v>20.93</v>
      </c>
      <c r="DN35" s="228">
        <v>21.71</v>
      </c>
      <c r="DO35" s="228">
        <v>-0.78</v>
      </c>
      <c r="DP35" s="228">
        <v>-0.78</v>
      </c>
      <c r="DQ35" s="228">
        <v>0.57999999999999996</v>
      </c>
      <c r="DR35" s="228">
        <v>0.56000000000000005</v>
      </c>
      <c r="DS35" s="228">
        <v>0.02</v>
      </c>
      <c r="DT35" s="229">
        <v>3.5700000000000003E-2</v>
      </c>
      <c r="DU35" s="231">
        <v>40000</v>
      </c>
      <c r="DV35" s="231">
        <v>38000</v>
      </c>
      <c r="DW35" s="228">
        <v>0.41</v>
      </c>
      <c r="DX35" s="228">
        <v>0.48</v>
      </c>
      <c r="DY35" s="228">
        <v>-7.0000000000000007E-2</v>
      </c>
      <c r="DZ35" s="229">
        <v>-0.14580000000000001</v>
      </c>
      <c r="EA35" s="229">
        <v>3.3700000000000001E-2</v>
      </c>
      <c r="EB35" s="230">
        <v>8175</v>
      </c>
      <c r="EC35" s="229">
        <v>6.1999999999999998E-3</v>
      </c>
      <c r="ED35" s="229">
        <v>3.3700000000000001E-2</v>
      </c>
      <c r="EE35" s="228">
        <v>198.56</v>
      </c>
      <c r="EF35" s="229">
        <v>5.1000000000000004E-3</v>
      </c>
      <c r="EG35" s="230">
        <v>10599</v>
      </c>
      <c r="EH35" s="230">
        <v>13606</v>
      </c>
      <c r="EI35" s="229">
        <v>-0.221</v>
      </c>
      <c r="EJ35" s="229">
        <v>0.62729999999999997</v>
      </c>
      <c r="EK35" s="228">
        <v>332.51</v>
      </c>
      <c r="EL35" s="228">
        <v>128.78</v>
      </c>
      <c r="EM35" s="228">
        <v>80.989999999999995</v>
      </c>
      <c r="EN35" s="228">
        <v>12.57</v>
      </c>
      <c r="EO35" s="228">
        <v>542.28</v>
      </c>
      <c r="EP35" s="228">
        <v>867.19</v>
      </c>
      <c r="EQ35" s="228">
        <v>-324.92</v>
      </c>
      <c r="ER35" s="229">
        <v>-0.37469999999999998</v>
      </c>
      <c r="ES35" s="228">
        <v>360.09</v>
      </c>
      <c r="ET35" s="228">
        <v>195.88</v>
      </c>
      <c r="EU35" s="228">
        <v>950.35</v>
      </c>
      <c r="EV35" s="231">
        <v>982526</v>
      </c>
      <c r="EW35" s="231">
        <v>1506.32</v>
      </c>
      <c r="EX35" s="231">
        <v>1508.88</v>
      </c>
      <c r="EY35" s="228">
        <v>-2.56</v>
      </c>
      <c r="EZ35" s="229">
        <v>-1.6999999999999999E-3</v>
      </c>
      <c r="FA35" s="229">
        <v>0.3957</v>
      </c>
      <c r="FB35" s="227" t="s">
        <v>556</v>
      </c>
      <c r="FC35">
        <f t="shared" si="0"/>
        <v>32</v>
      </c>
    </row>
    <row r="36" spans="1:159" ht="17.25" thickBot="1" x14ac:dyDescent="0.3">
      <c r="A36" s="226">
        <v>45946</v>
      </c>
      <c r="B36" s="227" t="s">
        <v>193</v>
      </c>
      <c r="C36" s="227" t="s">
        <v>194</v>
      </c>
      <c r="D36" s="228">
        <v>1975</v>
      </c>
      <c r="E36" s="228">
        <v>12</v>
      </c>
      <c r="F36" s="228">
        <v>337.15</v>
      </c>
      <c r="G36" s="228">
        <v>339.45</v>
      </c>
      <c r="H36" s="228">
        <v>-2.2999999999999998</v>
      </c>
      <c r="I36" s="229">
        <v>-6.7999999999999996E-3</v>
      </c>
      <c r="J36" s="228">
        <v>335.9</v>
      </c>
      <c r="K36" s="228">
        <v>337.9</v>
      </c>
      <c r="L36" s="228">
        <v>-2</v>
      </c>
      <c r="M36" s="229">
        <v>-5.8999999999999999E-3</v>
      </c>
      <c r="N36" s="228">
        <v>337.15</v>
      </c>
      <c r="O36" s="228">
        <v>339.45</v>
      </c>
      <c r="P36" s="228">
        <v>-2.2999999999999998</v>
      </c>
      <c r="Q36" s="229">
        <v>-6.7999999999999996E-3</v>
      </c>
      <c r="R36" s="228">
        <v>338.8</v>
      </c>
      <c r="S36" s="228">
        <v>340.85</v>
      </c>
      <c r="T36" s="228">
        <v>-2.0499999999999998</v>
      </c>
      <c r="U36" s="229">
        <v>-6.0000000000000001E-3</v>
      </c>
      <c r="V36" s="228">
        <v>340.3</v>
      </c>
      <c r="W36" s="228">
        <v>342.1</v>
      </c>
      <c r="X36" s="228">
        <v>-1.8</v>
      </c>
      <c r="Y36" s="229">
        <v>-5.3E-3</v>
      </c>
      <c r="Z36" s="228">
        <v>1.25</v>
      </c>
      <c r="AA36" s="228">
        <v>1.55</v>
      </c>
      <c r="AB36" s="228">
        <v>-0.3</v>
      </c>
      <c r="AC36" s="229">
        <v>3.7000000000000002E-3</v>
      </c>
      <c r="AD36" s="228">
        <v>1.25</v>
      </c>
      <c r="AE36" s="228">
        <v>1.55</v>
      </c>
      <c r="AF36" s="228">
        <v>-0.3</v>
      </c>
      <c r="AG36" s="229">
        <v>3.7000000000000002E-3</v>
      </c>
      <c r="AH36" s="228">
        <v>2.9</v>
      </c>
      <c r="AI36" s="228">
        <v>2.95</v>
      </c>
      <c r="AJ36" s="228">
        <v>-0.05</v>
      </c>
      <c r="AK36" s="229">
        <v>8.6E-3</v>
      </c>
      <c r="AL36" s="228">
        <v>4.4000000000000004</v>
      </c>
      <c r="AM36" s="228">
        <v>4.2</v>
      </c>
      <c r="AN36" s="228">
        <v>0.2</v>
      </c>
      <c r="AO36" s="229">
        <v>1.3100000000000001E-2</v>
      </c>
      <c r="AP36" s="228">
        <v>337.19</v>
      </c>
      <c r="AQ36" s="228">
        <v>338.78</v>
      </c>
      <c r="AR36" s="228">
        <v>0</v>
      </c>
      <c r="AS36" s="228">
        <v>258</v>
      </c>
      <c r="AT36" s="228">
        <v>407</v>
      </c>
      <c r="AU36" s="228">
        <v>-149</v>
      </c>
      <c r="AV36" s="229">
        <v>-0.36520000000000002</v>
      </c>
      <c r="AW36" s="228">
        <v>224</v>
      </c>
      <c r="AX36" s="228">
        <v>376</v>
      </c>
      <c r="AY36" s="228">
        <v>-152</v>
      </c>
      <c r="AZ36" s="229">
        <v>-0.40360000000000001</v>
      </c>
      <c r="BA36" s="228">
        <v>31</v>
      </c>
      <c r="BB36" s="228">
        <v>28</v>
      </c>
      <c r="BC36" s="228">
        <v>3</v>
      </c>
      <c r="BD36" s="229">
        <v>0.1053</v>
      </c>
      <c r="BE36" s="228">
        <v>3</v>
      </c>
      <c r="BF36" s="228">
        <v>3</v>
      </c>
      <c r="BG36" s="228">
        <v>0</v>
      </c>
      <c r="BH36" s="229">
        <v>0.1163</v>
      </c>
      <c r="BI36" s="228">
        <v>628</v>
      </c>
      <c r="BJ36" s="230">
        <v>1086</v>
      </c>
      <c r="BK36" s="228">
        <v>-457</v>
      </c>
      <c r="BL36" s="229">
        <v>-0.42130000000000001</v>
      </c>
      <c r="BM36" s="228">
        <v>269</v>
      </c>
      <c r="BN36" s="228">
        <v>684</v>
      </c>
      <c r="BO36" s="228">
        <v>-415</v>
      </c>
      <c r="BP36" s="229">
        <v>-0.60629999999999995</v>
      </c>
      <c r="BQ36" s="230">
        <v>1156</v>
      </c>
      <c r="BR36" s="230">
        <v>2177</v>
      </c>
      <c r="BS36" s="230">
        <v>-1021</v>
      </c>
      <c r="BT36" s="229">
        <v>-0.46889999999999998</v>
      </c>
      <c r="BU36" s="230">
        <v>6369739</v>
      </c>
      <c r="BV36" s="230">
        <v>16608791</v>
      </c>
      <c r="BW36" s="230">
        <v>-10239052</v>
      </c>
      <c r="BX36" s="229">
        <v>-0.61650000000000005</v>
      </c>
      <c r="BY36" s="230">
        <v>1347</v>
      </c>
      <c r="BZ36" s="230">
        <v>1305</v>
      </c>
      <c r="CA36" s="228">
        <v>42</v>
      </c>
      <c r="CB36" s="229">
        <v>3.2199999999999999E-2</v>
      </c>
      <c r="CC36" s="230">
        <v>1282</v>
      </c>
      <c r="CD36" s="230">
        <v>1249</v>
      </c>
      <c r="CE36" s="228">
        <v>32</v>
      </c>
      <c r="CF36" s="229">
        <v>2.5700000000000001E-2</v>
      </c>
      <c r="CG36" s="228">
        <v>59</v>
      </c>
      <c r="CH36" s="228">
        <v>50</v>
      </c>
      <c r="CI36" s="228">
        <v>9</v>
      </c>
      <c r="CJ36" s="229">
        <v>0.1772</v>
      </c>
      <c r="CK36" s="228">
        <v>6</v>
      </c>
      <c r="CL36" s="228">
        <v>5</v>
      </c>
      <c r="CM36" s="228">
        <v>1</v>
      </c>
      <c r="CN36" s="229">
        <v>0.17280000000000001</v>
      </c>
      <c r="CO36" s="228">
        <v>526</v>
      </c>
      <c r="CP36" s="228">
        <v>485</v>
      </c>
      <c r="CQ36" s="228">
        <v>41</v>
      </c>
      <c r="CR36" s="229">
        <v>8.5300000000000001E-2</v>
      </c>
      <c r="CS36" s="228">
        <v>342</v>
      </c>
      <c r="CT36" s="228">
        <v>332</v>
      </c>
      <c r="CU36" s="228">
        <v>10</v>
      </c>
      <c r="CV36" s="229">
        <v>3.09E-2</v>
      </c>
      <c r="CW36" s="230">
        <v>2215</v>
      </c>
      <c r="CX36" s="230">
        <v>2122</v>
      </c>
      <c r="CY36" s="228">
        <v>94</v>
      </c>
      <c r="CZ36" s="229">
        <v>4.41E-2</v>
      </c>
      <c r="DA36" s="228">
        <v>27.69</v>
      </c>
      <c r="DB36" s="228">
        <v>27.41</v>
      </c>
      <c r="DC36" s="228">
        <v>0.28000000000000003</v>
      </c>
      <c r="DD36" s="228">
        <v>0.28000000000000003</v>
      </c>
      <c r="DE36" s="228">
        <v>33.42</v>
      </c>
      <c r="DF36" s="228">
        <v>33.49</v>
      </c>
      <c r="DG36" s="228">
        <v>-5.73</v>
      </c>
      <c r="DH36" s="228">
        <v>-7.0000000000000007E-2</v>
      </c>
      <c r="DI36" s="228">
        <v>28.04</v>
      </c>
      <c r="DJ36" s="228">
        <v>27.42</v>
      </c>
      <c r="DK36" s="228">
        <v>0.62</v>
      </c>
      <c r="DL36" s="228">
        <v>0.62</v>
      </c>
      <c r="DM36" s="228">
        <v>26.88</v>
      </c>
      <c r="DN36" s="228">
        <v>27.39</v>
      </c>
      <c r="DO36" s="228">
        <v>-0.51</v>
      </c>
      <c r="DP36" s="228">
        <v>-0.51</v>
      </c>
      <c r="DQ36" s="228">
        <v>0.65</v>
      </c>
      <c r="DR36" s="228">
        <v>0.68</v>
      </c>
      <c r="DS36" s="228">
        <v>-0.03</v>
      </c>
      <c r="DT36" s="229">
        <v>-4.41E-2</v>
      </c>
      <c r="DU36" s="228">
        <v>350</v>
      </c>
      <c r="DV36" s="228">
        <v>320</v>
      </c>
      <c r="DW36" s="228">
        <v>0.43</v>
      </c>
      <c r="DX36" s="228">
        <v>0.63</v>
      </c>
      <c r="DY36" s="228">
        <v>-0.2</v>
      </c>
      <c r="DZ36" s="229">
        <v>-0.3175</v>
      </c>
      <c r="EA36" s="229">
        <v>4.87E-2</v>
      </c>
      <c r="EB36" s="230">
        <v>1653075</v>
      </c>
      <c r="EC36" s="229">
        <v>4.8999999999999998E-3</v>
      </c>
      <c r="ED36" s="229">
        <v>4.87E-2</v>
      </c>
      <c r="EE36" s="228">
        <v>1.59</v>
      </c>
      <c r="EF36" s="229">
        <v>4.7000000000000002E-3</v>
      </c>
      <c r="EG36" s="230">
        <v>4125883</v>
      </c>
      <c r="EH36" s="230">
        <v>10909507</v>
      </c>
      <c r="EI36" s="229">
        <v>-0.62180000000000002</v>
      </c>
      <c r="EJ36" s="229">
        <v>0.64770000000000005</v>
      </c>
      <c r="EK36" s="228">
        <v>653.01</v>
      </c>
      <c r="EL36" s="228">
        <v>267.98</v>
      </c>
      <c r="EM36" s="228">
        <v>258.56</v>
      </c>
      <c r="EN36" s="228">
        <v>38.340000000000003</v>
      </c>
      <c r="EO36" s="231">
        <v>1179.55</v>
      </c>
      <c r="EP36" s="231">
        <v>2218.35</v>
      </c>
      <c r="EQ36" s="231">
        <v>-1038.81</v>
      </c>
      <c r="ER36" s="229">
        <v>-0.46829999999999999</v>
      </c>
      <c r="ES36" s="228">
        <v>549.94000000000005</v>
      </c>
      <c r="ET36" s="228">
        <v>331.37</v>
      </c>
      <c r="EU36" s="231">
        <v>1347.47</v>
      </c>
      <c r="EV36" s="231">
        <v>281577339</v>
      </c>
      <c r="EW36" s="231">
        <v>2228.7800000000002</v>
      </c>
      <c r="EX36" s="231">
        <v>2143.9499999999998</v>
      </c>
      <c r="EY36" s="228">
        <v>84.83</v>
      </c>
      <c r="EZ36" s="229">
        <v>3.9600000000000003E-2</v>
      </c>
      <c r="FA36" s="229">
        <v>0.2334</v>
      </c>
      <c r="FB36" s="227" t="s">
        <v>567</v>
      </c>
      <c r="FC36">
        <f t="shared" si="0"/>
        <v>65</v>
      </c>
    </row>
    <row r="37" spans="1:159" ht="17.25" thickBot="1" x14ac:dyDescent="0.3">
      <c r="A37" s="226">
        <v>45946</v>
      </c>
      <c r="B37" s="227" t="s">
        <v>168</v>
      </c>
      <c r="C37" s="227" t="s">
        <v>195</v>
      </c>
      <c r="D37" s="228">
        <v>125</v>
      </c>
      <c r="E37" s="228">
        <v>12</v>
      </c>
      <c r="F37" s="231">
        <v>6034</v>
      </c>
      <c r="G37" s="231">
        <v>5883</v>
      </c>
      <c r="H37" s="228">
        <v>151</v>
      </c>
      <c r="I37" s="229">
        <v>2.5700000000000001E-2</v>
      </c>
      <c r="J37" s="231">
        <v>6025.5</v>
      </c>
      <c r="K37" s="231">
        <v>5857.5</v>
      </c>
      <c r="L37" s="228">
        <v>168</v>
      </c>
      <c r="M37" s="229">
        <v>2.87E-2</v>
      </c>
      <c r="N37" s="231">
        <v>6034</v>
      </c>
      <c r="O37" s="231">
        <v>5883</v>
      </c>
      <c r="P37" s="228">
        <v>151</v>
      </c>
      <c r="Q37" s="229">
        <v>2.5700000000000001E-2</v>
      </c>
      <c r="R37" s="231">
        <v>6070.5</v>
      </c>
      <c r="S37" s="231">
        <v>5913</v>
      </c>
      <c r="T37" s="228">
        <v>157.5</v>
      </c>
      <c r="U37" s="229">
        <v>2.6599999999999999E-2</v>
      </c>
      <c r="V37" s="231">
        <v>6083</v>
      </c>
      <c r="W37" s="231">
        <v>5959</v>
      </c>
      <c r="X37" s="228">
        <v>124</v>
      </c>
      <c r="Y37" s="229">
        <v>2.0799999999999999E-2</v>
      </c>
      <c r="Z37" s="228">
        <v>8.5</v>
      </c>
      <c r="AA37" s="228">
        <v>25.5</v>
      </c>
      <c r="AB37" s="228">
        <v>-17</v>
      </c>
      <c r="AC37" s="229">
        <v>1.4E-3</v>
      </c>
      <c r="AD37" s="228">
        <v>8.5</v>
      </c>
      <c r="AE37" s="228">
        <v>25.5</v>
      </c>
      <c r="AF37" s="228">
        <v>-17</v>
      </c>
      <c r="AG37" s="229">
        <v>1.4E-3</v>
      </c>
      <c r="AH37" s="228">
        <v>45</v>
      </c>
      <c r="AI37" s="228">
        <v>55.5</v>
      </c>
      <c r="AJ37" s="228">
        <v>-10.5</v>
      </c>
      <c r="AK37" s="229">
        <v>7.4999999999999997E-3</v>
      </c>
      <c r="AL37" s="228">
        <v>57.5</v>
      </c>
      <c r="AM37" s="228">
        <v>101.5</v>
      </c>
      <c r="AN37" s="228">
        <v>-44</v>
      </c>
      <c r="AO37" s="229">
        <v>9.4999999999999998E-3</v>
      </c>
      <c r="AP37" s="231">
        <v>5985.87</v>
      </c>
      <c r="AQ37" s="231">
        <v>6017.34</v>
      </c>
      <c r="AR37" s="228">
        <v>0</v>
      </c>
      <c r="AS37" s="228">
        <v>384</v>
      </c>
      <c r="AT37" s="228">
        <v>234</v>
      </c>
      <c r="AU37" s="228">
        <v>150</v>
      </c>
      <c r="AV37" s="229">
        <v>0.63859999999999995</v>
      </c>
      <c r="AW37" s="228">
        <v>357</v>
      </c>
      <c r="AX37" s="228">
        <v>218</v>
      </c>
      <c r="AY37" s="228">
        <v>138</v>
      </c>
      <c r="AZ37" s="229">
        <v>0.63339999999999996</v>
      </c>
      <c r="BA37" s="228">
        <v>26</v>
      </c>
      <c r="BB37" s="228">
        <v>16</v>
      </c>
      <c r="BC37" s="228">
        <v>10</v>
      </c>
      <c r="BD37" s="229">
        <v>0.65049999999999997</v>
      </c>
      <c r="BE37" s="228">
        <v>2</v>
      </c>
      <c r="BF37" s="228">
        <v>1</v>
      </c>
      <c r="BG37" s="228">
        <v>1</v>
      </c>
      <c r="BH37" s="229">
        <v>2.4285999999999999</v>
      </c>
      <c r="BI37" s="230">
        <v>1924</v>
      </c>
      <c r="BJ37" s="228">
        <v>676</v>
      </c>
      <c r="BK37" s="230">
        <v>1248</v>
      </c>
      <c r="BL37" s="229">
        <v>1.8469</v>
      </c>
      <c r="BM37" s="228">
        <v>533</v>
      </c>
      <c r="BN37" s="228">
        <v>257</v>
      </c>
      <c r="BO37" s="228">
        <v>276</v>
      </c>
      <c r="BP37" s="229">
        <v>1.0754999999999999</v>
      </c>
      <c r="BQ37" s="230">
        <v>2841</v>
      </c>
      <c r="BR37" s="230">
        <v>1167</v>
      </c>
      <c r="BS37" s="230">
        <v>1674</v>
      </c>
      <c r="BT37" s="229">
        <v>1.4345000000000001</v>
      </c>
      <c r="BU37" s="230">
        <v>368789</v>
      </c>
      <c r="BV37" s="230">
        <v>222455</v>
      </c>
      <c r="BW37" s="230">
        <v>146334</v>
      </c>
      <c r="BX37" s="229">
        <v>0.65780000000000005</v>
      </c>
      <c r="BY37" s="230">
        <v>2235</v>
      </c>
      <c r="BZ37" s="230">
        <v>2231</v>
      </c>
      <c r="CA37" s="228">
        <v>3</v>
      </c>
      <c r="CB37" s="229">
        <v>1.5E-3</v>
      </c>
      <c r="CC37" s="230">
        <v>2213</v>
      </c>
      <c r="CD37" s="230">
        <v>2213</v>
      </c>
      <c r="CE37" s="228">
        <v>0</v>
      </c>
      <c r="CF37" s="229">
        <v>1E-4</v>
      </c>
      <c r="CG37" s="228">
        <v>19</v>
      </c>
      <c r="CH37" s="228">
        <v>17</v>
      </c>
      <c r="CI37" s="228">
        <v>3</v>
      </c>
      <c r="CJ37" s="229">
        <v>0.17810000000000001</v>
      </c>
      <c r="CK37" s="228">
        <v>2</v>
      </c>
      <c r="CL37" s="228">
        <v>2</v>
      </c>
      <c r="CM37" s="228">
        <v>0</v>
      </c>
      <c r="CN37" s="229">
        <v>7.4099999999999999E-2</v>
      </c>
      <c r="CO37" s="228">
        <v>646</v>
      </c>
      <c r="CP37" s="228">
        <v>734</v>
      </c>
      <c r="CQ37" s="228">
        <v>-88</v>
      </c>
      <c r="CR37" s="229">
        <v>-0.1196</v>
      </c>
      <c r="CS37" s="228">
        <v>369</v>
      </c>
      <c r="CT37" s="228">
        <v>333</v>
      </c>
      <c r="CU37" s="228">
        <v>36</v>
      </c>
      <c r="CV37" s="229">
        <v>0.108</v>
      </c>
      <c r="CW37" s="230">
        <v>3250</v>
      </c>
      <c r="CX37" s="230">
        <v>3298</v>
      </c>
      <c r="CY37" s="228">
        <v>-48</v>
      </c>
      <c r="CZ37" s="229">
        <v>-1.47E-2</v>
      </c>
      <c r="DA37" s="228">
        <v>21.06</v>
      </c>
      <c r="DB37" s="228">
        <v>20.91</v>
      </c>
      <c r="DC37" s="228">
        <v>0.15</v>
      </c>
      <c r="DD37" s="228">
        <v>0.15</v>
      </c>
      <c r="DE37" s="228">
        <v>24.89</v>
      </c>
      <c r="DF37" s="228">
        <v>24.65</v>
      </c>
      <c r="DG37" s="228">
        <v>-3.83</v>
      </c>
      <c r="DH37" s="228">
        <v>0.24</v>
      </c>
      <c r="DI37" s="228">
        <v>20.98</v>
      </c>
      <c r="DJ37" s="228">
        <v>21.01</v>
      </c>
      <c r="DK37" s="228">
        <v>-0.03</v>
      </c>
      <c r="DL37" s="228">
        <v>-0.03</v>
      </c>
      <c r="DM37" s="228">
        <v>21.37</v>
      </c>
      <c r="DN37" s="228">
        <v>20.64</v>
      </c>
      <c r="DO37" s="228">
        <v>0.73</v>
      </c>
      <c r="DP37" s="228">
        <v>0.73</v>
      </c>
      <c r="DQ37" s="228">
        <v>0.56999999999999995</v>
      </c>
      <c r="DR37" s="228">
        <v>0.45</v>
      </c>
      <c r="DS37" s="228">
        <v>0.12</v>
      </c>
      <c r="DT37" s="229">
        <v>0.26669999999999999</v>
      </c>
      <c r="DU37" s="231">
        <v>6200</v>
      </c>
      <c r="DV37" s="231">
        <v>5500</v>
      </c>
      <c r="DW37" s="228">
        <v>0.28000000000000003</v>
      </c>
      <c r="DX37" s="228">
        <v>0.38</v>
      </c>
      <c r="DY37" s="228">
        <v>-0.1</v>
      </c>
      <c r="DZ37" s="229">
        <v>-0.26319999999999999</v>
      </c>
      <c r="EA37" s="229">
        <v>9.7000000000000003E-3</v>
      </c>
      <c r="EB37" s="230">
        <v>30750</v>
      </c>
      <c r="EC37" s="229">
        <v>6.0000000000000001E-3</v>
      </c>
      <c r="ED37" s="229">
        <v>9.7000000000000003E-3</v>
      </c>
      <c r="EE37" s="228">
        <v>31.47</v>
      </c>
      <c r="EF37" s="229">
        <v>5.3E-3</v>
      </c>
      <c r="EG37" s="230">
        <v>205738</v>
      </c>
      <c r="EH37" s="230">
        <v>121522</v>
      </c>
      <c r="EI37" s="229">
        <v>0.69299999999999995</v>
      </c>
      <c r="EJ37" s="229">
        <v>0.55789999999999995</v>
      </c>
      <c r="EK37" s="231">
        <v>1958.89</v>
      </c>
      <c r="EL37" s="228">
        <v>515.29999999999995</v>
      </c>
      <c r="EM37" s="228">
        <v>381.08</v>
      </c>
      <c r="EN37" s="228">
        <v>19.739999999999998</v>
      </c>
      <c r="EO37" s="231">
        <v>2855.27</v>
      </c>
      <c r="EP37" s="231">
        <v>1150.46</v>
      </c>
      <c r="EQ37" s="231">
        <v>1704.81</v>
      </c>
      <c r="ER37" s="229">
        <v>1.4819</v>
      </c>
      <c r="ES37" s="228">
        <v>669.26</v>
      </c>
      <c r="ET37" s="228">
        <v>350.36</v>
      </c>
      <c r="EU37" s="231">
        <v>2234.6799999999998</v>
      </c>
      <c r="EV37" s="231">
        <v>13082978</v>
      </c>
      <c r="EW37" s="231">
        <v>3254.29</v>
      </c>
      <c r="EX37" s="231">
        <v>3248.39</v>
      </c>
      <c r="EY37" s="228">
        <v>5.9</v>
      </c>
      <c r="EZ37" s="229">
        <v>1.8E-3</v>
      </c>
      <c r="FA37" s="229">
        <v>0.41170000000000001</v>
      </c>
      <c r="FB37" s="227" t="s">
        <v>555</v>
      </c>
      <c r="FC37">
        <f t="shared" si="0"/>
        <v>22</v>
      </c>
    </row>
    <row r="38" spans="1:159" ht="17.25" thickBot="1" x14ac:dyDescent="0.3">
      <c r="A38" s="226">
        <v>45946</v>
      </c>
      <c r="B38" s="227" t="s">
        <v>175</v>
      </c>
      <c r="C38" s="227" t="s">
        <v>584</v>
      </c>
      <c r="D38" s="228">
        <v>375</v>
      </c>
      <c r="E38" s="228">
        <v>12</v>
      </c>
      <c r="F38" s="231">
        <v>2519.6</v>
      </c>
      <c r="G38" s="231">
        <v>2467.1</v>
      </c>
      <c r="H38" s="228">
        <v>52.5</v>
      </c>
      <c r="I38" s="229">
        <v>2.1299999999999999E-2</v>
      </c>
      <c r="J38" s="231">
        <v>2509.1999999999998</v>
      </c>
      <c r="K38" s="231">
        <v>2456.3000000000002</v>
      </c>
      <c r="L38" s="228">
        <v>52.9</v>
      </c>
      <c r="M38" s="229">
        <v>2.1499999999999998E-2</v>
      </c>
      <c r="N38" s="231">
        <v>2519.6</v>
      </c>
      <c r="O38" s="231">
        <v>2467.1</v>
      </c>
      <c r="P38" s="228">
        <v>52.5</v>
      </c>
      <c r="Q38" s="229">
        <v>2.1299999999999999E-2</v>
      </c>
      <c r="R38" s="231">
        <v>2530.6</v>
      </c>
      <c r="S38" s="231">
        <v>2478</v>
      </c>
      <c r="T38" s="228">
        <v>52.6</v>
      </c>
      <c r="U38" s="229">
        <v>2.12E-2</v>
      </c>
      <c r="V38" s="231">
        <v>2537.6</v>
      </c>
      <c r="W38" s="231">
        <v>2486.8000000000002</v>
      </c>
      <c r="X38" s="228">
        <v>50.8</v>
      </c>
      <c r="Y38" s="229">
        <v>2.0400000000000001E-2</v>
      </c>
      <c r="Z38" s="228">
        <v>10.4</v>
      </c>
      <c r="AA38" s="228">
        <v>10.8</v>
      </c>
      <c r="AB38" s="228">
        <v>-0.4</v>
      </c>
      <c r="AC38" s="229">
        <v>4.1000000000000003E-3</v>
      </c>
      <c r="AD38" s="228">
        <v>10.4</v>
      </c>
      <c r="AE38" s="228">
        <v>10.8</v>
      </c>
      <c r="AF38" s="228">
        <v>-0.4</v>
      </c>
      <c r="AG38" s="229">
        <v>4.1000000000000003E-3</v>
      </c>
      <c r="AH38" s="228">
        <v>21.4</v>
      </c>
      <c r="AI38" s="228">
        <v>21.7</v>
      </c>
      <c r="AJ38" s="228">
        <v>-0.3</v>
      </c>
      <c r="AK38" s="229">
        <v>8.5000000000000006E-3</v>
      </c>
      <c r="AL38" s="228">
        <v>28.4</v>
      </c>
      <c r="AM38" s="228">
        <v>30.5</v>
      </c>
      <c r="AN38" s="228">
        <v>-2.1</v>
      </c>
      <c r="AO38" s="229">
        <v>1.1299999999999999E-2</v>
      </c>
      <c r="AP38" s="231">
        <v>2533.7600000000002</v>
      </c>
      <c r="AQ38" s="231">
        <v>2549.02</v>
      </c>
      <c r="AR38" s="228">
        <v>0</v>
      </c>
      <c r="AS38" s="230">
        <v>1696</v>
      </c>
      <c r="AT38" s="228">
        <v>594</v>
      </c>
      <c r="AU38" s="230">
        <v>1102</v>
      </c>
      <c r="AV38" s="229">
        <v>1.8535999999999999</v>
      </c>
      <c r="AW38" s="230">
        <v>1407</v>
      </c>
      <c r="AX38" s="228">
        <v>520</v>
      </c>
      <c r="AY38" s="228">
        <v>887</v>
      </c>
      <c r="AZ38" s="229">
        <v>1.7078</v>
      </c>
      <c r="BA38" s="228">
        <v>247</v>
      </c>
      <c r="BB38" s="228">
        <v>67</v>
      </c>
      <c r="BC38" s="228">
        <v>180</v>
      </c>
      <c r="BD38" s="229">
        <v>2.6882999999999999</v>
      </c>
      <c r="BE38" s="228">
        <v>42</v>
      </c>
      <c r="BF38" s="228">
        <v>8</v>
      </c>
      <c r="BG38" s="228">
        <v>34</v>
      </c>
      <c r="BH38" s="229">
        <v>4.4146000000000001</v>
      </c>
      <c r="BI38" s="230">
        <v>10866</v>
      </c>
      <c r="BJ38" s="230">
        <v>3350</v>
      </c>
      <c r="BK38" s="230">
        <v>7516</v>
      </c>
      <c r="BL38" s="229">
        <v>2.2431999999999999</v>
      </c>
      <c r="BM38" s="230">
        <v>5062</v>
      </c>
      <c r="BN38" s="230">
        <v>2067</v>
      </c>
      <c r="BO38" s="230">
        <v>2995</v>
      </c>
      <c r="BP38" s="229">
        <v>1.4487000000000001</v>
      </c>
      <c r="BQ38" s="230">
        <v>17624</v>
      </c>
      <c r="BR38" s="230">
        <v>6012</v>
      </c>
      <c r="BS38" s="230">
        <v>11612</v>
      </c>
      <c r="BT38" s="229">
        <v>1.9315</v>
      </c>
      <c r="BU38" s="230">
        <v>9183672</v>
      </c>
      <c r="BV38" s="230">
        <v>3210878</v>
      </c>
      <c r="BW38" s="230">
        <v>5972794</v>
      </c>
      <c r="BX38" s="229">
        <v>1.8602000000000001</v>
      </c>
      <c r="BY38" s="230">
        <v>3325</v>
      </c>
      <c r="BZ38" s="230">
        <v>3424</v>
      </c>
      <c r="CA38" s="228">
        <v>-99</v>
      </c>
      <c r="CB38" s="229">
        <v>-2.8799999999999999E-2</v>
      </c>
      <c r="CC38" s="230">
        <v>2987</v>
      </c>
      <c r="CD38" s="230">
        <v>3120</v>
      </c>
      <c r="CE38" s="228">
        <v>-134</v>
      </c>
      <c r="CF38" s="229">
        <v>-4.2799999999999998E-2</v>
      </c>
      <c r="CG38" s="228">
        <v>282</v>
      </c>
      <c r="CH38" s="228">
        <v>250</v>
      </c>
      <c r="CI38" s="228">
        <v>33</v>
      </c>
      <c r="CJ38" s="229">
        <v>0.1305</v>
      </c>
      <c r="CK38" s="228">
        <v>56</v>
      </c>
      <c r="CL38" s="228">
        <v>54</v>
      </c>
      <c r="CM38" s="228">
        <v>2</v>
      </c>
      <c r="CN38" s="229">
        <v>4.3700000000000003E-2</v>
      </c>
      <c r="CO38" s="230">
        <v>2406</v>
      </c>
      <c r="CP38" s="230">
        <v>2696</v>
      </c>
      <c r="CQ38" s="228">
        <v>-290</v>
      </c>
      <c r="CR38" s="229">
        <v>-0.1077</v>
      </c>
      <c r="CS38" s="230">
        <v>2226</v>
      </c>
      <c r="CT38" s="230">
        <v>2102</v>
      </c>
      <c r="CU38" s="228">
        <v>124</v>
      </c>
      <c r="CV38" s="229">
        <v>5.8900000000000001E-2</v>
      </c>
      <c r="CW38" s="230">
        <v>7957</v>
      </c>
      <c r="CX38" s="230">
        <v>8223</v>
      </c>
      <c r="CY38" s="228">
        <v>-265</v>
      </c>
      <c r="CZ38" s="229">
        <v>-3.2300000000000002E-2</v>
      </c>
      <c r="DA38" s="228">
        <v>39.11</v>
      </c>
      <c r="DB38" s="228">
        <v>42.79</v>
      </c>
      <c r="DC38" s="228">
        <v>-3.68</v>
      </c>
      <c r="DD38" s="228">
        <v>-3.68</v>
      </c>
      <c r="DE38" s="228">
        <v>63.43</v>
      </c>
      <c r="DF38" s="228">
        <v>63.52</v>
      </c>
      <c r="DG38" s="228">
        <v>-24.32</v>
      </c>
      <c r="DH38" s="228">
        <v>-0.09</v>
      </c>
      <c r="DI38" s="228">
        <v>38.299999999999997</v>
      </c>
      <c r="DJ38" s="228">
        <v>41.77</v>
      </c>
      <c r="DK38" s="228">
        <v>-3.47</v>
      </c>
      <c r="DL38" s="228">
        <v>-3.47</v>
      </c>
      <c r="DM38" s="228">
        <v>40.86</v>
      </c>
      <c r="DN38" s="228">
        <v>44.44</v>
      </c>
      <c r="DO38" s="228">
        <v>-3.58</v>
      </c>
      <c r="DP38" s="228">
        <v>-3.58</v>
      </c>
      <c r="DQ38" s="228">
        <v>0.93</v>
      </c>
      <c r="DR38" s="228">
        <v>0.78</v>
      </c>
      <c r="DS38" s="228">
        <v>0.15</v>
      </c>
      <c r="DT38" s="229">
        <v>0.1923</v>
      </c>
      <c r="DU38" s="231">
        <v>2600</v>
      </c>
      <c r="DV38" s="231">
        <v>2400</v>
      </c>
      <c r="DW38" s="228">
        <v>0.47</v>
      </c>
      <c r="DX38" s="228">
        <v>0.62</v>
      </c>
      <c r="DY38" s="228">
        <v>-0.15</v>
      </c>
      <c r="DZ38" s="229">
        <v>-0.2419</v>
      </c>
      <c r="EA38" s="229">
        <v>0.1019</v>
      </c>
      <c r="EB38" s="230">
        <v>1205625</v>
      </c>
      <c r="EC38" s="229">
        <v>4.4000000000000003E-3</v>
      </c>
      <c r="ED38" s="229">
        <v>0.1019</v>
      </c>
      <c r="EE38" s="228">
        <v>15.26</v>
      </c>
      <c r="EF38" s="229">
        <v>6.0000000000000001E-3</v>
      </c>
      <c r="EG38" s="230">
        <v>2967117</v>
      </c>
      <c r="EH38" s="230">
        <v>977575</v>
      </c>
      <c r="EI38" s="229">
        <v>2.0352000000000001</v>
      </c>
      <c r="EJ38" s="229">
        <v>0.3231</v>
      </c>
      <c r="EK38" s="231">
        <v>11485.09</v>
      </c>
      <c r="EL38" s="231">
        <v>4909.8500000000004</v>
      </c>
      <c r="EM38" s="231">
        <v>1707.64</v>
      </c>
      <c r="EN38" s="228">
        <v>173.91</v>
      </c>
      <c r="EO38" s="231">
        <v>18102.57</v>
      </c>
      <c r="EP38" s="231">
        <v>5991.07</v>
      </c>
      <c r="EQ38" s="231">
        <v>12111.5</v>
      </c>
      <c r="ER38" s="229">
        <v>2.0215999999999998</v>
      </c>
      <c r="ES38" s="231">
        <v>2416.5700000000002</v>
      </c>
      <c r="ET38" s="231">
        <v>1976.01</v>
      </c>
      <c r="EU38" s="231">
        <v>3326.94</v>
      </c>
      <c r="EV38" s="231">
        <v>48385387</v>
      </c>
      <c r="EW38" s="231">
        <v>7719.52</v>
      </c>
      <c r="EX38" s="231">
        <v>7892.52</v>
      </c>
      <c r="EY38" s="228">
        <v>-173</v>
      </c>
      <c r="EZ38" s="229">
        <v>-2.1899999999999999E-2</v>
      </c>
      <c r="FA38" s="229">
        <v>0.65269999999999995</v>
      </c>
      <c r="FB38" s="227" t="s">
        <v>556</v>
      </c>
      <c r="FC38">
        <f t="shared" si="0"/>
        <v>338</v>
      </c>
    </row>
    <row r="39" spans="1:159" ht="17.25" thickBot="1" x14ac:dyDescent="0.3">
      <c r="A39" s="226">
        <v>45946</v>
      </c>
      <c r="B39" s="227" t="s">
        <v>175</v>
      </c>
      <c r="C39" s="227" t="s">
        <v>611</v>
      </c>
      <c r="D39" s="228">
        <v>150</v>
      </c>
      <c r="E39" s="228">
        <v>12</v>
      </c>
      <c r="F39" s="231">
        <v>3834.8</v>
      </c>
      <c r="G39" s="231">
        <v>3852.5</v>
      </c>
      <c r="H39" s="228">
        <v>-17.7</v>
      </c>
      <c r="I39" s="229">
        <v>-4.5999999999999999E-3</v>
      </c>
      <c r="J39" s="231">
        <v>3830.8</v>
      </c>
      <c r="K39" s="231">
        <v>3836.2</v>
      </c>
      <c r="L39" s="228">
        <v>-5.4</v>
      </c>
      <c r="M39" s="229">
        <v>-1.4E-3</v>
      </c>
      <c r="N39" s="231">
        <v>3834.8</v>
      </c>
      <c r="O39" s="231">
        <v>3852.5</v>
      </c>
      <c r="P39" s="228">
        <v>-17.7</v>
      </c>
      <c r="Q39" s="229">
        <v>-4.5999999999999999E-3</v>
      </c>
      <c r="R39" s="231">
        <v>3841.9</v>
      </c>
      <c r="S39" s="231">
        <v>3859.6</v>
      </c>
      <c r="T39" s="228">
        <v>-17.7</v>
      </c>
      <c r="U39" s="229">
        <v>-4.5999999999999999E-3</v>
      </c>
      <c r="V39" s="231">
        <v>3866.7</v>
      </c>
      <c r="W39" s="231">
        <v>3872</v>
      </c>
      <c r="X39" s="228">
        <v>-5.3</v>
      </c>
      <c r="Y39" s="229">
        <v>-1.4E-3</v>
      </c>
      <c r="Z39" s="228">
        <v>4</v>
      </c>
      <c r="AA39" s="228">
        <v>16.3</v>
      </c>
      <c r="AB39" s="228">
        <v>-12.3</v>
      </c>
      <c r="AC39" s="229">
        <v>1E-3</v>
      </c>
      <c r="AD39" s="228">
        <v>4</v>
      </c>
      <c r="AE39" s="228">
        <v>16.3</v>
      </c>
      <c r="AF39" s="228">
        <v>-12.3</v>
      </c>
      <c r="AG39" s="229">
        <v>1E-3</v>
      </c>
      <c r="AH39" s="228">
        <v>11.1</v>
      </c>
      <c r="AI39" s="228">
        <v>23.4</v>
      </c>
      <c r="AJ39" s="228">
        <v>-12.3</v>
      </c>
      <c r="AK39" s="229">
        <v>2.8999999999999998E-3</v>
      </c>
      <c r="AL39" s="228">
        <v>35.9</v>
      </c>
      <c r="AM39" s="228">
        <v>35.799999999999997</v>
      </c>
      <c r="AN39" s="228">
        <v>0.1</v>
      </c>
      <c r="AO39" s="229">
        <v>9.4000000000000004E-3</v>
      </c>
      <c r="AP39" s="231">
        <v>3850.94</v>
      </c>
      <c r="AQ39" s="231">
        <v>3859.35</v>
      </c>
      <c r="AR39" s="228">
        <v>0</v>
      </c>
      <c r="AS39" s="228">
        <v>168</v>
      </c>
      <c r="AT39" s="228">
        <v>180</v>
      </c>
      <c r="AU39" s="228">
        <v>-12</v>
      </c>
      <c r="AV39" s="229">
        <v>-6.9199999999999998E-2</v>
      </c>
      <c r="AW39" s="228">
        <v>142</v>
      </c>
      <c r="AX39" s="228">
        <v>148</v>
      </c>
      <c r="AY39" s="228">
        <v>-7</v>
      </c>
      <c r="AZ39" s="229">
        <v>-4.4600000000000001E-2</v>
      </c>
      <c r="BA39" s="228">
        <v>25</v>
      </c>
      <c r="BB39" s="228">
        <v>30</v>
      </c>
      <c r="BC39" s="228">
        <v>-5</v>
      </c>
      <c r="BD39" s="229">
        <v>-0.15279999999999999</v>
      </c>
      <c r="BE39" s="228">
        <v>1</v>
      </c>
      <c r="BF39" s="228">
        <v>2</v>
      </c>
      <c r="BG39" s="228">
        <v>-1</v>
      </c>
      <c r="BH39" s="229">
        <v>-0.57499999999999996</v>
      </c>
      <c r="BI39" s="228">
        <v>385</v>
      </c>
      <c r="BJ39" s="228">
        <v>593</v>
      </c>
      <c r="BK39" s="228">
        <v>-209</v>
      </c>
      <c r="BL39" s="229">
        <v>-0.3518</v>
      </c>
      <c r="BM39" s="228">
        <v>129</v>
      </c>
      <c r="BN39" s="228">
        <v>192</v>
      </c>
      <c r="BO39" s="228">
        <v>-63</v>
      </c>
      <c r="BP39" s="229">
        <v>-0.32890000000000003</v>
      </c>
      <c r="BQ39" s="228">
        <v>682</v>
      </c>
      <c r="BR39" s="228">
        <v>966</v>
      </c>
      <c r="BS39" s="228">
        <v>-285</v>
      </c>
      <c r="BT39" s="229">
        <v>-0.29449999999999998</v>
      </c>
      <c r="BU39" s="230">
        <v>321745</v>
      </c>
      <c r="BV39" s="230">
        <v>295232</v>
      </c>
      <c r="BW39" s="230">
        <v>26513</v>
      </c>
      <c r="BX39" s="229">
        <v>8.9800000000000005E-2</v>
      </c>
      <c r="BY39" s="228">
        <v>896</v>
      </c>
      <c r="BZ39" s="228">
        <v>881</v>
      </c>
      <c r="CA39" s="228">
        <v>16</v>
      </c>
      <c r="CB39" s="229">
        <v>1.7999999999999999E-2</v>
      </c>
      <c r="CC39" s="228">
        <v>800</v>
      </c>
      <c r="CD39" s="228">
        <v>795</v>
      </c>
      <c r="CE39" s="228">
        <v>5</v>
      </c>
      <c r="CF39" s="229">
        <v>6.1999999999999998E-3</v>
      </c>
      <c r="CG39" s="228">
        <v>90</v>
      </c>
      <c r="CH39" s="228">
        <v>80</v>
      </c>
      <c r="CI39" s="228">
        <v>10</v>
      </c>
      <c r="CJ39" s="229">
        <v>0.1308</v>
      </c>
      <c r="CK39" s="228">
        <v>6</v>
      </c>
      <c r="CL39" s="228">
        <v>6</v>
      </c>
      <c r="CM39" s="228">
        <v>1</v>
      </c>
      <c r="CN39" s="229">
        <v>9.7100000000000006E-2</v>
      </c>
      <c r="CO39" s="228">
        <v>447</v>
      </c>
      <c r="CP39" s="228">
        <v>442</v>
      </c>
      <c r="CQ39" s="228">
        <v>5</v>
      </c>
      <c r="CR39" s="229">
        <v>1.2200000000000001E-2</v>
      </c>
      <c r="CS39" s="228">
        <v>286</v>
      </c>
      <c r="CT39" s="228">
        <v>274</v>
      </c>
      <c r="CU39" s="228">
        <v>12</v>
      </c>
      <c r="CV39" s="229">
        <v>4.48E-2</v>
      </c>
      <c r="CW39" s="230">
        <v>1630</v>
      </c>
      <c r="CX39" s="230">
        <v>1596</v>
      </c>
      <c r="CY39" s="228">
        <v>34</v>
      </c>
      <c r="CZ39" s="229">
        <v>2.1000000000000001E-2</v>
      </c>
      <c r="DA39" s="228">
        <v>31.27</v>
      </c>
      <c r="DB39" s="228">
        <v>30.68</v>
      </c>
      <c r="DC39" s="228">
        <v>0.59</v>
      </c>
      <c r="DD39" s="228">
        <v>0.59</v>
      </c>
      <c r="DE39" s="228">
        <v>42.52</v>
      </c>
      <c r="DF39" s="228">
        <v>42.62</v>
      </c>
      <c r="DG39" s="228">
        <v>-11.25</v>
      </c>
      <c r="DH39" s="228">
        <v>-0.1</v>
      </c>
      <c r="DI39" s="228">
        <v>31.63</v>
      </c>
      <c r="DJ39" s="228">
        <v>30.8</v>
      </c>
      <c r="DK39" s="228">
        <v>0.83</v>
      </c>
      <c r="DL39" s="228">
        <v>0.83</v>
      </c>
      <c r="DM39" s="228">
        <v>30.18</v>
      </c>
      <c r="DN39" s="228">
        <v>30.29</v>
      </c>
      <c r="DO39" s="228">
        <v>-0.11</v>
      </c>
      <c r="DP39" s="228">
        <v>-0.11</v>
      </c>
      <c r="DQ39" s="228">
        <v>0.64</v>
      </c>
      <c r="DR39" s="228">
        <v>0.62</v>
      </c>
      <c r="DS39" s="228">
        <v>0.02</v>
      </c>
      <c r="DT39" s="229">
        <v>3.2300000000000002E-2</v>
      </c>
      <c r="DU39" s="231">
        <v>4000</v>
      </c>
      <c r="DV39" s="231">
        <v>3800</v>
      </c>
      <c r="DW39" s="228">
        <v>0.34</v>
      </c>
      <c r="DX39" s="228">
        <v>0.32</v>
      </c>
      <c r="DY39" s="228">
        <v>0.02</v>
      </c>
      <c r="DZ39" s="229">
        <v>6.25E-2</v>
      </c>
      <c r="EA39" s="229">
        <v>0.1077</v>
      </c>
      <c r="EB39" s="230">
        <v>223050</v>
      </c>
      <c r="EC39" s="229">
        <v>1.9E-3</v>
      </c>
      <c r="ED39" s="229">
        <v>0.1077</v>
      </c>
      <c r="EE39" s="228">
        <v>8.41</v>
      </c>
      <c r="EF39" s="229">
        <v>2.2000000000000001E-3</v>
      </c>
      <c r="EG39" s="230">
        <v>160073</v>
      </c>
      <c r="EH39" s="230">
        <v>123789</v>
      </c>
      <c r="EI39" s="229">
        <v>0.29310000000000003</v>
      </c>
      <c r="EJ39" s="229">
        <v>0.4975</v>
      </c>
      <c r="EK39" s="228">
        <v>405.36</v>
      </c>
      <c r="EL39" s="228">
        <v>129.68</v>
      </c>
      <c r="EM39" s="228">
        <v>168.74</v>
      </c>
      <c r="EN39" s="228">
        <v>36.47</v>
      </c>
      <c r="EO39" s="228">
        <v>703.77</v>
      </c>
      <c r="EP39" s="228">
        <v>997.64</v>
      </c>
      <c r="EQ39" s="228">
        <v>-293.86</v>
      </c>
      <c r="ER39" s="229">
        <v>-0.29459999999999997</v>
      </c>
      <c r="ES39" s="228">
        <v>467.18</v>
      </c>
      <c r="ET39" s="228">
        <v>282.64</v>
      </c>
      <c r="EU39" s="228">
        <v>896.64</v>
      </c>
      <c r="EV39" s="231">
        <v>7421215</v>
      </c>
      <c r="EW39" s="231">
        <v>1646.47</v>
      </c>
      <c r="EX39" s="231">
        <v>1617.55</v>
      </c>
      <c r="EY39" s="228">
        <v>28.92</v>
      </c>
      <c r="EZ39" s="229">
        <v>1.7899999999999999E-2</v>
      </c>
      <c r="FA39" s="229">
        <v>0.57269999999999999</v>
      </c>
      <c r="FB39" s="227" t="s">
        <v>567</v>
      </c>
      <c r="FC39">
        <f t="shared" si="0"/>
        <v>96</v>
      </c>
    </row>
    <row r="40" spans="1:159" ht="17.25" thickBot="1" x14ac:dyDescent="0.3">
      <c r="A40" s="226">
        <v>45946</v>
      </c>
      <c r="B40" s="227" t="s">
        <v>172</v>
      </c>
      <c r="C40" s="227" t="s">
        <v>196</v>
      </c>
      <c r="D40" s="228">
        <v>6750</v>
      </c>
      <c r="E40" s="228">
        <v>12</v>
      </c>
      <c r="F40" s="228">
        <v>127.58</v>
      </c>
      <c r="G40" s="228">
        <v>128.6</v>
      </c>
      <c r="H40" s="228">
        <v>-1.02</v>
      </c>
      <c r="I40" s="229">
        <v>-7.9000000000000008E-3</v>
      </c>
      <c r="J40" s="228">
        <v>127.37</v>
      </c>
      <c r="K40" s="228">
        <v>128.41</v>
      </c>
      <c r="L40" s="228">
        <v>-1.04</v>
      </c>
      <c r="M40" s="229">
        <v>-8.0999999999999996E-3</v>
      </c>
      <c r="N40" s="228">
        <v>127.58</v>
      </c>
      <c r="O40" s="228">
        <v>128.6</v>
      </c>
      <c r="P40" s="228">
        <v>-1.02</v>
      </c>
      <c r="Q40" s="229">
        <v>-7.9000000000000008E-3</v>
      </c>
      <c r="R40" s="228">
        <v>128.27000000000001</v>
      </c>
      <c r="S40" s="228">
        <v>129.32</v>
      </c>
      <c r="T40" s="228">
        <v>-1.05</v>
      </c>
      <c r="U40" s="229">
        <v>-8.0999999999999996E-3</v>
      </c>
      <c r="V40" s="228">
        <v>129.07</v>
      </c>
      <c r="W40" s="228">
        <v>130.07</v>
      </c>
      <c r="X40" s="228">
        <v>-1</v>
      </c>
      <c r="Y40" s="229">
        <v>-7.7000000000000002E-3</v>
      </c>
      <c r="Z40" s="228">
        <v>0.21</v>
      </c>
      <c r="AA40" s="228">
        <v>0.19</v>
      </c>
      <c r="AB40" s="228">
        <v>0.02</v>
      </c>
      <c r="AC40" s="229">
        <v>1.6000000000000001E-3</v>
      </c>
      <c r="AD40" s="228">
        <v>0.21</v>
      </c>
      <c r="AE40" s="228">
        <v>0.19</v>
      </c>
      <c r="AF40" s="228">
        <v>0.02</v>
      </c>
      <c r="AG40" s="229">
        <v>1.6000000000000001E-3</v>
      </c>
      <c r="AH40" s="228">
        <v>0.9</v>
      </c>
      <c r="AI40" s="228">
        <v>0.91</v>
      </c>
      <c r="AJ40" s="228">
        <v>-0.01</v>
      </c>
      <c r="AK40" s="229">
        <v>7.1000000000000004E-3</v>
      </c>
      <c r="AL40" s="228">
        <v>1.7</v>
      </c>
      <c r="AM40" s="228">
        <v>1.66</v>
      </c>
      <c r="AN40" s="228">
        <v>0.04</v>
      </c>
      <c r="AO40" s="229">
        <v>1.3299999999999999E-2</v>
      </c>
      <c r="AP40" s="228">
        <v>128.94999999999999</v>
      </c>
      <c r="AQ40" s="228">
        <v>129.66999999999999</v>
      </c>
      <c r="AR40" s="228">
        <v>0</v>
      </c>
      <c r="AS40" s="228">
        <v>853</v>
      </c>
      <c r="AT40" s="228">
        <v>815</v>
      </c>
      <c r="AU40" s="228">
        <v>38</v>
      </c>
      <c r="AV40" s="229">
        <v>4.6399999999999997E-2</v>
      </c>
      <c r="AW40" s="228">
        <v>708</v>
      </c>
      <c r="AX40" s="228">
        <v>609</v>
      </c>
      <c r="AY40" s="228">
        <v>99</v>
      </c>
      <c r="AZ40" s="229">
        <v>0.16300000000000001</v>
      </c>
      <c r="BA40" s="228">
        <v>132</v>
      </c>
      <c r="BB40" s="228">
        <v>198</v>
      </c>
      <c r="BC40" s="228">
        <v>-66</v>
      </c>
      <c r="BD40" s="229">
        <v>-0.33289999999999997</v>
      </c>
      <c r="BE40" s="228">
        <v>12</v>
      </c>
      <c r="BF40" s="228">
        <v>8</v>
      </c>
      <c r="BG40" s="228">
        <v>5</v>
      </c>
      <c r="BH40" s="229">
        <v>0.58889999999999998</v>
      </c>
      <c r="BI40" s="230">
        <v>2216</v>
      </c>
      <c r="BJ40" s="230">
        <v>1665</v>
      </c>
      <c r="BK40" s="228">
        <v>551</v>
      </c>
      <c r="BL40" s="229">
        <v>0.33119999999999999</v>
      </c>
      <c r="BM40" s="230">
        <v>1323</v>
      </c>
      <c r="BN40" s="228">
        <v>985</v>
      </c>
      <c r="BO40" s="228">
        <v>338</v>
      </c>
      <c r="BP40" s="229">
        <v>0.34310000000000002</v>
      </c>
      <c r="BQ40" s="230">
        <v>4393</v>
      </c>
      <c r="BR40" s="230">
        <v>3465</v>
      </c>
      <c r="BS40" s="228">
        <v>927</v>
      </c>
      <c r="BT40" s="229">
        <v>0.2676</v>
      </c>
      <c r="BU40" s="230">
        <v>21077994</v>
      </c>
      <c r="BV40" s="230">
        <v>22622167</v>
      </c>
      <c r="BW40" s="230">
        <v>-1544173</v>
      </c>
      <c r="BX40" s="229">
        <v>-6.83E-2</v>
      </c>
      <c r="BY40" s="230">
        <v>3641</v>
      </c>
      <c r="BZ40" s="230">
        <v>3534</v>
      </c>
      <c r="CA40" s="228">
        <v>107</v>
      </c>
      <c r="CB40" s="229">
        <v>3.04E-2</v>
      </c>
      <c r="CC40" s="230">
        <v>3281</v>
      </c>
      <c r="CD40" s="230">
        <v>3229</v>
      </c>
      <c r="CE40" s="228">
        <v>52</v>
      </c>
      <c r="CF40" s="229">
        <v>1.6E-2</v>
      </c>
      <c r="CG40" s="228">
        <v>339</v>
      </c>
      <c r="CH40" s="228">
        <v>288</v>
      </c>
      <c r="CI40" s="228">
        <v>51</v>
      </c>
      <c r="CJ40" s="229">
        <v>0.17549999999999999</v>
      </c>
      <c r="CK40" s="228">
        <v>22</v>
      </c>
      <c r="CL40" s="228">
        <v>17</v>
      </c>
      <c r="CM40" s="228">
        <v>5</v>
      </c>
      <c r="CN40" s="229">
        <v>0.29949999999999999</v>
      </c>
      <c r="CO40" s="230">
        <v>1283</v>
      </c>
      <c r="CP40" s="230">
        <v>1231</v>
      </c>
      <c r="CQ40" s="228">
        <v>52</v>
      </c>
      <c r="CR40" s="229">
        <v>4.2000000000000003E-2</v>
      </c>
      <c r="CS40" s="230">
        <v>1069</v>
      </c>
      <c r="CT40" s="230">
        <v>1054</v>
      </c>
      <c r="CU40" s="228">
        <v>15</v>
      </c>
      <c r="CV40" s="229">
        <v>1.46E-2</v>
      </c>
      <c r="CW40" s="230">
        <v>5994</v>
      </c>
      <c r="CX40" s="230">
        <v>5820</v>
      </c>
      <c r="CY40" s="228">
        <v>174</v>
      </c>
      <c r="CZ40" s="229">
        <v>0.03</v>
      </c>
      <c r="DA40" s="228">
        <v>30.51</v>
      </c>
      <c r="DB40" s="228">
        <v>29.64</v>
      </c>
      <c r="DC40" s="228">
        <v>0.87</v>
      </c>
      <c r="DD40" s="228">
        <v>0.87</v>
      </c>
      <c r="DE40" s="228">
        <v>37.56</v>
      </c>
      <c r="DF40" s="228">
        <v>37.64</v>
      </c>
      <c r="DG40" s="228">
        <v>-7.05</v>
      </c>
      <c r="DH40" s="228">
        <v>-0.08</v>
      </c>
      <c r="DI40" s="228">
        <v>30.65</v>
      </c>
      <c r="DJ40" s="228">
        <v>28.98</v>
      </c>
      <c r="DK40" s="228">
        <v>1.67</v>
      </c>
      <c r="DL40" s="228">
        <v>1.67</v>
      </c>
      <c r="DM40" s="228">
        <v>30.28</v>
      </c>
      <c r="DN40" s="228">
        <v>30.75</v>
      </c>
      <c r="DO40" s="228">
        <v>-0.47</v>
      </c>
      <c r="DP40" s="228">
        <v>-0.47</v>
      </c>
      <c r="DQ40" s="228">
        <v>0.83</v>
      </c>
      <c r="DR40" s="228">
        <v>0.86</v>
      </c>
      <c r="DS40" s="228">
        <v>-0.03</v>
      </c>
      <c r="DT40" s="229">
        <v>-3.49E-2</v>
      </c>
      <c r="DU40" s="228">
        <v>130</v>
      </c>
      <c r="DV40" s="228">
        <v>115</v>
      </c>
      <c r="DW40" s="228">
        <v>0.6</v>
      </c>
      <c r="DX40" s="228">
        <v>0.59</v>
      </c>
      <c r="DY40" s="228">
        <v>0.01</v>
      </c>
      <c r="DZ40" s="229">
        <v>1.6899999999999998E-2</v>
      </c>
      <c r="EA40" s="229">
        <v>9.9000000000000005E-2</v>
      </c>
      <c r="EB40" s="230">
        <v>23901750</v>
      </c>
      <c r="EC40" s="229">
        <v>5.4000000000000003E-3</v>
      </c>
      <c r="ED40" s="229">
        <v>9.9000000000000005E-2</v>
      </c>
      <c r="EE40" s="228">
        <v>0.72</v>
      </c>
      <c r="EF40" s="229">
        <v>5.5999999999999999E-3</v>
      </c>
      <c r="EG40" s="230">
        <v>6924521</v>
      </c>
      <c r="EH40" s="230">
        <v>11200218</v>
      </c>
      <c r="EI40" s="229">
        <v>-0.38179999999999997</v>
      </c>
      <c r="EJ40" s="229">
        <v>0.32850000000000001</v>
      </c>
      <c r="EK40" s="231">
        <v>2314.23</v>
      </c>
      <c r="EL40" s="231">
        <v>1318.86</v>
      </c>
      <c r="EM40" s="228">
        <v>863.1</v>
      </c>
      <c r="EN40" s="228">
        <v>67.42</v>
      </c>
      <c r="EO40" s="231">
        <v>4496.2</v>
      </c>
      <c r="EP40" s="231">
        <v>3507.71</v>
      </c>
      <c r="EQ40" s="228">
        <v>988.49</v>
      </c>
      <c r="ER40" s="229">
        <v>0.28179999999999999</v>
      </c>
      <c r="ES40" s="231">
        <v>1296.5999999999999</v>
      </c>
      <c r="ET40" s="231">
        <v>1006.07</v>
      </c>
      <c r="EU40" s="231">
        <v>3643.52</v>
      </c>
      <c r="EV40" s="231">
        <v>504315430</v>
      </c>
      <c r="EW40" s="231">
        <v>5946.19</v>
      </c>
      <c r="EX40" s="231">
        <v>5795.51</v>
      </c>
      <c r="EY40" s="228">
        <v>150.68</v>
      </c>
      <c r="EZ40" s="229">
        <v>2.5999999999999999E-2</v>
      </c>
      <c r="FA40" s="229">
        <v>0.93159999999999998</v>
      </c>
      <c r="FB40" s="227" t="s">
        <v>567</v>
      </c>
      <c r="FC40">
        <f t="shared" si="0"/>
        <v>360</v>
      </c>
    </row>
    <row r="41" spans="1:159" ht="17.25" thickBot="1" x14ac:dyDescent="0.3">
      <c r="A41" s="226">
        <v>45946</v>
      </c>
      <c r="B41" s="227" t="s">
        <v>175</v>
      </c>
      <c r="C41" s="227" t="s">
        <v>597</v>
      </c>
      <c r="D41" s="228">
        <v>475</v>
      </c>
      <c r="E41" s="228">
        <v>12</v>
      </c>
      <c r="F41" s="231">
        <v>1625.7</v>
      </c>
      <c r="G41" s="231">
        <v>1629.1</v>
      </c>
      <c r="H41" s="228">
        <v>-3.4</v>
      </c>
      <c r="I41" s="229">
        <v>-2.0999999999999999E-3</v>
      </c>
      <c r="J41" s="231">
        <v>1620.3</v>
      </c>
      <c r="K41" s="231">
        <v>1622</v>
      </c>
      <c r="L41" s="228">
        <v>-1.7</v>
      </c>
      <c r="M41" s="229">
        <v>-1E-3</v>
      </c>
      <c r="N41" s="231">
        <v>1625.7</v>
      </c>
      <c r="O41" s="231">
        <v>1629.1</v>
      </c>
      <c r="P41" s="228">
        <v>-3.4</v>
      </c>
      <c r="Q41" s="229">
        <v>-2.0999999999999999E-3</v>
      </c>
      <c r="R41" s="231">
        <v>1630.5</v>
      </c>
      <c r="S41" s="231">
        <v>1633.5</v>
      </c>
      <c r="T41" s="228">
        <v>-3</v>
      </c>
      <c r="U41" s="229">
        <v>-1.8E-3</v>
      </c>
      <c r="V41" s="231">
        <v>1635.4</v>
      </c>
      <c r="W41" s="231">
        <v>1637.7</v>
      </c>
      <c r="X41" s="228">
        <v>-2.2999999999999998</v>
      </c>
      <c r="Y41" s="229">
        <v>-1.4E-3</v>
      </c>
      <c r="Z41" s="228">
        <v>5.4</v>
      </c>
      <c r="AA41" s="228">
        <v>7.1</v>
      </c>
      <c r="AB41" s="228">
        <v>-1.7</v>
      </c>
      <c r="AC41" s="229">
        <v>3.3E-3</v>
      </c>
      <c r="AD41" s="228">
        <v>5.4</v>
      </c>
      <c r="AE41" s="228">
        <v>7.1</v>
      </c>
      <c r="AF41" s="228">
        <v>-1.7</v>
      </c>
      <c r="AG41" s="229">
        <v>3.3E-3</v>
      </c>
      <c r="AH41" s="228">
        <v>10.199999999999999</v>
      </c>
      <c r="AI41" s="228">
        <v>11.5</v>
      </c>
      <c r="AJ41" s="228">
        <v>-1.3</v>
      </c>
      <c r="AK41" s="229">
        <v>6.3E-3</v>
      </c>
      <c r="AL41" s="228">
        <v>15.1</v>
      </c>
      <c r="AM41" s="228">
        <v>15.7</v>
      </c>
      <c r="AN41" s="228">
        <v>-0.6</v>
      </c>
      <c r="AO41" s="229">
        <v>9.2999999999999992E-3</v>
      </c>
      <c r="AP41" s="231">
        <v>1630.01</v>
      </c>
      <c r="AQ41" s="231">
        <v>1633.85</v>
      </c>
      <c r="AR41" s="228">
        <v>0</v>
      </c>
      <c r="AS41" s="228">
        <v>289</v>
      </c>
      <c r="AT41" s="228">
        <v>317</v>
      </c>
      <c r="AU41" s="228">
        <v>-29</v>
      </c>
      <c r="AV41" s="229">
        <v>-9.0700000000000003E-2</v>
      </c>
      <c r="AW41" s="228">
        <v>229</v>
      </c>
      <c r="AX41" s="228">
        <v>259</v>
      </c>
      <c r="AY41" s="228">
        <v>-29</v>
      </c>
      <c r="AZ41" s="229">
        <v>-0.114</v>
      </c>
      <c r="BA41" s="228">
        <v>52</v>
      </c>
      <c r="BB41" s="228">
        <v>52</v>
      </c>
      <c r="BC41" s="228">
        <v>0</v>
      </c>
      <c r="BD41" s="229">
        <v>4.4999999999999997E-3</v>
      </c>
      <c r="BE41" s="228">
        <v>7</v>
      </c>
      <c r="BF41" s="228">
        <v>7</v>
      </c>
      <c r="BG41" s="228">
        <v>0</v>
      </c>
      <c r="BH41" s="229">
        <v>6.9000000000000006E-2</v>
      </c>
      <c r="BI41" s="230">
        <v>1261</v>
      </c>
      <c r="BJ41" s="230">
        <v>1729</v>
      </c>
      <c r="BK41" s="228">
        <v>-468</v>
      </c>
      <c r="BL41" s="229">
        <v>-0.27060000000000001</v>
      </c>
      <c r="BM41" s="228">
        <v>597</v>
      </c>
      <c r="BN41" s="228">
        <v>812</v>
      </c>
      <c r="BO41" s="228">
        <v>-215</v>
      </c>
      <c r="BP41" s="229">
        <v>-0.26479999999999998</v>
      </c>
      <c r="BQ41" s="230">
        <v>2147</v>
      </c>
      <c r="BR41" s="230">
        <v>2858</v>
      </c>
      <c r="BS41" s="228">
        <v>-712</v>
      </c>
      <c r="BT41" s="229">
        <v>-0.249</v>
      </c>
      <c r="BU41" s="230">
        <v>1347594</v>
      </c>
      <c r="BV41" s="230">
        <v>1672560</v>
      </c>
      <c r="BW41" s="230">
        <v>-324966</v>
      </c>
      <c r="BX41" s="229">
        <v>-0.1943</v>
      </c>
      <c r="BY41" s="230">
        <v>1456</v>
      </c>
      <c r="BZ41" s="230">
        <v>1459</v>
      </c>
      <c r="CA41" s="228">
        <v>-2</v>
      </c>
      <c r="CB41" s="229">
        <v>-1.5E-3</v>
      </c>
      <c r="CC41" s="230">
        <v>1246</v>
      </c>
      <c r="CD41" s="230">
        <v>1268</v>
      </c>
      <c r="CE41" s="228">
        <v>-22</v>
      </c>
      <c r="CF41" s="229">
        <v>-1.72E-2</v>
      </c>
      <c r="CG41" s="228">
        <v>188</v>
      </c>
      <c r="CH41" s="228">
        <v>171</v>
      </c>
      <c r="CI41" s="228">
        <v>17</v>
      </c>
      <c r="CJ41" s="229">
        <v>9.9099999999999994E-2</v>
      </c>
      <c r="CK41" s="228">
        <v>22</v>
      </c>
      <c r="CL41" s="228">
        <v>20</v>
      </c>
      <c r="CM41" s="228">
        <v>3</v>
      </c>
      <c r="CN41" s="229">
        <v>0.1333</v>
      </c>
      <c r="CO41" s="230">
        <v>1000</v>
      </c>
      <c r="CP41" s="228">
        <v>974</v>
      </c>
      <c r="CQ41" s="228">
        <v>25</v>
      </c>
      <c r="CR41" s="229">
        <v>2.6200000000000001E-2</v>
      </c>
      <c r="CS41" s="228">
        <v>696</v>
      </c>
      <c r="CT41" s="228">
        <v>688</v>
      </c>
      <c r="CU41" s="228">
        <v>7</v>
      </c>
      <c r="CV41" s="229">
        <v>1.0699999999999999E-2</v>
      </c>
      <c r="CW41" s="230">
        <v>3152</v>
      </c>
      <c r="CX41" s="230">
        <v>3121</v>
      </c>
      <c r="CY41" s="228">
        <v>31</v>
      </c>
      <c r="CZ41" s="229">
        <v>9.7999999999999997E-3</v>
      </c>
      <c r="DA41" s="228">
        <v>31.84</v>
      </c>
      <c r="DB41" s="228">
        <v>31.71</v>
      </c>
      <c r="DC41" s="228">
        <v>0.13</v>
      </c>
      <c r="DD41" s="228">
        <v>0.13</v>
      </c>
      <c r="DE41" s="228">
        <v>47.64</v>
      </c>
      <c r="DF41" s="228">
        <v>47.76</v>
      </c>
      <c r="DG41" s="228">
        <v>-15.8</v>
      </c>
      <c r="DH41" s="228">
        <v>-0.12</v>
      </c>
      <c r="DI41" s="228">
        <v>31.68</v>
      </c>
      <c r="DJ41" s="228">
        <v>31.35</v>
      </c>
      <c r="DK41" s="228">
        <v>0.33</v>
      </c>
      <c r="DL41" s="228">
        <v>0.33</v>
      </c>
      <c r="DM41" s="228">
        <v>32.200000000000003</v>
      </c>
      <c r="DN41" s="228">
        <v>32.46</v>
      </c>
      <c r="DO41" s="228">
        <v>-0.26</v>
      </c>
      <c r="DP41" s="228">
        <v>-0.26</v>
      </c>
      <c r="DQ41" s="228">
        <v>0.7</v>
      </c>
      <c r="DR41" s="228">
        <v>0.71</v>
      </c>
      <c r="DS41" s="228">
        <v>-0.01</v>
      </c>
      <c r="DT41" s="229">
        <v>-1.41E-2</v>
      </c>
      <c r="DU41" s="231">
        <v>1700</v>
      </c>
      <c r="DV41" s="231">
        <v>1500</v>
      </c>
      <c r="DW41" s="228">
        <v>0.47</v>
      </c>
      <c r="DX41" s="228">
        <v>0.47</v>
      </c>
      <c r="DY41" s="228">
        <v>0</v>
      </c>
      <c r="DZ41" s="229">
        <v>0</v>
      </c>
      <c r="EA41" s="229">
        <v>0.14460000000000001</v>
      </c>
      <c r="EB41" s="230">
        <v>1175150</v>
      </c>
      <c r="EC41" s="229">
        <v>3.0000000000000001E-3</v>
      </c>
      <c r="ED41" s="229">
        <v>0.14460000000000001</v>
      </c>
      <c r="EE41" s="228">
        <v>3.84</v>
      </c>
      <c r="EF41" s="229">
        <v>2.3999999999999998E-3</v>
      </c>
      <c r="EG41" s="230">
        <v>435569</v>
      </c>
      <c r="EH41" s="230">
        <v>589238</v>
      </c>
      <c r="EI41" s="229">
        <v>-0.26079999999999998</v>
      </c>
      <c r="EJ41" s="229">
        <v>0.32319999999999999</v>
      </c>
      <c r="EK41" s="231">
        <v>1312.26</v>
      </c>
      <c r="EL41" s="228">
        <v>591.1</v>
      </c>
      <c r="EM41" s="228">
        <v>289.58999999999997</v>
      </c>
      <c r="EN41" s="228">
        <v>71.34</v>
      </c>
      <c r="EO41" s="231">
        <v>2192.9499999999998</v>
      </c>
      <c r="EP41" s="231">
        <v>2915.19</v>
      </c>
      <c r="EQ41" s="228">
        <v>-722.24</v>
      </c>
      <c r="ER41" s="229">
        <v>-0.24779999999999999</v>
      </c>
      <c r="ES41" s="231">
        <v>1014.38</v>
      </c>
      <c r="ET41" s="228">
        <v>655.86</v>
      </c>
      <c r="EU41" s="231">
        <v>1457.15</v>
      </c>
      <c r="EV41" s="231">
        <v>26647500</v>
      </c>
      <c r="EW41" s="231">
        <v>3127.4</v>
      </c>
      <c r="EX41" s="231">
        <v>3098.38</v>
      </c>
      <c r="EY41" s="228">
        <v>29.02</v>
      </c>
      <c r="EZ41" s="229">
        <v>9.4000000000000004E-3</v>
      </c>
      <c r="FA41" s="229">
        <v>0.72750000000000004</v>
      </c>
      <c r="FB41" s="227" t="s">
        <v>568</v>
      </c>
      <c r="FC41">
        <f t="shared" si="0"/>
        <v>210</v>
      </c>
    </row>
    <row r="42" spans="1:159" ht="17.25" thickBot="1" x14ac:dyDescent="0.3">
      <c r="A42" s="226">
        <v>45946</v>
      </c>
      <c r="B42" s="227" t="s">
        <v>161</v>
      </c>
      <c r="C42" s="227" t="s">
        <v>612</v>
      </c>
      <c r="D42" s="228">
        <v>850</v>
      </c>
      <c r="E42" s="228">
        <v>12</v>
      </c>
      <c r="F42" s="228">
        <v>763.45</v>
      </c>
      <c r="G42" s="228">
        <v>758.4</v>
      </c>
      <c r="H42" s="228">
        <v>5.05</v>
      </c>
      <c r="I42" s="229">
        <v>6.7000000000000002E-3</v>
      </c>
      <c r="J42" s="228">
        <v>760.6</v>
      </c>
      <c r="K42" s="228">
        <v>757.3</v>
      </c>
      <c r="L42" s="228">
        <v>3.3</v>
      </c>
      <c r="M42" s="229">
        <v>4.4000000000000003E-3</v>
      </c>
      <c r="N42" s="228">
        <v>763.45</v>
      </c>
      <c r="O42" s="228">
        <v>758.4</v>
      </c>
      <c r="P42" s="228">
        <v>5.05</v>
      </c>
      <c r="Q42" s="229">
        <v>6.7000000000000002E-3</v>
      </c>
      <c r="R42" s="228">
        <v>767.5</v>
      </c>
      <c r="S42" s="228">
        <v>762.25</v>
      </c>
      <c r="T42" s="228">
        <v>5.25</v>
      </c>
      <c r="U42" s="229">
        <v>6.8999999999999999E-3</v>
      </c>
      <c r="V42" s="228">
        <v>772.15</v>
      </c>
      <c r="W42" s="228">
        <v>768.05</v>
      </c>
      <c r="X42" s="228">
        <v>4.0999999999999996</v>
      </c>
      <c r="Y42" s="229">
        <v>5.3E-3</v>
      </c>
      <c r="Z42" s="228">
        <v>2.85</v>
      </c>
      <c r="AA42" s="228">
        <v>1.1000000000000001</v>
      </c>
      <c r="AB42" s="228">
        <v>1.75</v>
      </c>
      <c r="AC42" s="229">
        <v>3.7000000000000002E-3</v>
      </c>
      <c r="AD42" s="228">
        <v>2.85</v>
      </c>
      <c r="AE42" s="228">
        <v>1.1000000000000001</v>
      </c>
      <c r="AF42" s="228">
        <v>1.75</v>
      </c>
      <c r="AG42" s="229">
        <v>3.7000000000000002E-3</v>
      </c>
      <c r="AH42" s="228">
        <v>6.9</v>
      </c>
      <c r="AI42" s="228">
        <v>4.95</v>
      </c>
      <c r="AJ42" s="228">
        <v>1.95</v>
      </c>
      <c r="AK42" s="229">
        <v>9.1000000000000004E-3</v>
      </c>
      <c r="AL42" s="228">
        <v>11.55</v>
      </c>
      <c r="AM42" s="228">
        <v>10.75</v>
      </c>
      <c r="AN42" s="228">
        <v>0.8</v>
      </c>
      <c r="AO42" s="229">
        <v>1.52E-2</v>
      </c>
      <c r="AP42" s="228">
        <v>764.29</v>
      </c>
      <c r="AQ42" s="228">
        <v>768.15</v>
      </c>
      <c r="AR42" s="228">
        <v>0</v>
      </c>
      <c r="AS42" s="228">
        <v>234</v>
      </c>
      <c r="AT42" s="228">
        <v>198</v>
      </c>
      <c r="AU42" s="228">
        <v>36</v>
      </c>
      <c r="AV42" s="229">
        <v>0.1802</v>
      </c>
      <c r="AW42" s="228">
        <v>214</v>
      </c>
      <c r="AX42" s="228">
        <v>186</v>
      </c>
      <c r="AY42" s="228">
        <v>28</v>
      </c>
      <c r="AZ42" s="229">
        <v>0.15</v>
      </c>
      <c r="BA42" s="228">
        <v>19</v>
      </c>
      <c r="BB42" s="228">
        <v>12</v>
      </c>
      <c r="BC42" s="228">
        <v>7</v>
      </c>
      <c r="BD42" s="229">
        <v>0.64039999999999997</v>
      </c>
      <c r="BE42" s="228">
        <v>1</v>
      </c>
      <c r="BF42" s="228">
        <v>1</v>
      </c>
      <c r="BG42" s="228">
        <v>0</v>
      </c>
      <c r="BH42" s="229">
        <v>0.58330000000000004</v>
      </c>
      <c r="BI42" s="228">
        <v>479</v>
      </c>
      <c r="BJ42" s="228">
        <v>507</v>
      </c>
      <c r="BK42" s="228">
        <v>-28</v>
      </c>
      <c r="BL42" s="229">
        <v>-5.45E-2</v>
      </c>
      <c r="BM42" s="228">
        <v>178</v>
      </c>
      <c r="BN42" s="228">
        <v>184</v>
      </c>
      <c r="BO42" s="228">
        <v>-6</v>
      </c>
      <c r="BP42" s="229">
        <v>-3.27E-2</v>
      </c>
      <c r="BQ42" s="228">
        <v>892</v>
      </c>
      <c r="BR42" s="228">
        <v>890</v>
      </c>
      <c r="BS42" s="228">
        <v>2</v>
      </c>
      <c r="BT42" s="229">
        <v>2.3E-3</v>
      </c>
      <c r="BU42" s="230">
        <v>1468566</v>
      </c>
      <c r="BV42" s="230">
        <v>1703421</v>
      </c>
      <c r="BW42" s="230">
        <v>-234855</v>
      </c>
      <c r="BX42" s="229">
        <v>-0.13789999999999999</v>
      </c>
      <c r="BY42" s="230">
        <v>1295</v>
      </c>
      <c r="BZ42" s="230">
        <v>1319</v>
      </c>
      <c r="CA42" s="228">
        <v>-23</v>
      </c>
      <c r="CB42" s="229">
        <v>-1.77E-2</v>
      </c>
      <c r="CC42" s="230">
        <v>1253</v>
      </c>
      <c r="CD42" s="230">
        <v>1279</v>
      </c>
      <c r="CE42" s="228">
        <v>-26</v>
      </c>
      <c r="CF42" s="229">
        <v>-0.02</v>
      </c>
      <c r="CG42" s="228">
        <v>39</v>
      </c>
      <c r="CH42" s="228">
        <v>37</v>
      </c>
      <c r="CI42" s="228">
        <v>2</v>
      </c>
      <c r="CJ42" s="229">
        <v>4.3299999999999998E-2</v>
      </c>
      <c r="CK42" s="228">
        <v>3</v>
      </c>
      <c r="CL42" s="228">
        <v>2</v>
      </c>
      <c r="CM42" s="228">
        <v>1</v>
      </c>
      <c r="CN42" s="229">
        <v>0.27779999999999999</v>
      </c>
      <c r="CO42" s="228">
        <v>506</v>
      </c>
      <c r="CP42" s="228">
        <v>523</v>
      </c>
      <c r="CQ42" s="228">
        <v>-16</v>
      </c>
      <c r="CR42" s="229">
        <v>-3.15E-2</v>
      </c>
      <c r="CS42" s="228">
        <v>305</v>
      </c>
      <c r="CT42" s="228">
        <v>299</v>
      </c>
      <c r="CU42" s="228">
        <v>6</v>
      </c>
      <c r="CV42" s="229">
        <v>2.0400000000000001E-2</v>
      </c>
      <c r="CW42" s="230">
        <v>2106</v>
      </c>
      <c r="CX42" s="230">
        <v>2140</v>
      </c>
      <c r="CY42" s="228">
        <v>-34</v>
      </c>
      <c r="CZ42" s="229">
        <v>-1.5800000000000002E-2</v>
      </c>
      <c r="DA42" s="228">
        <v>33.700000000000003</v>
      </c>
      <c r="DB42" s="228">
        <v>33.869999999999997</v>
      </c>
      <c r="DC42" s="228">
        <v>-0.17</v>
      </c>
      <c r="DD42" s="228">
        <v>-0.17</v>
      </c>
      <c r="DE42" s="228">
        <v>41.59</v>
      </c>
      <c r="DF42" s="228">
        <v>41.69</v>
      </c>
      <c r="DG42" s="228">
        <v>-7.89</v>
      </c>
      <c r="DH42" s="228">
        <v>-0.1</v>
      </c>
      <c r="DI42" s="228">
        <v>33.549999999999997</v>
      </c>
      <c r="DJ42" s="228">
        <v>33.99</v>
      </c>
      <c r="DK42" s="228">
        <v>-0.44</v>
      </c>
      <c r="DL42" s="228">
        <v>-0.44</v>
      </c>
      <c r="DM42" s="228">
        <v>34.119999999999997</v>
      </c>
      <c r="DN42" s="228">
        <v>33.549999999999997</v>
      </c>
      <c r="DO42" s="228">
        <v>0.56999999999999995</v>
      </c>
      <c r="DP42" s="228">
        <v>0.56999999999999995</v>
      </c>
      <c r="DQ42" s="228">
        <v>0.6</v>
      </c>
      <c r="DR42" s="228">
        <v>0.56999999999999995</v>
      </c>
      <c r="DS42" s="228">
        <v>0.03</v>
      </c>
      <c r="DT42" s="229">
        <v>5.2600000000000001E-2</v>
      </c>
      <c r="DU42" s="228">
        <v>840</v>
      </c>
      <c r="DV42" s="228">
        <v>700</v>
      </c>
      <c r="DW42" s="228">
        <v>0.37</v>
      </c>
      <c r="DX42" s="228">
        <v>0.36</v>
      </c>
      <c r="DY42" s="228">
        <v>0.01</v>
      </c>
      <c r="DZ42" s="229">
        <v>2.7799999999999998E-2</v>
      </c>
      <c r="EA42" s="229">
        <v>3.2500000000000001E-2</v>
      </c>
      <c r="EB42" s="230">
        <v>521050</v>
      </c>
      <c r="EC42" s="229">
        <v>5.3E-3</v>
      </c>
      <c r="ED42" s="229">
        <v>3.2500000000000001E-2</v>
      </c>
      <c r="EE42" s="228">
        <v>3.86</v>
      </c>
      <c r="EF42" s="229">
        <v>5.1000000000000004E-3</v>
      </c>
      <c r="EG42" s="230">
        <v>728713</v>
      </c>
      <c r="EH42" s="230">
        <v>968170</v>
      </c>
      <c r="EI42" s="229">
        <v>-0.24729999999999999</v>
      </c>
      <c r="EJ42" s="229">
        <v>0.49619999999999997</v>
      </c>
      <c r="EK42" s="228">
        <v>498.99</v>
      </c>
      <c r="EL42" s="228">
        <v>175.1</v>
      </c>
      <c r="EM42" s="228">
        <v>234.5</v>
      </c>
      <c r="EN42" s="228">
        <v>29.55</v>
      </c>
      <c r="EO42" s="228">
        <v>908.59</v>
      </c>
      <c r="EP42" s="228">
        <v>901.18</v>
      </c>
      <c r="EQ42" s="228">
        <v>7.42</v>
      </c>
      <c r="ER42" s="229">
        <v>8.2000000000000007E-3</v>
      </c>
      <c r="ES42" s="228">
        <v>530.04</v>
      </c>
      <c r="ET42" s="228">
        <v>291.64</v>
      </c>
      <c r="EU42" s="231">
        <v>1295.45</v>
      </c>
      <c r="EV42" s="231">
        <v>100245792</v>
      </c>
      <c r="EW42" s="231">
        <v>2117.12</v>
      </c>
      <c r="EX42" s="231">
        <v>2142.08</v>
      </c>
      <c r="EY42" s="228">
        <v>-24.96</v>
      </c>
      <c r="EZ42" s="229">
        <v>-1.17E-2</v>
      </c>
      <c r="FA42" s="229">
        <v>0.2752</v>
      </c>
      <c r="FB42" s="227" t="s">
        <v>556</v>
      </c>
      <c r="FC42">
        <f t="shared" si="0"/>
        <v>42</v>
      </c>
    </row>
    <row r="43" spans="1:159" ht="17.25" thickBot="1" x14ac:dyDescent="0.3">
      <c r="A43" s="226">
        <v>45946</v>
      </c>
      <c r="B43" s="227" t="s">
        <v>175</v>
      </c>
      <c r="C43" s="227" t="s">
        <v>198</v>
      </c>
      <c r="D43" s="228">
        <v>625</v>
      </c>
      <c r="E43" s="228">
        <v>12</v>
      </c>
      <c r="F43" s="231">
        <v>1663.1</v>
      </c>
      <c r="G43" s="231">
        <v>1680.2</v>
      </c>
      <c r="H43" s="228">
        <v>-17.100000000000001</v>
      </c>
      <c r="I43" s="229">
        <v>-1.0200000000000001E-2</v>
      </c>
      <c r="J43" s="231">
        <v>1668.1</v>
      </c>
      <c r="K43" s="231">
        <v>1698.4</v>
      </c>
      <c r="L43" s="228">
        <v>-30.3</v>
      </c>
      <c r="M43" s="229">
        <v>-1.78E-2</v>
      </c>
      <c r="N43" s="231">
        <v>1663.1</v>
      </c>
      <c r="O43" s="231">
        <v>1680.2</v>
      </c>
      <c r="P43" s="228">
        <v>-17.100000000000001</v>
      </c>
      <c r="Q43" s="229">
        <v>-1.0200000000000001E-2</v>
      </c>
      <c r="R43" s="231">
        <v>1645.9</v>
      </c>
      <c r="S43" s="231">
        <v>1663</v>
      </c>
      <c r="T43" s="228">
        <v>-17.100000000000001</v>
      </c>
      <c r="U43" s="229">
        <v>-1.03E-2</v>
      </c>
      <c r="V43" s="231">
        <v>1629.2</v>
      </c>
      <c r="W43" s="231">
        <v>1648.9</v>
      </c>
      <c r="X43" s="228">
        <v>-19.7</v>
      </c>
      <c r="Y43" s="229">
        <v>-1.1900000000000001E-2</v>
      </c>
      <c r="Z43" s="228">
        <v>-5</v>
      </c>
      <c r="AA43" s="228">
        <v>-18.2</v>
      </c>
      <c r="AB43" s="228">
        <v>13.2</v>
      </c>
      <c r="AC43" s="229">
        <v>-3.0000000000000001E-3</v>
      </c>
      <c r="AD43" s="228">
        <v>-5</v>
      </c>
      <c r="AE43" s="228">
        <v>-18.2</v>
      </c>
      <c r="AF43" s="228">
        <v>13.2</v>
      </c>
      <c r="AG43" s="229">
        <v>-3.0000000000000001E-3</v>
      </c>
      <c r="AH43" s="228">
        <v>-22.2</v>
      </c>
      <c r="AI43" s="228">
        <v>-35.4</v>
      </c>
      <c r="AJ43" s="228">
        <v>13.2</v>
      </c>
      <c r="AK43" s="229">
        <v>-1.3299999999999999E-2</v>
      </c>
      <c r="AL43" s="228">
        <v>-38.9</v>
      </c>
      <c r="AM43" s="228">
        <v>-49.5</v>
      </c>
      <c r="AN43" s="228">
        <v>10.6</v>
      </c>
      <c r="AO43" s="229">
        <v>-2.3300000000000001E-2</v>
      </c>
      <c r="AP43" s="231">
        <v>1658.41</v>
      </c>
      <c r="AQ43" s="231">
        <v>1641.31</v>
      </c>
      <c r="AR43" s="228">
        <v>0</v>
      </c>
      <c r="AS43" s="230">
        <v>1040</v>
      </c>
      <c r="AT43" s="228">
        <v>691</v>
      </c>
      <c r="AU43" s="228">
        <v>349</v>
      </c>
      <c r="AV43" s="229">
        <v>0.50439999999999996</v>
      </c>
      <c r="AW43" s="228">
        <v>727</v>
      </c>
      <c r="AX43" s="228">
        <v>562</v>
      </c>
      <c r="AY43" s="228">
        <v>165</v>
      </c>
      <c r="AZ43" s="229">
        <v>0.29349999999999998</v>
      </c>
      <c r="BA43" s="228">
        <v>300</v>
      </c>
      <c r="BB43" s="228">
        <v>125</v>
      </c>
      <c r="BC43" s="228">
        <v>175</v>
      </c>
      <c r="BD43" s="229">
        <v>1.3983000000000001</v>
      </c>
      <c r="BE43" s="228">
        <v>12</v>
      </c>
      <c r="BF43" s="228">
        <v>4</v>
      </c>
      <c r="BG43" s="228">
        <v>8</v>
      </c>
      <c r="BH43" s="229">
        <v>2.3824000000000001</v>
      </c>
      <c r="BI43" s="230">
        <v>2055</v>
      </c>
      <c r="BJ43" s="230">
        <v>2616</v>
      </c>
      <c r="BK43" s="228">
        <v>-560</v>
      </c>
      <c r="BL43" s="229">
        <v>-0.21410000000000001</v>
      </c>
      <c r="BM43" s="228">
        <v>743</v>
      </c>
      <c r="BN43" s="228">
        <v>870</v>
      </c>
      <c r="BO43" s="228">
        <v>-127</v>
      </c>
      <c r="BP43" s="229">
        <v>-0.1457</v>
      </c>
      <c r="BQ43" s="230">
        <v>3838</v>
      </c>
      <c r="BR43" s="230">
        <v>4176</v>
      </c>
      <c r="BS43" s="228">
        <v>-338</v>
      </c>
      <c r="BT43" s="229">
        <v>-8.1000000000000003E-2</v>
      </c>
      <c r="BU43" s="230">
        <v>3243179</v>
      </c>
      <c r="BV43" s="230">
        <v>2057962</v>
      </c>
      <c r="BW43" s="230">
        <v>1185217</v>
      </c>
      <c r="BX43" s="229">
        <v>0.57589999999999997</v>
      </c>
      <c r="BY43" s="230">
        <v>3156</v>
      </c>
      <c r="BZ43" s="230">
        <v>2885</v>
      </c>
      <c r="CA43" s="228">
        <v>271</v>
      </c>
      <c r="CB43" s="229">
        <v>9.4E-2</v>
      </c>
      <c r="CC43" s="230">
        <v>2713</v>
      </c>
      <c r="CD43" s="230">
        <v>2611</v>
      </c>
      <c r="CE43" s="228">
        <v>101</v>
      </c>
      <c r="CF43" s="229">
        <v>3.8699999999999998E-2</v>
      </c>
      <c r="CG43" s="228">
        <v>435</v>
      </c>
      <c r="CH43" s="228">
        <v>270</v>
      </c>
      <c r="CI43" s="228">
        <v>165</v>
      </c>
      <c r="CJ43" s="229">
        <v>0.6109</v>
      </c>
      <c r="CK43" s="228">
        <v>9</v>
      </c>
      <c r="CL43" s="228">
        <v>4</v>
      </c>
      <c r="CM43" s="228">
        <v>5</v>
      </c>
      <c r="CN43" s="229">
        <v>1.2821</v>
      </c>
      <c r="CO43" s="228">
        <v>661</v>
      </c>
      <c r="CP43" s="228">
        <v>523</v>
      </c>
      <c r="CQ43" s="228">
        <v>138</v>
      </c>
      <c r="CR43" s="229">
        <v>0.26400000000000001</v>
      </c>
      <c r="CS43" s="228">
        <v>399</v>
      </c>
      <c r="CT43" s="228">
        <v>395</v>
      </c>
      <c r="CU43" s="228">
        <v>5</v>
      </c>
      <c r="CV43" s="229">
        <v>1.1599999999999999E-2</v>
      </c>
      <c r="CW43" s="230">
        <v>4217</v>
      </c>
      <c r="CX43" s="230">
        <v>3803</v>
      </c>
      <c r="CY43" s="228">
        <v>414</v>
      </c>
      <c r="CZ43" s="229">
        <v>0.10879999999999999</v>
      </c>
      <c r="DA43" s="228">
        <v>26.96</v>
      </c>
      <c r="DB43" s="228">
        <v>26.68</v>
      </c>
      <c r="DC43" s="228">
        <v>0.28000000000000003</v>
      </c>
      <c r="DD43" s="228">
        <v>0.28000000000000003</v>
      </c>
      <c r="DE43" s="228">
        <v>38.799999999999997</v>
      </c>
      <c r="DF43" s="228">
        <v>38.82</v>
      </c>
      <c r="DG43" s="228">
        <v>-11.84</v>
      </c>
      <c r="DH43" s="228">
        <v>-0.02</v>
      </c>
      <c r="DI43" s="228">
        <v>26.88</v>
      </c>
      <c r="DJ43" s="228">
        <v>26.49</v>
      </c>
      <c r="DK43" s="228">
        <v>0.39</v>
      </c>
      <c r="DL43" s="228">
        <v>0.39</v>
      </c>
      <c r="DM43" s="228">
        <v>27.18</v>
      </c>
      <c r="DN43" s="228">
        <v>27.24</v>
      </c>
      <c r="DO43" s="228">
        <v>-0.06</v>
      </c>
      <c r="DP43" s="228">
        <v>-0.06</v>
      </c>
      <c r="DQ43" s="228">
        <v>0.6</v>
      </c>
      <c r="DR43" s="228">
        <v>0.75</v>
      </c>
      <c r="DS43" s="228">
        <v>-0.15</v>
      </c>
      <c r="DT43" s="229">
        <v>-0.2</v>
      </c>
      <c r="DU43" s="231">
        <v>1700</v>
      </c>
      <c r="DV43" s="231">
        <v>1600</v>
      </c>
      <c r="DW43" s="228">
        <v>0.36</v>
      </c>
      <c r="DX43" s="228">
        <v>0.33</v>
      </c>
      <c r="DY43" s="228">
        <v>0.03</v>
      </c>
      <c r="DZ43" s="229">
        <v>9.0899999999999995E-2</v>
      </c>
      <c r="EA43" s="229">
        <v>0.1406</v>
      </c>
      <c r="EB43" s="230">
        <v>1646875</v>
      </c>
      <c r="EC43" s="229">
        <v>-1.03E-2</v>
      </c>
      <c r="ED43" s="229">
        <v>0.1406</v>
      </c>
      <c r="EE43" s="228">
        <v>-17.100000000000001</v>
      </c>
      <c r="EF43" s="229">
        <v>-1.03E-2</v>
      </c>
      <c r="EG43" s="230">
        <v>1612122</v>
      </c>
      <c r="EH43" s="230">
        <v>1295682</v>
      </c>
      <c r="EI43" s="229">
        <v>0.2442</v>
      </c>
      <c r="EJ43" s="229">
        <v>0.49709999999999999</v>
      </c>
      <c r="EK43" s="231">
        <v>2125</v>
      </c>
      <c r="EL43" s="228">
        <v>731.79</v>
      </c>
      <c r="EM43" s="231">
        <v>1033.49</v>
      </c>
      <c r="EN43" s="228">
        <v>41.31</v>
      </c>
      <c r="EO43" s="231">
        <v>3890.28</v>
      </c>
      <c r="EP43" s="231">
        <v>4262.0200000000004</v>
      </c>
      <c r="EQ43" s="228">
        <v>-371.75</v>
      </c>
      <c r="ER43" s="229">
        <v>-8.72E-2</v>
      </c>
      <c r="ES43" s="228">
        <v>675.08</v>
      </c>
      <c r="ET43" s="228">
        <v>377.29</v>
      </c>
      <c r="EU43" s="231">
        <v>3151.78</v>
      </c>
      <c r="EV43" s="231">
        <v>63212268</v>
      </c>
      <c r="EW43" s="231">
        <v>4204.1499999999996</v>
      </c>
      <c r="EX43" s="231">
        <v>3817.06</v>
      </c>
      <c r="EY43" s="228">
        <v>387.09</v>
      </c>
      <c r="EZ43" s="229">
        <v>0.1014</v>
      </c>
      <c r="FA43" s="229">
        <v>0.40110000000000001</v>
      </c>
      <c r="FB43" s="227" t="s">
        <v>567</v>
      </c>
      <c r="FC43">
        <f t="shared" si="0"/>
        <v>443</v>
      </c>
    </row>
    <row r="44" spans="1:159" ht="17.25" thickBot="1" x14ac:dyDescent="0.3">
      <c r="A44" s="226">
        <v>45946</v>
      </c>
      <c r="B44" s="227" t="s">
        <v>170</v>
      </c>
      <c r="C44" s="227" t="s">
        <v>199</v>
      </c>
      <c r="D44" s="228">
        <v>375</v>
      </c>
      <c r="E44" s="228">
        <v>12</v>
      </c>
      <c r="F44" s="231">
        <v>1572.3</v>
      </c>
      <c r="G44" s="231">
        <v>1564.2</v>
      </c>
      <c r="H44" s="228">
        <v>8.1</v>
      </c>
      <c r="I44" s="229">
        <v>5.1999999999999998E-3</v>
      </c>
      <c r="J44" s="231">
        <v>1569.4</v>
      </c>
      <c r="K44" s="231">
        <v>1558.7</v>
      </c>
      <c r="L44" s="228">
        <v>10.7</v>
      </c>
      <c r="M44" s="229">
        <v>6.8999999999999999E-3</v>
      </c>
      <c r="N44" s="231">
        <v>1572.3</v>
      </c>
      <c r="O44" s="231">
        <v>1564.2</v>
      </c>
      <c r="P44" s="228">
        <v>8.1</v>
      </c>
      <c r="Q44" s="229">
        <v>5.1999999999999998E-3</v>
      </c>
      <c r="R44" s="231">
        <v>1581.2</v>
      </c>
      <c r="S44" s="231">
        <v>1572.2</v>
      </c>
      <c r="T44" s="228">
        <v>9</v>
      </c>
      <c r="U44" s="229">
        <v>5.7000000000000002E-3</v>
      </c>
      <c r="V44" s="231">
        <v>1590.4</v>
      </c>
      <c r="W44" s="231">
        <v>1581.6</v>
      </c>
      <c r="X44" s="228">
        <v>8.8000000000000007</v>
      </c>
      <c r="Y44" s="229">
        <v>5.5999999999999999E-3</v>
      </c>
      <c r="Z44" s="228">
        <v>2.9</v>
      </c>
      <c r="AA44" s="228">
        <v>5.5</v>
      </c>
      <c r="AB44" s="228">
        <v>-2.6</v>
      </c>
      <c r="AC44" s="229">
        <v>1.8E-3</v>
      </c>
      <c r="AD44" s="228">
        <v>2.9</v>
      </c>
      <c r="AE44" s="228">
        <v>5.5</v>
      </c>
      <c r="AF44" s="228">
        <v>-2.6</v>
      </c>
      <c r="AG44" s="229">
        <v>1.8E-3</v>
      </c>
      <c r="AH44" s="228">
        <v>11.8</v>
      </c>
      <c r="AI44" s="228">
        <v>13.5</v>
      </c>
      <c r="AJ44" s="228">
        <v>-1.7</v>
      </c>
      <c r="AK44" s="229">
        <v>7.4999999999999997E-3</v>
      </c>
      <c r="AL44" s="228">
        <v>21</v>
      </c>
      <c r="AM44" s="228">
        <v>22.9</v>
      </c>
      <c r="AN44" s="228">
        <v>-1.9</v>
      </c>
      <c r="AO44" s="229">
        <v>1.34E-2</v>
      </c>
      <c r="AP44" s="231">
        <v>1569.91</v>
      </c>
      <c r="AQ44" s="231">
        <v>1578.84</v>
      </c>
      <c r="AR44" s="228">
        <v>0</v>
      </c>
      <c r="AS44" s="228">
        <v>179</v>
      </c>
      <c r="AT44" s="228">
        <v>268</v>
      </c>
      <c r="AU44" s="228">
        <v>-88</v>
      </c>
      <c r="AV44" s="229">
        <v>-0.33</v>
      </c>
      <c r="AW44" s="228">
        <v>166</v>
      </c>
      <c r="AX44" s="228">
        <v>240</v>
      </c>
      <c r="AY44" s="228">
        <v>-75</v>
      </c>
      <c r="AZ44" s="229">
        <v>-0.31009999999999999</v>
      </c>
      <c r="BA44" s="228">
        <v>13</v>
      </c>
      <c r="BB44" s="228">
        <v>27</v>
      </c>
      <c r="BC44" s="228">
        <v>-14</v>
      </c>
      <c r="BD44" s="229">
        <v>-0.51849999999999996</v>
      </c>
      <c r="BE44" s="228">
        <v>0</v>
      </c>
      <c r="BF44" s="228">
        <v>0</v>
      </c>
      <c r="BG44" s="228">
        <v>0</v>
      </c>
      <c r="BH44" s="229">
        <v>1</v>
      </c>
      <c r="BI44" s="230">
        <v>1025</v>
      </c>
      <c r="BJ44" s="228">
        <v>922</v>
      </c>
      <c r="BK44" s="228">
        <v>103</v>
      </c>
      <c r="BL44" s="229">
        <v>0.11169999999999999</v>
      </c>
      <c r="BM44" s="228">
        <v>246</v>
      </c>
      <c r="BN44" s="228">
        <v>237</v>
      </c>
      <c r="BO44" s="228">
        <v>9</v>
      </c>
      <c r="BP44" s="229">
        <v>3.78E-2</v>
      </c>
      <c r="BQ44" s="230">
        <v>1451</v>
      </c>
      <c r="BR44" s="230">
        <v>1427</v>
      </c>
      <c r="BS44" s="228">
        <v>24</v>
      </c>
      <c r="BT44" s="229">
        <v>1.66E-2</v>
      </c>
      <c r="BU44" s="230">
        <v>1021133</v>
      </c>
      <c r="BV44" s="230">
        <v>1656007</v>
      </c>
      <c r="BW44" s="230">
        <v>-634874</v>
      </c>
      <c r="BX44" s="229">
        <v>-0.38340000000000002</v>
      </c>
      <c r="BY44" s="230">
        <v>1870</v>
      </c>
      <c r="BZ44" s="230">
        <v>1841</v>
      </c>
      <c r="CA44" s="228">
        <v>29</v>
      </c>
      <c r="CB44" s="229">
        <v>1.5599999999999999E-2</v>
      </c>
      <c r="CC44" s="230">
        <v>1815</v>
      </c>
      <c r="CD44" s="230">
        <v>1791</v>
      </c>
      <c r="CE44" s="228">
        <v>24</v>
      </c>
      <c r="CF44" s="229">
        <v>1.3599999999999999E-2</v>
      </c>
      <c r="CG44" s="228">
        <v>51</v>
      </c>
      <c r="CH44" s="228">
        <v>47</v>
      </c>
      <c r="CI44" s="228">
        <v>5</v>
      </c>
      <c r="CJ44" s="229">
        <v>9.69E-2</v>
      </c>
      <c r="CK44" s="228">
        <v>3</v>
      </c>
      <c r="CL44" s="228">
        <v>3</v>
      </c>
      <c r="CM44" s="228">
        <v>0</v>
      </c>
      <c r="CN44" s="229">
        <v>-5.5599999999999997E-2</v>
      </c>
      <c r="CO44" s="230">
        <v>1246</v>
      </c>
      <c r="CP44" s="230">
        <v>1150</v>
      </c>
      <c r="CQ44" s="228">
        <v>96</v>
      </c>
      <c r="CR44" s="229">
        <v>8.3699999999999997E-2</v>
      </c>
      <c r="CS44" s="228">
        <v>508</v>
      </c>
      <c r="CT44" s="228">
        <v>501</v>
      </c>
      <c r="CU44" s="228">
        <v>7</v>
      </c>
      <c r="CV44" s="229">
        <v>1.3299999999999999E-2</v>
      </c>
      <c r="CW44" s="230">
        <v>3624</v>
      </c>
      <c r="CX44" s="230">
        <v>3493</v>
      </c>
      <c r="CY44" s="228">
        <v>132</v>
      </c>
      <c r="CZ44" s="229">
        <v>3.7699999999999997E-2</v>
      </c>
      <c r="DA44" s="228">
        <v>22.12</v>
      </c>
      <c r="DB44" s="228">
        <v>22.96</v>
      </c>
      <c r="DC44" s="228">
        <v>-0.84</v>
      </c>
      <c r="DD44" s="228">
        <v>-0.84</v>
      </c>
      <c r="DE44" s="228">
        <v>26.27</v>
      </c>
      <c r="DF44" s="228">
        <v>26.32</v>
      </c>
      <c r="DG44" s="228">
        <v>-4.1500000000000004</v>
      </c>
      <c r="DH44" s="228">
        <v>-0.05</v>
      </c>
      <c r="DI44" s="228">
        <v>22.22</v>
      </c>
      <c r="DJ44" s="228">
        <v>23.34</v>
      </c>
      <c r="DK44" s="228">
        <v>-1.1200000000000001</v>
      </c>
      <c r="DL44" s="228">
        <v>-1.1200000000000001</v>
      </c>
      <c r="DM44" s="228">
        <v>21.72</v>
      </c>
      <c r="DN44" s="228">
        <v>21.49</v>
      </c>
      <c r="DO44" s="228">
        <v>0.23</v>
      </c>
      <c r="DP44" s="228">
        <v>0.23</v>
      </c>
      <c r="DQ44" s="228">
        <v>0.41</v>
      </c>
      <c r="DR44" s="228">
        <v>0.44</v>
      </c>
      <c r="DS44" s="228">
        <v>-0.03</v>
      </c>
      <c r="DT44" s="229">
        <v>-6.8199999999999997E-2</v>
      </c>
      <c r="DU44" s="231">
        <v>1700</v>
      </c>
      <c r="DV44" s="231">
        <v>1460</v>
      </c>
      <c r="DW44" s="228">
        <v>0.24</v>
      </c>
      <c r="DX44" s="228">
        <v>0.26</v>
      </c>
      <c r="DY44" s="228">
        <v>-0.02</v>
      </c>
      <c r="DZ44" s="229">
        <v>-7.6899999999999996E-2</v>
      </c>
      <c r="EA44" s="229">
        <v>2.9100000000000001E-2</v>
      </c>
      <c r="EB44" s="230">
        <v>318375</v>
      </c>
      <c r="EC44" s="229">
        <v>5.7000000000000002E-3</v>
      </c>
      <c r="ED44" s="229">
        <v>2.9100000000000001E-2</v>
      </c>
      <c r="EE44" s="228">
        <v>8.93</v>
      </c>
      <c r="EF44" s="229">
        <v>5.7000000000000002E-3</v>
      </c>
      <c r="EG44" s="230">
        <v>565184</v>
      </c>
      <c r="EH44" s="230">
        <v>1144737</v>
      </c>
      <c r="EI44" s="229">
        <v>-0.50629999999999997</v>
      </c>
      <c r="EJ44" s="229">
        <v>0.55349999999999999</v>
      </c>
      <c r="EK44" s="231">
        <v>1062.2</v>
      </c>
      <c r="EL44" s="228">
        <v>239.62</v>
      </c>
      <c r="EM44" s="228">
        <v>179.11</v>
      </c>
      <c r="EN44" s="228">
        <v>54.64</v>
      </c>
      <c r="EO44" s="231">
        <v>1480.93</v>
      </c>
      <c r="EP44" s="231">
        <v>1451.8</v>
      </c>
      <c r="EQ44" s="228">
        <v>29.13</v>
      </c>
      <c r="ER44" s="229">
        <v>2.01E-2</v>
      </c>
      <c r="ES44" s="231">
        <v>1299.53</v>
      </c>
      <c r="ET44" s="228">
        <v>475.61</v>
      </c>
      <c r="EU44" s="231">
        <v>1870.22</v>
      </c>
      <c r="EV44" s="231">
        <v>57073940</v>
      </c>
      <c r="EW44" s="231">
        <v>3645.36</v>
      </c>
      <c r="EX44" s="231">
        <v>3499.05</v>
      </c>
      <c r="EY44" s="228">
        <v>146.31</v>
      </c>
      <c r="EZ44" s="229">
        <v>4.1799999999999997E-2</v>
      </c>
      <c r="FA44" s="229">
        <v>0.40389999999999998</v>
      </c>
      <c r="FB44" s="227" t="s">
        <v>555</v>
      </c>
      <c r="FC44">
        <f t="shared" si="0"/>
        <v>55</v>
      </c>
    </row>
    <row r="45" spans="1:159" ht="17.25" thickBot="1" x14ac:dyDescent="0.3">
      <c r="A45" s="226">
        <v>45946</v>
      </c>
      <c r="B45" s="227" t="s">
        <v>227</v>
      </c>
      <c r="C45" s="227" t="s">
        <v>200</v>
      </c>
      <c r="D45" s="228">
        <v>1350</v>
      </c>
      <c r="E45" s="228">
        <v>12</v>
      </c>
      <c r="F45" s="228">
        <v>388.85</v>
      </c>
      <c r="G45" s="228">
        <v>385.95</v>
      </c>
      <c r="H45" s="228">
        <v>2.9</v>
      </c>
      <c r="I45" s="229">
        <v>7.4999999999999997E-3</v>
      </c>
      <c r="J45" s="228">
        <v>387.6</v>
      </c>
      <c r="K45" s="228">
        <v>384.25</v>
      </c>
      <c r="L45" s="228">
        <v>3.35</v>
      </c>
      <c r="M45" s="229">
        <v>8.6999999999999994E-3</v>
      </c>
      <c r="N45" s="228">
        <v>388.85</v>
      </c>
      <c r="O45" s="228">
        <v>385.95</v>
      </c>
      <c r="P45" s="228">
        <v>2.9</v>
      </c>
      <c r="Q45" s="229">
        <v>7.4999999999999997E-3</v>
      </c>
      <c r="R45" s="228">
        <v>389.6</v>
      </c>
      <c r="S45" s="228">
        <v>386.05</v>
      </c>
      <c r="T45" s="228">
        <v>3.55</v>
      </c>
      <c r="U45" s="229">
        <v>9.1999999999999998E-3</v>
      </c>
      <c r="V45" s="228">
        <v>391.8</v>
      </c>
      <c r="W45" s="228">
        <v>388.55</v>
      </c>
      <c r="X45" s="228">
        <v>3.25</v>
      </c>
      <c r="Y45" s="229">
        <v>8.3999999999999995E-3</v>
      </c>
      <c r="Z45" s="228">
        <v>1.25</v>
      </c>
      <c r="AA45" s="228">
        <v>1.7</v>
      </c>
      <c r="AB45" s="228">
        <v>-0.45</v>
      </c>
      <c r="AC45" s="229">
        <v>3.2000000000000002E-3</v>
      </c>
      <c r="AD45" s="228">
        <v>1.25</v>
      </c>
      <c r="AE45" s="228">
        <v>1.7</v>
      </c>
      <c r="AF45" s="228">
        <v>-0.45</v>
      </c>
      <c r="AG45" s="229">
        <v>3.2000000000000002E-3</v>
      </c>
      <c r="AH45" s="228">
        <v>2</v>
      </c>
      <c r="AI45" s="228">
        <v>1.8</v>
      </c>
      <c r="AJ45" s="228">
        <v>0.2</v>
      </c>
      <c r="AK45" s="229">
        <v>5.1999999999999998E-3</v>
      </c>
      <c r="AL45" s="228">
        <v>4.2</v>
      </c>
      <c r="AM45" s="228">
        <v>4.3</v>
      </c>
      <c r="AN45" s="228">
        <v>-0.1</v>
      </c>
      <c r="AO45" s="229">
        <v>1.0800000000000001E-2</v>
      </c>
      <c r="AP45" s="228">
        <v>388.14</v>
      </c>
      <c r="AQ45" s="228">
        <v>388.6</v>
      </c>
      <c r="AR45" s="228">
        <v>0</v>
      </c>
      <c r="AS45" s="228">
        <v>230</v>
      </c>
      <c r="AT45" s="228">
        <v>272</v>
      </c>
      <c r="AU45" s="228">
        <v>-42</v>
      </c>
      <c r="AV45" s="229">
        <v>-0.1537</v>
      </c>
      <c r="AW45" s="228">
        <v>182</v>
      </c>
      <c r="AX45" s="228">
        <v>219</v>
      </c>
      <c r="AY45" s="228">
        <v>-38</v>
      </c>
      <c r="AZ45" s="229">
        <v>-0.17199999999999999</v>
      </c>
      <c r="BA45" s="228">
        <v>43</v>
      </c>
      <c r="BB45" s="228">
        <v>48</v>
      </c>
      <c r="BC45" s="228">
        <v>-5</v>
      </c>
      <c r="BD45" s="229">
        <v>-0.10390000000000001</v>
      </c>
      <c r="BE45" s="228">
        <v>5</v>
      </c>
      <c r="BF45" s="228">
        <v>5</v>
      </c>
      <c r="BG45" s="228">
        <v>1</v>
      </c>
      <c r="BH45" s="229">
        <v>0.20930000000000001</v>
      </c>
      <c r="BI45" s="228">
        <v>724</v>
      </c>
      <c r="BJ45" s="228">
        <v>774</v>
      </c>
      <c r="BK45" s="228">
        <v>-51</v>
      </c>
      <c r="BL45" s="229">
        <v>-6.5500000000000003E-2</v>
      </c>
      <c r="BM45" s="228">
        <v>517</v>
      </c>
      <c r="BN45" s="228">
        <v>543</v>
      </c>
      <c r="BO45" s="228">
        <v>-26</v>
      </c>
      <c r="BP45" s="229">
        <v>-4.7699999999999999E-2</v>
      </c>
      <c r="BQ45" s="230">
        <v>1471</v>
      </c>
      <c r="BR45" s="230">
        <v>1590</v>
      </c>
      <c r="BS45" s="228">
        <v>-118</v>
      </c>
      <c r="BT45" s="229">
        <v>-7.4499999999999997E-2</v>
      </c>
      <c r="BU45" s="230">
        <v>3599171</v>
      </c>
      <c r="BV45" s="230">
        <v>6233208</v>
      </c>
      <c r="BW45" s="230">
        <v>-2634037</v>
      </c>
      <c r="BX45" s="229">
        <v>-0.42259999999999998</v>
      </c>
      <c r="BY45" s="230">
        <v>2732</v>
      </c>
      <c r="BZ45" s="230">
        <v>2750</v>
      </c>
      <c r="CA45" s="228">
        <v>-18</v>
      </c>
      <c r="CB45" s="229">
        <v>-6.4999999999999997E-3</v>
      </c>
      <c r="CC45" s="230">
        <v>2556</v>
      </c>
      <c r="CD45" s="230">
        <v>2586</v>
      </c>
      <c r="CE45" s="228">
        <v>-30</v>
      </c>
      <c r="CF45" s="229">
        <v>-1.17E-2</v>
      </c>
      <c r="CG45" s="228">
        <v>156</v>
      </c>
      <c r="CH45" s="228">
        <v>144</v>
      </c>
      <c r="CI45" s="228">
        <v>12</v>
      </c>
      <c r="CJ45" s="229">
        <v>8.48E-2</v>
      </c>
      <c r="CK45" s="228">
        <v>20</v>
      </c>
      <c r="CL45" s="228">
        <v>20</v>
      </c>
      <c r="CM45" s="228">
        <v>0</v>
      </c>
      <c r="CN45" s="229">
        <v>1.04E-2</v>
      </c>
      <c r="CO45" s="230">
        <v>1161</v>
      </c>
      <c r="CP45" s="230">
        <v>1156</v>
      </c>
      <c r="CQ45" s="228">
        <v>5</v>
      </c>
      <c r="CR45" s="229">
        <v>4.4999999999999997E-3</v>
      </c>
      <c r="CS45" s="228">
        <v>785</v>
      </c>
      <c r="CT45" s="228">
        <v>797</v>
      </c>
      <c r="CU45" s="228">
        <v>-11</v>
      </c>
      <c r="CV45" s="229">
        <v>-1.4E-2</v>
      </c>
      <c r="CW45" s="230">
        <v>4679</v>
      </c>
      <c r="CX45" s="230">
        <v>4702</v>
      </c>
      <c r="CY45" s="228">
        <v>-24</v>
      </c>
      <c r="CZ45" s="229">
        <v>-5.1000000000000004E-3</v>
      </c>
      <c r="DA45" s="228">
        <v>16.82</v>
      </c>
      <c r="DB45" s="228">
        <v>17.059999999999999</v>
      </c>
      <c r="DC45" s="228">
        <v>-0.24</v>
      </c>
      <c r="DD45" s="228">
        <v>-0.24</v>
      </c>
      <c r="DE45" s="228">
        <v>28.82</v>
      </c>
      <c r="DF45" s="228">
        <v>28.88</v>
      </c>
      <c r="DG45" s="228">
        <v>-12</v>
      </c>
      <c r="DH45" s="228">
        <v>-0.06</v>
      </c>
      <c r="DI45" s="228">
        <v>16.649999999999999</v>
      </c>
      <c r="DJ45" s="228">
        <v>17.28</v>
      </c>
      <c r="DK45" s="228">
        <v>-0.63</v>
      </c>
      <c r="DL45" s="228">
        <v>-0.63</v>
      </c>
      <c r="DM45" s="228">
        <v>17.07</v>
      </c>
      <c r="DN45" s="228">
        <v>16.73</v>
      </c>
      <c r="DO45" s="228">
        <v>0.34</v>
      </c>
      <c r="DP45" s="228">
        <v>0.34</v>
      </c>
      <c r="DQ45" s="228">
        <v>0.68</v>
      </c>
      <c r="DR45" s="228">
        <v>0.69</v>
      </c>
      <c r="DS45" s="228">
        <v>-0.01</v>
      </c>
      <c r="DT45" s="229">
        <v>-1.4500000000000001E-2</v>
      </c>
      <c r="DU45" s="228">
        <v>400</v>
      </c>
      <c r="DV45" s="228">
        <v>390</v>
      </c>
      <c r="DW45" s="228">
        <v>0.71</v>
      </c>
      <c r="DX45" s="228">
        <v>0.7</v>
      </c>
      <c r="DY45" s="228">
        <v>0.01</v>
      </c>
      <c r="DZ45" s="229">
        <v>1.43E-2</v>
      </c>
      <c r="EA45" s="229">
        <v>6.4500000000000002E-2</v>
      </c>
      <c r="EB45" s="230">
        <v>4212000</v>
      </c>
      <c r="EC45" s="229">
        <v>1.9E-3</v>
      </c>
      <c r="ED45" s="229">
        <v>6.4500000000000002E-2</v>
      </c>
      <c r="EE45" s="228">
        <v>0.46</v>
      </c>
      <c r="EF45" s="229">
        <v>1.1999999999999999E-3</v>
      </c>
      <c r="EG45" s="230">
        <v>2356001</v>
      </c>
      <c r="EH45" s="230">
        <v>4730338</v>
      </c>
      <c r="EI45" s="229">
        <v>-0.50190000000000001</v>
      </c>
      <c r="EJ45" s="229">
        <v>0.65459999999999996</v>
      </c>
      <c r="EK45" s="228">
        <v>738.46</v>
      </c>
      <c r="EL45" s="228">
        <v>512.46</v>
      </c>
      <c r="EM45" s="228">
        <v>229.81</v>
      </c>
      <c r="EN45" s="228">
        <v>44.11</v>
      </c>
      <c r="EO45" s="231">
        <v>1480.72</v>
      </c>
      <c r="EP45" s="231">
        <v>1594.87</v>
      </c>
      <c r="EQ45" s="228">
        <v>-114.15</v>
      </c>
      <c r="ER45" s="229">
        <v>-7.1599999999999997E-2</v>
      </c>
      <c r="ES45" s="231">
        <v>1198.3800000000001</v>
      </c>
      <c r="ET45" s="228">
        <v>788.04</v>
      </c>
      <c r="EU45" s="231">
        <v>2732.81</v>
      </c>
      <c r="EV45" s="231">
        <v>227199238</v>
      </c>
      <c r="EW45" s="231">
        <v>4719.2299999999996</v>
      </c>
      <c r="EX45" s="231">
        <v>4721.83</v>
      </c>
      <c r="EY45" s="228">
        <v>-2.6</v>
      </c>
      <c r="EZ45" s="229">
        <v>-5.9999999999999995E-4</v>
      </c>
      <c r="FA45" s="229">
        <v>0.52959999999999996</v>
      </c>
      <c r="FB45" s="227" t="s">
        <v>556</v>
      </c>
      <c r="FC45">
        <f t="shared" si="0"/>
        <v>176</v>
      </c>
    </row>
    <row r="46" spans="1:159" ht="17.25" thickBot="1" x14ac:dyDescent="0.3">
      <c r="A46" s="226">
        <v>45946</v>
      </c>
      <c r="B46" s="227" t="s">
        <v>221</v>
      </c>
      <c r="C46" s="227" t="s">
        <v>470</v>
      </c>
      <c r="D46" s="228">
        <v>375</v>
      </c>
      <c r="E46" s="228">
        <v>12</v>
      </c>
      <c r="F46" s="231">
        <v>1766.1</v>
      </c>
      <c r="G46" s="231">
        <v>1766.9</v>
      </c>
      <c r="H46" s="228">
        <v>-0.8</v>
      </c>
      <c r="I46" s="229">
        <v>-5.0000000000000001E-4</v>
      </c>
      <c r="J46" s="231">
        <v>1761.5</v>
      </c>
      <c r="K46" s="231">
        <v>1765.4</v>
      </c>
      <c r="L46" s="228">
        <v>-3.9</v>
      </c>
      <c r="M46" s="229">
        <v>-2.2000000000000001E-3</v>
      </c>
      <c r="N46" s="231">
        <v>1766.1</v>
      </c>
      <c r="O46" s="231">
        <v>1766.9</v>
      </c>
      <c r="P46" s="228">
        <v>-0.8</v>
      </c>
      <c r="Q46" s="229">
        <v>-5.0000000000000001E-4</v>
      </c>
      <c r="R46" s="231">
        <v>1769</v>
      </c>
      <c r="S46" s="231">
        <v>1768.9</v>
      </c>
      <c r="T46" s="228">
        <v>0.1</v>
      </c>
      <c r="U46" s="229">
        <v>1E-4</v>
      </c>
      <c r="V46" s="231">
        <v>1774.2</v>
      </c>
      <c r="W46" s="231">
        <v>1775.5</v>
      </c>
      <c r="X46" s="228">
        <v>-1.3</v>
      </c>
      <c r="Y46" s="229">
        <v>-6.9999999999999999E-4</v>
      </c>
      <c r="Z46" s="228">
        <v>4.5999999999999996</v>
      </c>
      <c r="AA46" s="228">
        <v>1.5</v>
      </c>
      <c r="AB46" s="228">
        <v>3.1</v>
      </c>
      <c r="AC46" s="229">
        <v>2.5999999999999999E-3</v>
      </c>
      <c r="AD46" s="228">
        <v>4.5999999999999996</v>
      </c>
      <c r="AE46" s="228">
        <v>1.5</v>
      </c>
      <c r="AF46" s="228">
        <v>3.1</v>
      </c>
      <c r="AG46" s="229">
        <v>2.5999999999999999E-3</v>
      </c>
      <c r="AH46" s="228">
        <v>7.5</v>
      </c>
      <c r="AI46" s="228">
        <v>3.5</v>
      </c>
      <c r="AJ46" s="228">
        <v>4</v>
      </c>
      <c r="AK46" s="229">
        <v>4.3E-3</v>
      </c>
      <c r="AL46" s="228">
        <v>12.7</v>
      </c>
      <c r="AM46" s="228">
        <v>10.1</v>
      </c>
      <c r="AN46" s="228">
        <v>2.6</v>
      </c>
      <c r="AO46" s="229">
        <v>7.1999999999999998E-3</v>
      </c>
      <c r="AP46" s="231">
        <v>1764.65</v>
      </c>
      <c r="AQ46" s="231">
        <v>1769.53</v>
      </c>
      <c r="AR46" s="228">
        <v>0</v>
      </c>
      <c r="AS46" s="228">
        <v>237</v>
      </c>
      <c r="AT46" s="228">
        <v>681</v>
      </c>
      <c r="AU46" s="228">
        <v>-444</v>
      </c>
      <c r="AV46" s="229">
        <v>-0.65249999999999997</v>
      </c>
      <c r="AW46" s="228">
        <v>213</v>
      </c>
      <c r="AX46" s="228">
        <v>634</v>
      </c>
      <c r="AY46" s="228">
        <v>-420</v>
      </c>
      <c r="AZ46" s="229">
        <v>-0.66339999999999999</v>
      </c>
      <c r="BA46" s="228">
        <v>22</v>
      </c>
      <c r="BB46" s="228">
        <v>43</v>
      </c>
      <c r="BC46" s="228">
        <v>-21</v>
      </c>
      <c r="BD46" s="229">
        <v>-0.48549999999999999</v>
      </c>
      <c r="BE46" s="228">
        <v>1</v>
      </c>
      <c r="BF46" s="228">
        <v>4</v>
      </c>
      <c r="BG46" s="228">
        <v>-3</v>
      </c>
      <c r="BH46" s="229">
        <v>-0.75</v>
      </c>
      <c r="BI46" s="228">
        <v>731</v>
      </c>
      <c r="BJ46" s="230">
        <v>3330</v>
      </c>
      <c r="BK46" s="230">
        <v>-2599</v>
      </c>
      <c r="BL46" s="229">
        <v>-0.78049999999999997</v>
      </c>
      <c r="BM46" s="228">
        <v>337</v>
      </c>
      <c r="BN46" s="228">
        <v>822</v>
      </c>
      <c r="BO46" s="228">
        <v>-486</v>
      </c>
      <c r="BP46" s="229">
        <v>-0.59060000000000001</v>
      </c>
      <c r="BQ46" s="230">
        <v>1304</v>
      </c>
      <c r="BR46" s="230">
        <v>4833</v>
      </c>
      <c r="BS46" s="230">
        <v>-3529</v>
      </c>
      <c r="BT46" s="229">
        <v>-0.73019999999999996</v>
      </c>
      <c r="BU46" s="230">
        <v>630379</v>
      </c>
      <c r="BV46" s="230">
        <v>2736090</v>
      </c>
      <c r="BW46" s="230">
        <v>-2105711</v>
      </c>
      <c r="BX46" s="229">
        <v>-0.76959999999999995</v>
      </c>
      <c r="BY46" s="230">
        <v>2145</v>
      </c>
      <c r="BZ46" s="230">
        <v>2137</v>
      </c>
      <c r="CA46" s="228">
        <v>9</v>
      </c>
      <c r="CB46" s="229">
        <v>4.1000000000000003E-3</v>
      </c>
      <c r="CC46" s="230">
        <v>2087</v>
      </c>
      <c r="CD46" s="230">
        <v>2084</v>
      </c>
      <c r="CE46" s="228">
        <v>3</v>
      </c>
      <c r="CF46" s="229">
        <v>1.6000000000000001E-3</v>
      </c>
      <c r="CG46" s="228">
        <v>56</v>
      </c>
      <c r="CH46" s="228">
        <v>50</v>
      </c>
      <c r="CI46" s="228">
        <v>6</v>
      </c>
      <c r="CJ46" s="229">
        <v>0.1123</v>
      </c>
      <c r="CK46" s="228">
        <v>3</v>
      </c>
      <c r="CL46" s="228">
        <v>3</v>
      </c>
      <c r="CM46" s="228">
        <v>0</v>
      </c>
      <c r="CN46" s="229">
        <v>-2.4400000000000002E-2</v>
      </c>
      <c r="CO46" s="228">
        <v>822</v>
      </c>
      <c r="CP46" s="228">
        <v>826</v>
      </c>
      <c r="CQ46" s="228">
        <v>-4</v>
      </c>
      <c r="CR46" s="229">
        <v>-4.4000000000000003E-3</v>
      </c>
      <c r="CS46" s="228">
        <v>582</v>
      </c>
      <c r="CT46" s="228">
        <v>561</v>
      </c>
      <c r="CU46" s="228">
        <v>21</v>
      </c>
      <c r="CV46" s="229">
        <v>3.8100000000000002E-2</v>
      </c>
      <c r="CW46" s="230">
        <v>3550</v>
      </c>
      <c r="CX46" s="230">
        <v>3523</v>
      </c>
      <c r="CY46" s="228">
        <v>27</v>
      </c>
      <c r="CZ46" s="229">
        <v>7.4999999999999997E-3</v>
      </c>
      <c r="DA46" s="228">
        <v>39.42</v>
      </c>
      <c r="DB46" s="228">
        <v>39.24</v>
      </c>
      <c r="DC46" s="228">
        <v>0.18</v>
      </c>
      <c r="DD46" s="228">
        <v>0.18</v>
      </c>
      <c r="DE46" s="228">
        <v>43.05</v>
      </c>
      <c r="DF46" s="228">
        <v>43.16</v>
      </c>
      <c r="DG46" s="228">
        <v>-3.63</v>
      </c>
      <c r="DH46" s="228">
        <v>-0.11</v>
      </c>
      <c r="DI46" s="228">
        <v>39</v>
      </c>
      <c r="DJ46" s="228">
        <v>38.950000000000003</v>
      </c>
      <c r="DK46" s="228">
        <v>0.05</v>
      </c>
      <c r="DL46" s="228">
        <v>0.05</v>
      </c>
      <c r="DM46" s="228">
        <v>40.33</v>
      </c>
      <c r="DN46" s="228">
        <v>40.39</v>
      </c>
      <c r="DO46" s="228">
        <v>-0.06</v>
      </c>
      <c r="DP46" s="228">
        <v>-0.06</v>
      </c>
      <c r="DQ46" s="228">
        <v>0.71</v>
      </c>
      <c r="DR46" s="228">
        <v>0.68</v>
      </c>
      <c r="DS46" s="228">
        <v>0.03</v>
      </c>
      <c r="DT46" s="229">
        <v>4.41E-2</v>
      </c>
      <c r="DU46" s="231">
        <v>1700</v>
      </c>
      <c r="DV46" s="231">
        <v>1540</v>
      </c>
      <c r="DW46" s="228">
        <v>0.46</v>
      </c>
      <c r="DX46" s="228">
        <v>0.25</v>
      </c>
      <c r="DY46" s="228">
        <v>0.21</v>
      </c>
      <c r="DZ46" s="229">
        <v>0.84</v>
      </c>
      <c r="EA46" s="229">
        <v>2.7199999999999998E-2</v>
      </c>
      <c r="EB46" s="230">
        <v>299250</v>
      </c>
      <c r="EC46" s="229">
        <v>1.6000000000000001E-3</v>
      </c>
      <c r="ED46" s="229">
        <v>2.7199999999999998E-2</v>
      </c>
      <c r="EE46" s="228">
        <v>4.88</v>
      </c>
      <c r="EF46" s="229">
        <v>2.8E-3</v>
      </c>
      <c r="EG46" s="230">
        <v>272145</v>
      </c>
      <c r="EH46" s="230">
        <v>1213562</v>
      </c>
      <c r="EI46" s="229">
        <v>-0.77569999999999995</v>
      </c>
      <c r="EJ46" s="229">
        <v>0.43169999999999997</v>
      </c>
      <c r="EK46" s="228">
        <v>769.04</v>
      </c>
      <c r="EL46" s="228">
        <v>329.53</v>
      </c>
      <c r="EM46" s="228">
        <v>236.37</v>
      </c>
      <c r="EN46" s="228">
        <v>61.28</v>
      </c>
      <c r="EO46" s="231">
        <v>1334.94</v>
      </c>
      <c r="EP46" s="231">
        <v>4935.24</v>
      </c>
      <c r="EQ46" s="231">
        <v>-3600.3</v>
      </c>
      <c r="ER46" s="229">
        <v>-0.72950000000000004</v>
      </c>
      <c r="ES46" s="228">
        <v>835.78</v>
      </c>
      <c r="ET46" s="228">
        <v>535.53</v>
      </c>
      <c r="EU46" s="231">
        <v>2145.4499999999998</v>
      </c>
      <c r="EV46" s="231">
        <v>50163899</v>
      </c>
      <c r="EW46" s="231">
        <v>3516.77</v>
      </c>
      <c r="EX46" s="231">
        <v>3488.47</v>
      </c>
      <c r="EY46" s="228">
        <v>28.3</v>
      </c>
      <c r="EZ46" s="229">
        <v>8.0999999999999996E-3</v>
      </c>
      <c r="FA46" s="229">
        <v>0.4007</v>
      </c>
      <c r="FB46" s="227" t="s">
        <v>567</v>
      </c>
      <c r="FC46">
        <f t="shared" si="0"/>
        <v>58</v>
      </c>
    </row>
    <row r="47" spans="1:159" ht="17.25" thickBot="1" x14ac:dyDescent="0.3">
      <c r="A47" s="226">
        <v>45946</v>
      </c>
      <c r="B47" s="227" t="s">
        <v>168</v>
      </c>
      <c r="C47" s="227" t="s">
        <v>201</v>
      </c>
      <c r="D47" s="228">
        <v>225</v>
      </c>
      <c r="E47" s="228">
        <v>12</v>
      </c>
      <c r="F47" s="231">
        <v>2294</v>
      </c>
      <c r="G47" s="231">
        <v>2230.8000000000002</v>
      </c>
      <c r="H47" s="228">
        <v>63.2</v>
      </c>
      <c r="I47" s="229">
        <v>2.8299999999999999E-2</v>
      </c>
      <c r="J47" s="231">
        <v>2285.8000000000002</v>
      </c>
      <c r="K47" s="231">
        <v>2227.1</v>
      </c>
      <c r="L47" s="228">
        <v>58.7</v>
      </c>
      <c r="M47" s="229">
        <v>2.64E-2</v>
      </c>
      <c r="N47" s="231">
        <v>2294</v>
      </c>
      <c r="O47" s="231">
        <v>2230.8000000000002</v>
      </c>
      <c r="P47" s="228">
        <v>63.2</v>
      </c>
      <c r="Q47" s="229">
        <v>2.8299999999999999E-2</v>
      </c>
      <c r="R47" s="231">
        <v>2277.8000000000002</v>
      </c>
      <c r="S47" s="231">
        <v>2216.8000000000002</v>
      </c>
      <c r="T47" s="228">
        <v>61</v>
      </c>
      <c r="U47" s="229">
        <v>2.75E-2</v>
      </c>
      <c r="V47" s="231">
        <v>2286.9</v>
      </c>
      <c r="W47" s="231">
        <v>2228</v>
      </c>
      <c r="X47" s="228">
        <v>58.9</v>
      </c>
      <c r="Y47" s="229">
        <v>2.64E-2</v>
      </c>
      <c r="Z47" s="228">
        <v>8.1999999999999993</v>
      </c>
      <c r="AA47" s="228">
        <v>3.7</v>
      </c>
      <c r="AB47" s="228">
        <v>4.5</v>
      </c>
      <c r="AC47" s="229">
        <v>3.5999999999999999E-3</v>
      </c>
      <c r="AD47" s="228">
        <v>8.1999999999999993</v>
      </c>
      <c r="AE47" s="228">
        <v>3.7</v>
      </c>
      <c r="AF47" s="228">
        <v>4.5</v>
      </c>
      <c r="AG47" s="229">
        <v>3.5999999999999999E-3</v>
      </c>
      <c r="AH47" s="228">
        <v>-8</v>
      </c>
      <c r="AI47" s="228">
        <v>-10.3</v>
      </c>
      <c r="AJ47" s="228">
        <v>2.2999999999999998</v>
      </c>
      <c r="AK47" s="229">
        <v>-3.5000000000000001E-3</v>
      </c>
      <c r="AL47" s="228">
        <v>1.1000000000000001</v>
      </c>
      <c r="AM47" s="228">
        <v>0.9</v>
      </c>
      <c r="AN47" s="228">
        <v>0.2</v>
      </c>
      <c r="AO47" s="229">
        <v>5.0000000000000001E-4</v>
      </c>
      <c r="AP47" s="231">
        <v>2276.8200000000002</v>
      </c>
      <c r="AQ47" s="231">
        <v>2256.6999999999998</v>
      </c>
      <c r="AR47" s="228">
        <v>0</v>
      </c>
      <c r="AS47" s="228">
        <v>357</v>
      </c>
      <c r="AT47" s="228">
        <v>160</v>
      </c>
      <c r="AU47" s="228">
        <v>197</v>
      </c>
      <c r="AV47" s="229">
        <v>1.2313000000000001</v>
      </c>
      <c r="AW47" s="228">
        <v>298</v>
      </c>
      <c r="AX47" s="228">
        <v>134</v>
      </c>
      <c r="AY47" s="228">
        <v>164</v>
      </c>
      <c r="AZ47" s="229">
        <v>1.2286999999999999</v>
      </c>
      <c r="BA47" s="228">
        <v>53</v>
      </c>
      <c r="BB47" s="228">
        <v>23</v>
      </c>
      <c r="BC47" s="228">
        <v>30</v>
      </c>
      <c r="BD47" s="229">
        <v>1.2699</v>
      </c>
      <c r="BE47" s="228">
        <v>7</v>
      </c>
      <c r="BF47" s="228">
        <v>3</v>
      </c>
      <c r="BG47" s="228">
        <v>3</v>
      </c>
      <c r="BH47" s="229">
        <v>1.0634999999999999</v>
      </c>
      <c r="BI47" s="230">
        <v>1165</v>
      </c>
      <c r="BJ47" s="228">
        <v>419</v>
      </c>
      <c r="BK47" s="228">
        <v>746</v>
      </c>
      <c r="BL47" s="229">
        <v>1.78</v>
      </c>
      <c r="BM47" s="228">
        <v>359</v>
      </c>
      <c r="BN47" s="228">
        <v>151</v>
      </c>
      <c r="BO47" s="228">
        <v>208</v>
      </c>
      <c r="BP47" s="229">
        <v>1.3813</v>
      </c>
      <c r="BQ47" s="230">
        <v>1882</v>
      </c>
      <c r="BR47" s="228">
        <v>730</v>
      </c>
      <c r="BS47" s="230">
        <v>1152</v>
      </c>
      <c r="BT47" s="229">
        <v>1.5772999999999999</v>
      </c>
      <c r="BU47" s="230">
        <v>469173</v>
      </c>
      <c r="BV47" s="230">
        <v>240752</v>
      </c>
      <c r="BW47" s="230">
        <v>228421</v>
      </c>
      <c r="BX47" s="229">
        <v>0.94879999999999998</v>
      </c>
      <c r="BY47" s="230">
        <v>1150</v>
      </c>
      <c r="BZ47" s="230">
        <v>1224</v>
      </c>
      <c r="CA47" s="228">
        <v>-74</v>
      </c>
      <c r="CB47" s="229">
        <v>-6.0400000000000002E-2</v>
      </c>
      <c r="CC47" s="228">
        <v>995</v>
      </c>
      <c r="CD47" s="230">
        <v>1069</v>
      </c>
      <c r="CE47" s="228">
        <v>-74</v>
      </c>
      <c r="CF47" s="229">
        <v>-6.9400000000000003E-2</v>
      </c>
      <c r="CG47" s="228">
        <v>146</v>
      </c>
      <c r="CH47" s="228">
        <v>145</v>
      </c>
      <c r="CI47" s="228">
        <v>1</v>
      </c>
      <c r="CJ47" s="229">
        <v>9.1999999999999998E-3</v>
      </c>
      <c r="CK47" s="228">
        <v>9</v>
      </c>
      <c r="CL47" s="228">
        <v>10</v>
      </c>
      <c r="CM47" s="228">
        <v>-1</v>
      </c>
      <c r="CN47" s="229">
        <v>-0.1106</v>
      </c>
      <c r="CO47" s="228">
        <v>408</v>
      </c>
      <c r="CP47" s="228">
        <v>467</v>
      </c>
      <c r="CQ47" s="228">
        <v>-59</v>
      </c>
      <c r="CR47" s="229">
        <v>-0.12590000000000001</v>
      </c>
      <c r="CS47" s="228">
        <v>305</v>
      </c>
      <c r="CT47" s="228">
        <v>331</v>
      </c>
      <c r="CU47" s="228">
        <v>-26</v>
      </c>
      <c r="CV47" s="229">
        <v>-7.8299999999999995E-2</v>
      </c>
      <c r="CW47" s="230">
        <v>1863</v>
      </c>
      <c r="CX47" s="230">
        <v>2022</v>
      </c>
      <c r="CY47" s="228">
        <v>-159</v>
      </c>
      <c r="CZ47" s="229">
        <v>-7.85E-2</v>
      </c>
      <c r="DA47" s="228">
        <v>25.82</v>
      </c>
      <c r="DB47" s="228">
        <v>25.83</v>
      </c>
      <c r="DC47" s="228">
        <v>-0.01</v>
      </c>
      <c r="DD47" s="228">
        <v>-0.01</v>
      </c>
      <c r="DE47" s="228">
        <v>28.37</v>
      </c>
      <c r="DF47" s="228">
        <v>28.18</v>
      </c>
      <c r="DG47" s="228">
        <v>-2.5499999999999998</v>
      </c>
      <c r="DH47" s="228">
        <v>0.19</v>
      </c>
      <c r="DI47" s="228">
        <v>25.5</v>
      </c>
      <c r="DJ47" s="228">
        <v>25.99</v>
      </c>
      <c r="DK47" s="228">
        <v>-0.49</v>
      </c>
      <c r="DL47" s="228">
        <v>-0.49</v>
      </c>
      <c r="DM47" s="228">
        <v>26.86</v>
      </c>
      <c r="DN47" s="228">
        <v>25.39</v>
      </c>
      <c r="DO47" s="228">
        <v>1.47</v>
      </c>
      <c r="DP47" s="228">
        <v>1.47</v>
      </c>
      <c r="DQ47" s="228">
        <v>0.75</v>
      </c>
      <c r="DR47" s="228">
        <v>0.71</v>
      </c>
      <c r="DS47" s="228">
        <v>0.04</v>
      </c>
      <c r="DT47" s="229">
        <v>5.6300000000000003E-2</v>
      </c>
      <c r="DU47" s="231">
        <v>2340</v>
      </c>
      <c r="DV47" s="231">
        <v>2200</v>
      </c>
      <c r="DW47" s="228">
        <v>0.31</v>
      </c>
      <c r="DX47" s="228">
        <v>0.36</v>
      </c>
      <c r="DY47" s="228">
        <v>-0.05</v>
      </c>
      <c r="DZ47" s="229">
        <v>-0.1389</v>
      </c>
      <c r="EA47" s="229">
        <v>0.1353</v>
      </c>
      <c r="EB47" s="230">
        <v>677250</v>
      </c>
      <c r="EC47" s="229">
        <v>-7.1000000000000004E-3</v>
      </c>
      <c r="ED47" s="229">
        <v>0.1353</v>
      </c>
      <c r="EE47" s="228">
        <v>-20.12</v>
      </c>
      <c r="EF47" s="229">
        <v>-8.8000000000000005E-3</v>
      </c>
      <c r="EG47" s="230">
        <v>210743</v>
      </c>
      <c r="EH47" s="230">
        <v>125948</v>
      </c>
      <c r="EI47" s="229">
        <v>0.67330000000000001</v>
      </c>
      <c r="EJ47" s="229">
        <v>0.44919999999999999</v>
      </c>
      <c r="EK47" s="231">
        <v>1184.79</v>
      </c>
      <c r="EL47" s="228">
        <v>351.23</v>
      </c>
      <c r="EM47" s="228">
        <v>354.31</v>
      </c>
      <c r="EN47" s="228">
        <v>25.75</v>
      </c>
      <c r="EO47" s="231">
        <v>1890.33</v>
      </c>
      <c r="EP47" s="228">
        <v>723.32</v>
      </c>
      <c r="EQ47" s="231">
        <v>1167.01</v>
      </c>
      <c r="ER47" s="229">
        <v>1.6133999999999999</v>
      </c>
      <c r="ES47" s="228">
        <v>413.7</v>
      </c>
      <c r="ET47" s="228">
        <v>296.86</v>
      </c>
      <c r="EU47" s="231">
        <v>1149.02</v>
      </c>
      <c r="EV47" s="231">
        <v>19990944</v>
      </c>
      <c r="EW47" s="231">
        <v>1859.58</v>
      </c>
      <c r="EX47" s="231">
        <v>1981.46</v>
      </c>
      <c r="EY47" s="228">
        <v>-121.88</v>
      </c>
      <c r="EZ47" s="229">
        <v>-6.1499999999999999E-2</v>
      </c>
      <c r="FA47" s="229">
        <v>0.40629999999999999</v>
      </c>
      <c r="FB47" s="227" t="s">
        <v>556</v>
      </c>
      <c r="FC47">
        <f t="shared" si="0"/>
        <v>155</v>
      </c>
    </row>
    <row r="48" spans="1:159" ht="17.25" thickBot="1" x14ac:dyDescent="0.3">
      <c r="A48" s="226">
        <v>45946</v>
      </c>
      <c r="B48" s="227" t="s">
        <v>215</v>
      </c>
      <c r="C48" s="227" t="s">
        <v>202</v>
      </c>
      <c r="D48" s="228">
        <v>1250</v>
      </c>
      <c r="E48" s="228">
        <v>12</v>
      </c>
      <c r="F48" s="228">
        <v>535.9</v>
      </c>
      <c r="G48" s="228">
        <v>532.4</v>
      </c>
      <c r="H48" s="228">
        <v>3.5</v>
      </c>
      <c r="I48" s="229">
        <v>6.6E-3</v>
      </c>
      <c r="J48" s="228">
        <v>534.1</v>
      </c>
      <c r="K48" s="228">
        <v>529.95000000000005</v>
      </c>
      <c r="L48" s="228">
        <v>4.1500000000000004</v>
      </c>
      <c r="M48" s="229">
        <v>7.7999999999999996E-3</v>
      </c>
      <c r="N48" s="228">
        <v>535.9</v>
      </c>
      <c r="O48" s="228">
        <v>532.4</v>
      </c>
      <c r="P48" s="228">
        <v>3.5</v>
      </c>
      <c r="Q48" s="229">
        <v>6.6E-3</v>
      </c>
      <c r="R48" s="228">
        <v>536.4</v>
      </c>
      <c r="S48" s="228">
        <v>532.6</v>
      </c>
      <c r="T48" s="228">
        <v>3.8</v>
      </c>
      <c r="U48" s="229">
        <v>7.1000000000000004E-3</v>
      </c>
      <c r="V48" s="228">
        <v>540.79999999999995</v>
      </c>
      <c r="W48" s="228">
        <v>535.9</v>
      </c>
      <c r="X48" s="228">
        <v>4.9000000000000004</v>
      </c>
      <c r="Y48" s="229">
        <v>9.1000000000000004E-3</v>
      </c>
      <c r="Z48" s="228">
        <v>1.8</v>
      </c>
      <c r="AA48" s="228">
        <v>2.4500000000000002</v>
      </c>
      <c r="AB48" s="228">
        <v>-0.65</v>
      </c>
      <c r="AC48" s="229">
        <v>3.3999999999999998E-3</v>
      </c>
      <c r="AD48" s="228">
        <v>1.8</v>
      </c>
      <c r="AE48" s="228">
        <v>2.4500000000000002</v>
      </c>
      <c r="AF48" s="228">
        <v>-0.65</v>
      </c>
      <c r="AG48" s="229">
        <v>3.3999999999999998E-3</v>
      </c>
      <c r="AH48" s="228">
        <v>2.2999999999999998</v>
      </c>
      <c r="AI48" s="228">
        <v>2.65</v>
      </c>
      <c r="AJ48" s="228">
        <v>-0.35</v>
      </c>
      <c r="AK48" s="229">
        <v>4.3E-3</v>
      </c>
      <c r="AL48" s="228">
        <v>6.7</v>
      </c>
      <c r="AM48" s="228">
        <v>5.95</v>
      </c>
      <c r="AN48" s="228">
        <v>0.75</v>
      </c>
      <c r="AO48" s="229">
        <v>1.2500000000000001E-2</v>
      </c>
      <c r="AP48" s="228">
        <v>535.09</v>
      </c>
      <c r="AQ48" s="228">
        <v>535.78</v>
      </c>
      <c r="AR48" s="228">
        <v>0</v>
      </c>
      <c r="AS48" s="228">
        <v>154</v>
      </c>
      <c r="AT48" s="228">
        <v>151</v>
      </c>
      <c r="AU48" s="228">
        <v>3</v>
      </c>
      <c r="AV48" s="229">
        <v>1.9099999999999999E-2</v>
      </c>
      <c r="AW48" s="228">
        <v>113</v>
      </c>
      <c r="AX48" s="228">
        <v>110</v>
      </c>
      <c r="AY48" s="228">
        <v>2</v>
      </c>
      <c r="AZ48" s="229">
        <v>2.18E-2</v>
      </c>
      <c r="BA48" s="228">
        <v>40</v>
      </c>
      <c r="BB48" s="228">
        <v>39</v>
      </c>
      <c r="BC48" s="228">
        <v>1</v>
      </c>
      <c r="BD48" s="229">
        <v>2.24E-2</v>
      </c>
      <c r="BE48" s="228">
        <v>1</v>
      </c>
      <c r="BF48" s="228">
        <v>2</v>
      </c>
      <c r="BG48" s="228">
        <v>0</v>
      </c>
      <c r="BH48" s="229">
        <v>-0.23080000000000001</v>
      </c>
      <c r="BI48" s="228">
        <v>310</v>
      </c>
      <c r="BJ48" s="228">
        <v>284</v>
      </c>
      <c r="BK48" s="228">
        <v>25</v>
      </c>
      <c r="BL48" s="229">
        <v>8.8599999999999998E-2</v>
      </c>
      <c r="BM48" s="228">
        <v>111</v>
      </c>
      <c r="BN48" s="228">
        <v>90</v>
      </c>
      <c r="BO48" s="228">
        <v>20</v>
      </c>
      <c r="BP48" s="229">
        <v>0.2268</v>
      </c>
      <c r="BQ48" s="228">
        <v>574</v>
      </c>
      <c r="BR48" s="228">
        <v>526</v>
      </c>
      <c r="BS48" s="228">
        <v>48</v>
      </c>
      <c r="BT48" s="229">
        <v>9.2299999999999993E-2</v>
      </c>
      <c r="BU48" s="230">
        <v>576480</v>
      </c>
      <c r="BV48" s="230">
        <v>756342</v>
      </c>
      <c r="BW48" s="230">
        <v>-179862</v>
      </c>
      <c r="BX48" s="229">
        <v>-0.23780000000000001</v>
      </c>
      <c r="BY48" s="230">
        <v>1474</v>
      </c>
      <c r="BZ48" s="230">
        <v>1484</v>
      </c>
      <c r="CA48" s="228">
        <v>-10</v>
      </c>
      <c r="CB48" s="229">
        <v>-6.7000000000000002E-3</v>
      </c>
      <c r="CC48" s="230">
        <v>1249</v>
      </c>
      <c r="CD48" s="230">
        <v>1278</v>
      </c>
      <c r="CE48" s="228">
        <v>-29</v>
      </c>
      <c r="CF48" s="229">
        <v>-2.2599999999999999E-2</v>
      </c>
      <c r="CG48" s="228">
        <v>213</v>
      </c>
      <c r="CH48" s="228">
        <v>195</v>
      </c>
      <c r="CI48" s="228">
        <v>18</v>
      </c>
      <c r="CJ48" s="229">
        <v>9.2999999999999999E-2</v>
      </c>
      <c r="CK48" s="228">
        <v>11</v>
      </c>
      <c r="CL48" s="228">
        <v>11</v>
      </c>
      <c r="CM48" s="228">
        <v>1</v>
      </c>
      <c r="CN48" s="229">
        <v>7.5899999999999995E-2</v>
      </c>
      <c r="CO48" s="228">
        <v>601</v>
      </c>
      <c r="CP48" s="228">
        <v>632</v>
      </c>
      <c r="CQ48" s="228">
        <v>-31</v>
      </c>
      <c r="CR48" s="229">
        <v>-4.9000000000000002E-2</v>
      </c>
      <c r="CS48" s="228">
        <v>423</v>
      </c>
      <c r="CT48" s="228">
        <v>430</v>
      </c>
      <c r="CU48" s="228">
        <v>-7</v>
      </c>
      <c r="CV48" s="229">
        <v>-1.6799999999999999E-2</v>
      </c>
      <c r="CW48" s="230">
        <v>2498</v>
      </c>
      <c r="CX48" s="230">
        <v>2546</v>
      </c>
      <c r="CY48" s="228">
        <v>-48</v>
      </c>
      <c r="CZ48" s="229">
        <v>-1.89E-2</v>
      </c>
      <c r="DA48" s="228">
        <v>22.53</v>
      </c>
      <c r="DB48" s="228">
        <v>24.32</v>
      </c>
      <c r="DC48" s="228">
        <v>-1.79</v>
      </c>
      <c r="DD48" s="228">
        <v>-1.79</v>
      </c>
      <c r="DE48" s="228">
        <v>36.35</v>
      </c>
      <c r="DF48" s="228">
        <v>36.43</v>
      </c>
      <c r="DG48" s="228">
        <v>-13.82</v>
      </c>
      <c r="DH48" s="228">
        <v>-0.08</v>
      </c>
      <c r="DI48" s="228">
        <v>22.43</v>
      </c>
      <c r="DJ48" s="228">
        <v>24.41</v>
      </c>
      <c r="DK48" s="228">
        <v>-1.98</v>
      </c>
      <c r="DL48" s="228">
        <v>-1.98</v>
      </c>
      <c r="DM48" s="228">
        <v>22.83</v>
      </c>
      <c r="DN48" s="228">
        <v>24.07</v>
      </c>
      <c r="DO48" s="228">
        <v>-1.24</v>
      </c>
      <c r="DP48" s="228">
        <v>-1.24</v>
      </c>
      <c r="DQ48" s="228">
        <v>0.7</v>
      </c>
      <c r="DR48" s="228">
        <v>0.68</v>
      </c>
      <c r="DS48" s="228">
        <v>0.02</v>
      </c>
      <c r="DT48" s="229">
        <v>2.9399999999999999E-2</v>
      </c>
      <c r="DU48" s="228">
        <v>550</v>
      </c>
      <c r="DV48" s="228">
        <v>530</v>
      </c>
      <c r="DW48" s="228">
        <v>0.36</v>
      </c>
      <c r="DX48" s="228">
        <v>0.32</v>
      </c>
      <c r="DY48" s="228">
        <v>0.04</v>
      </c>
      <c r="DZ48" s="229">
        <v>0.125</v>
      </c>
      <c r="EA48" s="229">
        <v>0.1525</v>
      </c>
      <c r="EB48" s="230">
        <v>3840000</v>
      </c>
      <c r="EC48" s="229">
        <v>8.9999999999999998E-4</v>
      </c>
      <c r="ED48" s="229">
        <v>0.1525</v>
      </c>
      <c r="EE48" s="228">
        <v>0.69</v>
      </c>
      <c r="EF48" s="229">
        <v>1.2999999999999999E-3</v>
      </c>
      <c r="EG48" s="230">
        <v>322692</v>
      </c>
      <c r="EH48" s="230">
        <v>449135</v>
      </c>
      <c r="EI48" s="229">
        <v>-0.28149999999999997</v>
      </c>
      <c r="EJ48" s="229">
        <v>0.55979999999999996</v>
      </c>
      <c r="EK48" s="228">
        <v>319.35000000000002</v>
      </c>
      <c r="EL48" s="228">
        <v>109.58</v>
      </c>
      <c r="EM48" s="228">
        <v>153.77000000000001</v>
      </c>
      <c r="EN48" s="228">
        <v>32.380000000000003</v>
      </c>
      <c r="EO48" s="228">
        <v>582.69000000000005</v>
      </c>
      <c r="EP48" s="228">
        <v>531.80999999999995</v>
      </c>
      <c r="EQ48" s="228">
        <v>50.89</v>
      </c>
      <c r="ER48" s="229">
        <v>9.5699999999999993E-2</v>
      </c>
      <c r="ES48" s="228">
        <v>628.25</v>
      </c>
      <c r="ET48" s="228">
        <v>422.98</v>
      </c>
      <c r="EU48" s="231">
        <v>1474.3</v>
      </c>
      <c r="EV48" s="231">
        <v>48077012</v>
      </c>
      <c r="EW48" s="231">
        <v>2525.5300000000002</v>
      </c>
      <c r="EX48" s="231">
        <v>2564.04</v>
      </c>
      <c r="EY48" s="228">
        <v>-38.51</v>
      </c>
      <c r="EZ48" s="229">
        <v>-1.4999999999999999E-2</v>
      </c>
      <c r="FA48" s="229">
        <v>0.96950000000000003</v>
      </c>
      <c r="FB48" s="227" t="s">
        <v>556</v>
      </c>
      <c r="FC48">
        <f t="shared" si="0"/>
        <v>225</v>
      </c>
    </row>
    <row r="49" spans="1:159" ht="17.25" thickBot="1" x14ac:dyDescent="0.3">
      <c r="A49" s="226">
        <v>45946</v>
      </c>
      <c r="B49" s="227" t="s">
        <v>184</v>
      </c>
      <c r="C49" s="227" t="s">
        <v>523</v>
      </c>
      <c r="D49" s="228">
        <v>1800</v>
      </c>
      <c r="E49" s="228">
        <v>12</v>
      </c>
      <c r="F49" s="228">
        <v>289.89999999999998</v>
      </c>
      <c r="G49" s="228">
        <v>289</v>
      </c>
      <c r="H49" s="228">
        <v>0.9</v>
      </c>
      <c r="I49" s="229">
        <v>3.0999999999999999E-3</v>
      </c>
      <c r="J49" s="228">
        <v>288.60000000000002</v>
      </c>
      <c r="K49" s="228">
        <v>288.39999999999998</v>
      </c>
      <c r="L49" s="228">
        <v>0.2</v>
      </c>
      <c r="M49" s="229">
        <v>6.9999999999999999E-4</v>
      </c>
      <c r="N49" s="228">
        <v>289.89999999999998</v>
      </c>
      <c r="O49" s="228">
        <v>289</v>
      </c>
      <c r="P49" s="228">
        <v>0.9</v>
      </c>
      <c r="Q49" s="229">
        <v>3.0999999999999999E-3</v>
      </c>
      <c r="R49" s="228">
        <v>291.39999999999998</v>
      </c>
      <c r="S49" s="228">
        <v>290.55</v>
      </c>
      <c r="T49" s="228">
        <v>0.85</v>
      </c>
      <c r="U49" s="229">
        <v>2.8999999999999998E-3</v>
      </c>
      <c r="V49" s="228">
        <v>293.35000000000002</v>
      </c>
      <c r="W49" s="228">
        <v>292.3</v>
      </c>
      <c r="X49" s="228">
        <v>1.05</v>
      </c>
      <c r="Y49" s="229">
        <v>3.5999999999999999E-3</v>
      </c>
      <c r="Z49" s="228">
        <v>1.3</v>
      </c>
      <c r="AA49" s="228">
        <v>0.6</v>
      </c>
      <c r="AB49" s="228">
        <v>0.7</v>
      </c>
      <c r="AC49" s="229">
        <v>4.4999999999999997E-3</v>
      </c>
      <c r="AD49" s="228">
        <v>1.3</v>
      </c>
      <c r="AE49" s="228">
        <v>0.6</v>
      </c>
      <c r="AF49" s="228">
        <v>0.7</v>
      </c>
      <c r="AG49" s="229">
        <v>4.4999999999999997E-3</v>
      </c>
      <c r="AH49" s="228">
        <v>2.8</v>
      </c>
      <c r="AI49" s="228">
        <v>2.15</v>
      </c>
      <c r="AJ49" s="228">
        <v>0.65</v>
      </c>
      <c r="AK49" s="229">
        <v>9.7000000000000003E-3</v>
      </c>
      <c r="AL49" s="228">
        <v>4.75</v>
      </c>
      <c r="AM49" s="228">
        <v>3.9</v>
      </c>
      <c r="AN49" s="228">
        <v>0.85</v>
      </c>
      <c r="AO49" s="229">
        <v>1.6500000000000001E-2</v>
      </c>
      <c r="AP49" s="228">
        <v>289.61</v>
      </c>
      <c r="AQ49" s="228">
        <v>290.8</v>
      </c>
      <c r="AR49" s="228">
        <v>0</v>
      </c>
      <c r="AS49" s="228">
        <v>136</v>
      </c>
      <c r="AT49" s="228">
        <v>232</v>
      </c>
      <c r="AU49" s="228">
        <v>-95</v>
      </c>
      <c r="AV49" s="229">
        <v>-0.41189999999999999</v>
      </c>
      <c r="AW49" s="228">
        <v>107</v>
      </c>
      <c r="AX49" s="228">
        <v>195</v>
      </c>
      <c r="AY49" s="228">
        <v>-88</v>
      </c>
      <c r="AZ49" s="229">
        <v>-0.44969999999999999</v>
      </c>
      <c r="BA49" s="228">
        <v>27</v>
      </c>
      <c r="BB49" s="228">
        <v>33</v>
      </c>
      <c r="BC49" s="228">
        <v>-6</v>
      </c>
      <c r="BD49" s="229">
        <v>-0.17380000000000001</v>
      </c>
      <c r="BE49" s="228">
        <v>2</v>
      </c>
      <c r="BF49" s="228">
        <v>5</v>
      </c>
      <c r="BG49" s="228">
        <v>-2</v>
      </c>
      <c r="BH49" s="229">
        <v>-0.50570000000000004</v>
      </c>
      <c r="BI49" s="228">
        <v>395</v>
      </c>
      <c r="BJ49" s="228">
        <v>762</v>
      </c>
      <c r="BK49" s="228">
        <v>-367</v>
      </c>
      <c r="BL49" s="229">
        <v>-0.48110000000000003</v>
      </c>
      <c r="BM49" s="228">
        <v>107</v>
      </c>
      <c r="BN49" s="228">
        <v>224</v>
      </c>
      <c r="BO49" s="228">
        <v>-117</v>
      </c>
      <c r="BP49" s="229">
        <v>-0.52370000000000005</v>
      </c>
      <c r="BQ49" s="228">
        <v>638</v>
      </c>
      <c r="BR49" s="230">
        <v>1218</v>
      </c>
      <c r="BS49" s="228">
        <v>-579</v>
      </c>
      <c r="BT49" s="229">
        <v>-0.4758</v>
      </c>
      <c r="BU49" s="230">
        <v>2510872</v>
      </c>
      <c r="BV49" s="230">
        <v>4092840</v>
      </c>
      <c r="BW49" s="230">
        <v>-1581968</v>
      </c>
      <c r="BX49" s="229">
        <v>-0.38650000000000001</v>
      </c>
      <c r="BY49" s="230">
        <v>1533</v>
      </c>
      <c r="BZ49" s="230">
        <v>1533</v>
      </c>
      <c r="CA49" s="228">
        <v>0</v>
      </c>
      <c r="CB49" s="229">
        <v>0</v>
      </c>
      <c r="CC49" s="230">
        <v>1413</v>
      </c>
      <c r="CD49" s="230">
        <v>1423</v>
      </c>
      <c r="CE49" s="228">
        <v>-10</v>
      </c>
      <c r="CF49" s="229">
        <v>-7.1000000000000004E-3</v>
      </c>
      <c r="CG49" s="228">
        <v>106</v>
      </c>
      <c r="CH49" s="228">
        <v>96</v>
      </c>
      <c r="CI49" s="228">
        <v>10</v>
      </c>
      <c r="CJ49" s="229">
        <v>0.1051</v>
      </c>
      <c r="CK49" s="228">
        <v>13</v>
      </c>
      <c r="CL49" s="228">
        <v>13</v>
      </c>
      <c r="CM49" s="228">
        <v>0</v>
      </c>
      <c r="CN49" s="229">
        <v>-4.0000000000000001E-3</v>
      </c>
      <c r="CO49" s="228">
        <v>580</v>
      </c>
      <c r="CP49" s="228">
        <v>582</v>
      </c>
      <c r="CQ49" s="228">
        <v>-1</v>
      </c>
      <c r="CR49" s="229">
        <v>-2.2000000000000001E-3</v>
      </c>
      <c r="CS49" s="228">
        <v>315</v>
      </c>
      <c r="CT49" s="228">
        <v>312</v>
      </c>
      <c r="CU49" s="228">
        <v>3</v>
      </c>
      <c r="CV49" s="229">
        <v>9.1999999999999998E-3</v>
      </c>
      <c r="CW49" s="230">
        <v>2428</v>
      </c>
      <c r="CX49" s="230">
        <v>2426</v>
      </c>
      <c r="CY49" s="228">
        <v>2</v>
      </c>
      <c r="CZ49" s="229">
        <v>5.9999999999999995E-4</v>
      </c>
      <c r="DA49" s="228">
        <v>29.14</v>
      </c>
      <c r="DB49" s="228">
        <v>28.59</v>
      </c>
      <c r="DC49" s="228">
        <v>0.55000000000000004</v>
      </c>
      <c r="DD49" s="228">
        <v>0.55000000000000004</v>
      </c>
      <c r="DE49" s="228">
        <v>32.71</v>
      </c>
      <c r="DF49" s="228">
        <v>32.79</v>
      </c>
      <c r="DG49" s="228">
        <v>-3.57</v>
      </c>
      <c r="DH49" s="228">
        <v>-0.08</v>
      </c>
      <c r="DI49" s="228">
        <v>29.48</v>
      </c>
      <c r="DJ49" s="228">
        <v>28.82</v>
      </c>
      <c r="DK49" s="228">
        <v>0.66</v>
      </c>
      <c r="DL49" s="228">
        <v>0.66</v>
      </c>
      <c r="DM49" s="228">
        <v>27.87</v>
      </c>
      <c r="DN49" s="228">
        <v>27.81</v>
      </c>
      <c r="DO49" s="228">
        <v>0.06</v>
      </c>
      <c r="DP49" s="228">
        <v>0.06</v>
      </c>
      <c r="DQ49" s="228">
        <v>0.54</v>
      </c>
      <c r="DR49" s="228">
        <v>0.54</v>
      </c>
      <c r="DS49" s="228">
        <v>0</v>
      </c>
      <c r="DT49" s="229">
        <v>0</v>
      </c>
      <c r="DU49" s="228">
        <v>300</v>
      </c>
      <c r="DV49" s="228">
        <v>300</v>
      </c>
      <c r="DW49" s="228">
        <v>0.27</v>
      </c>
      <c r="DX49" s="228">
        <v>0.28999999999999998</v>
      </c>
      <c r="DY49" s="228">
        <v>-0.02</v>
      </c>
      <c r="DZ49" s="229">
        <v>-6.9000000000000006E-2</v>
      </c>
      <c r="EA49" s="229">
        <v>7.8E-2</v>
      </c>
      <c r="EB49" s="230">
        <v>3776400</v>
      </c>
      <c r="EC49" s="229">
        <v>5.1999999999999998E-3</v>
      </c>
      <c r="ED49" s="229">
        <v>7.8E-2</v>
      </c>
      <c r="EE49" s="228">
        <v>1.19</v>
      </c>
      <c r="EF49" s="229">
        <v>4.1000000000000003E-3</v>
      </c>
      <c r="EG49" s="230">
        <v>1299906</v>
      </c>
      <c r="EH49" s="230">
        <v>1904185</v>
      </c>
      <c r="EI49" s="229">
        <v>-0.31730000000000003</v>
      </c>
      <c r="EJ49" s="229">
        <v>0.51770000000000005</v>
      </c>
      <c r="EK49" s="228">
        <v>416.78</v>
      </c>
      <c r="EL49" s="228">
        <v>106.47</v>
      </c>
      <c r="EM49" s="228">
        <v>136.35</v>
      </c>
      <c r="EN49" s="228">
        <v>32.4</v>
      </c>
      <c r="EO49" s="228">
        <v>659.6</v>
      </c>
      <c r="EP49" s="231">
        <v>1245.71</v>
      </c>
      <c r="EQ49" s="228">
        <v>-586.12</v>
      </c>
      <c r="ER49" s="229">
        <v>-0.47049999999999997</v>
      </c>
      <c r="ES49" s="228">
        <v>616.29</v>
      </c>
      <c r="ET49" s="228">
        <v>316.39</v>
      </c>
      <c r="EU49" s="231">
        <v>1533.34</v>
      </c>
      <c r="EV49" s="231">
        <v>81400589</v>
      </c>
      <c r="EW49" s="231">
        <v>2466.0300000000002</v>
      </c>
      <c r="EX49" s="231">
        <v>2460.04</v>
      </c>
      <c r="EY49" s="228">
        <v>5.99</v>
      </c>
      <c r="EZ49" s="229">
        <v>2.3999999999999998E-3</v>
      </c>
      <c r="FA49" s="229">
        <v>1.0287999999999999</v>
      </c>
      <c r="FB49" s="227" t="s">
        <v>237</v>
      </c>
      <c r="FC49">
        <f t="shared" si="0"/>
        <v>120</v>
      </c>
    </row>
    <row r="50" spans="1:159" ht="17.25" thickBot="1" x14ac:dyDescent="0.3">
      <c r="A50" s="226">
        <v>45946</v>
      </c>
      <c r="B50" s="227" t="s">
        <v>184</v>
      </c>
      <c r="C50" s="227" t="s">
        <v>203</v>
      </c>
      <c r="D50" s="228">
        <v>200</v>
      </c>
      <c r="E50" s="228">
        <v>12</v>
      </c>
      <c r="F50" s="231">
        <v>3950.5</v>
      </c>
      <c r="G50" s="231">
        <v>3972.9</v>
      </c>
      <c r="H50" s="228">
        <v>-22.4</v>
      </c>
      <c r="I50" s="229">
        <v>-5.5999999999999999E-3</v>
      </c>
      <c r="J50" s="231">
        <v>3940.6</v>
      </c>
      <c r="K50" s="231">
        <v>3957.4</v>
      </c>
      <c r="L50" s="228">
        <v>-16.8</v>
      </c>
      <c r="M50" s="229">
        <v>-4.1999999999999997E-3</v>
      </c>
      <c r="N50" s="231">
        <v>3950.5</v>
      </c>
      <c r="O50" s="231">
        <v>3972.9</v>
      </c>
      <c r="P50" s="228">
        <v>-22.4</v>
      </c>
      <c r="Q50" s="229">
        <v>-5.5999999999999999E-3</v>
      </c>
      <c r="R50" s="231">
        <v>3963.7</v>
      </c>
      <c r="S50" s="231">
        <v>3988.6</v>
      </c>
      <c r="T50" s="228">
        <v>-24.9</v>
      </c>
      <c r="U50" s="229">
        <v>-6.1999999999999998E-3</v>
      </c>
      <c r="V50" s="231">
        <v>3974</v>
      </c>
      <c r="W50" s="231">
        <v>3999</v>
      </c>
      <c r="X50" s="228">
        <v>-25</v>
      </c>
      <c r="Y50" s="229">
        <v>-6.3E-3</v>
      </c>
      <c r="Z50" s="228">
        <v>9.9</v>
      </c>
      <c r="AA50" s="228">
        <v>15.5</v>
      </c>
      <c r="AB50" s="228">
        <v>-5.6</v>
      </c>
      <c r="AC50" s="229">
        <v>2.5000000000000001E-3</v>
      </c>
      <c r="AD50" s="228">
        <v>9.9</v>
      </c>
      <c r="AE50" s="228">
        <v>15.5</v>
      </c>
      <c r="AF50" s="228">
        <v>-5.6</v>
      </c>
      <c r="AG50" s="229">
        <v>2.5000000000000001E-3</v>
      </c>
      <c r="AH50" s="228">
        <v>23.1</v>
      </c>
      <c r="AI50" s="228">
        <v>31.2</v>
      </c>
      <c r="AJ50" s="228">
        <v>-8.1</v>
      </c>
      <c r="AK50" s="229">
        <v>5.8999999999999999E-3</v>
      </c>
      <c r="AL50" s="228">
        <v>33.4</v>
      </c>
      <c r="AM50" s="228">
        <v>41.6</v>
      </c>
      <c r="AN50" s="228">
        <v>-8.1999999999999993</v>
      </c>
      <c r="AO50" s="229">
        <v>8.5000000000000006E-3</v>
      </c>
      <c r="AP50" s="231">
        <v>3962.44</v>
      </c>
      <c r="AQ50" s="231">
        <v>3984.58</v>
      </c>
      <c r="AR50" s="228">
        <v>0</v>
      </c>
      <c r="AS50" s="228">
        <v>245</v>
      </c>
      <c r="AT50" s="228">
        <v>120</v>
      </c>
      <c r="AU50" s="228">
        <v>125</v>
      </c>
      <c r="AV50" s="229">
        <v>1.0436000000000001</v>
      </c>
      <c r="AW50" s="228">
        <v>223</v>
      </c>
      <c r="AX50" s="228">
        <v>113</v>
      </c>
      <c r="AY50" s="228">
        <v>110</v>
      </c>
      <c r="AZ50" s="229">
        <v>0.97130000000000005</v>
      </c>
      <c r="BA50" s="228">
        <v>21</v>
      </c>
      <c r="BB50" s="228">
        <v>6</v>
      </c>
      <c r="BC50" s="228">
        <v>15</v>
      </c>
      <c r="BD50" s="229">
        <v>2.3456999999999999</v>
      </c>
      <c r="BE50" s="228">
        <v>0</v>
      </c>
      <c r="BF50" s="228">
        <v>0</v>
      </c>
      <c r="BG50" s="228">
        <v>0</v>
      </c>
      <c r="BH50" s="229">
        <v>0.5</v>
      </c>
      <c r="BI50" s="228">
        <v>481</v>
      </c>
      <c r="BJ50" s="228">
        <v>333</v>
      </c>
      <c r="BK50" s="228">
        <v>147</v>
      </c>
      <c r="BL50" s="229">
        <v>0.4415</v>
      </c>
      <c r="BM50" s="228">
        <v>125</v>
      </c>
      <c r="BN50" s="228">
        <v>114</v>
      </c>
      <c r="BO50" s="228">
        <v>11</v>
      </c>
      <c r="BP50" s="229">
        <v>9.98E-2</v>
      </c>
      <c r="BQ50" s="228">
        <v>851</v>
      </c>
      <c r="BR50" s="228">
        <v>567</v>
      </c>
      <c r="BS50" s="228">
        <v>283</v>
      </c>
      <c r="BT50" s="229">
        <v>0.49990000000000001</v>
      </c>
      <c r="BU50" s="230">
        <v>303207</v>
      </c>
      <c r="BV50" s="230">
        <v>138817</v>
      </c>
      <c r="BW50" s="230">
        <v>164390</v>
      </c>
      <c r="BX50" s="229">
        <v>1.1841999999999999</v>
      </c>
      <c r="BY50" s="230">
        <v>1129</v>
      </c>
      <c r="BZ50" s="230">
        <v>1158</v>
      </c>
      <c r="CA50" s="228">
        <v>-29</v>
      </c>
      <c r="CB50" s="229">
        <v>-2.4899999999999999E-2</v>
      </c>
      <c r="CC50" s="230">
        <v>1103</v>
      </c>
      <c r="CD50" s="230">
        <v>1139</v>
      </c>
      <c r="CE50" s="228">
        <v>-36</v>
      </c>
      <c r="CF50" s="229">
        <v>-3.1399999999999997E-2</v>
      </c>
      <c r="CG50" s="228">
        <v>25</v>
      </c>
      <c r="CH50" s="228">
        <v>18</v>
      </c>
      <c r="CI50" s="228">
        <v>7</v>
      </c>
      <c r="CJ50" s="229">
        <v>0.37230000000000002</v>
      </c>
      <c r="CK50" s="228">
        <v>1</v>
      </c>
      <c r="CL50" s="228">
        <v>0</v>
      </c>
      <c r="CM50" s="228">
        <v>0</v>
      </c>
      <c r="CN50" s="229">
        <v>0.33329999999999999</v>
      </c>
      <c r="CO50" s="228">
        <v>369</v>
      </c>
      <c r="CP50" s="228">
        <v>314</v>
      </c>
      <c r="CQ50" s="228">
        <v>55</v>
      </c>
      <c r="CR50" s="229">
        <v>0.17510000000000001</v>
      </c>
      <c r="CS50" s="228">
        <v>234</v>
      </c>
      <c r="CT50" s="228">
        <v>220</v>
      </c>
      <c r="CU50" s="228">
        <v>14</v>
      </c>
      <c r="CV50" s="229">
        <v>6.3200000000000006E-2</v>
      </c>
      <c r="CW50" s="230">
        <v>1732</v>
      </c>
      <c r="CX50" s="230">
        <v>1692</v>
      </c>
      <c r="CY50" s="228">
        <v>40</v>
      </c>
      <c r="CZ50" s="229">
        <v>2.3699999999999999E-2</v>
      </c>
      <c r="DA50" s="228">
        <v>23.51</v>
      </c>
      <c r="DB50" s="228">
        <v>22.52</v>
      </c>
      <c r="DC50" s="228">
        <v>0.99</v>
      </c>
      <c r="DD50" s="228">
        <v>0.99</v>
      </c>
      <c r="DE50" s="228">
        <v>35.07</v>
      </c>
      <c r="DF50" s="228">
        <v>35.159999999999997</v>
      </c>
      <c r="DG50" s="228">
        <v>-11.56</v>
      </c>
      <c r="DH50" s="228">
        <v>-0.09</v>
      </c>
      <c r="DI50" s="228">
        <v>23.47</v>
      </c>
      <c r="DJ50" s="228">
        <v>22.48</v>
      </c>
      <c r="DK50" s="228">
        <v>0.99</v>
      </c>
      <c r="DL50" s="228">
        <v>0.99</v>
      </c>
      <c r="DM50" s="228">
        <v>23.65</v>
      </c>
      <c r="DN50" s="228">
        <v>22.64</v>
      </c>
      <c r="DO50" s="228">
        <v>1.01</v>
      </c>
      <c r="DP50" s="228">
        <v>1.01</v>
      </c>
      <c r="DQ50" s="228">
        <v>0.63</v>
      </c>
      <c r="DR50" s="228">
        <v>0.7</v>
      </c>
      <c r="DS50" s="228">
        <v>-7.0000000000000007E-2</v>
      </c>
      <c r="DT50" s="229">
        <v>-0.1</v>
      </c>
      <c r="DU50" s="231">
        <v>4000</v>
      </c>
      <c r="DV50" s="231">
        <v>3900</v>
      </c>
      <c r="DW50" s="228">
        <v>0.26</v>
      </c>
      <c r="DX50" s="228">
        <v>0.34</v>
      </c>
      <c r="DY50" s="228">
        <v>-0.08</v>
      </c>
      <c r="DZ50" s="229">
        <v>-0.23530000000000001</v>
      </c>
      <c r="EA50" s="229">
        <v>2.2700000000000001E-2</v>
      </c>
      <c r="EB50" s="230">
        <v>47400</v>
      </c>
      <c r="EC50" s="229">
        <v>3.3E-3</v>
      </c>
      <c r="ED50" s="229">
        <v>2.2700000000000001E-2</v>
      </c>
      <c r="EE50" s="228">
        <v>22.14</v>
      </c>
      <c r="EF50" s="229">
        <v>5.5999999999999999E-3</v>
      </c>
      <c r="EG50" s="230">
        <v>171577</v>
      </c>
      <c r="EH50" s="230">
        <v>74797</v>
      </c>
      <c r="EI50" s="229">
        <v>1.2939000000000001</v>
      </c>
      <c r="EJ50" s="229">
        <v>0.56589999999999996</v>
      </c>
      <c r="EK50" s="228">
        <v>496.25</v>
      </c>
      <c r="EL50" s="228">
        <v>125.09</v>
      </c>
      <c r="EM50" s="228">
        <v>245.48</v>
      </c>
      <c r="EN50" s="228">
        <v>24.71</v>
      </c>
      <c r="EO50" s="228">
        <v>866.81</v>
      </c>
      <c r="EP50" s="228">
        <v>580.16</v>
      </c>
      <c r="EQ50" s="228">
        <v>286.66000000000003</v>
      </c>
      <c r="ER50" s="229">
        <v>0.49409999999999998</v>
      </c>
      <c r="ES50" s="228">
        <v>380.67</v>
      </c>
      <c r="ET50" s="228">
        <v>228.41</v>
      </c>
      <c r="EU50" s="231">
        <v>1128.9000000000001</v>
      </c>
      <c r="EV50" s="231">
        <v>20374200</v>
      </c>
      <c r="EW50" s="231">
        <v>1737.98</v>
      </c>
      <c r="EX50" s="231">
        <v>1704.52</v>
      </c>
      <c r="EY50" s="228">
        <v>33.46</v>
      </c>
      <c r="EZ50" s="229">
        <v>1.9599999999999999E-2</v>
      </c>
      <c r="FA50" s="229">
        <v>0.2152</v>
      </c>
      <c r="FB50" s="227" t="s">
        <v>568</v>
      </c>
      <c r="FC50">
        <f t="shared" si="0"/>
        <v>26</v>
      </c>
    </row>
    <row r="51" spans="1:159" ht="17.25" thickBot="1" x14ac:dyDescent="0.3">
      <c r="A51" s="226">
        <v>45946</v>
      </c>
      <c r="B51" s="227" t="s">
        <v>221</v>
      </c>
      <c r="C51" s="227" t="s">
        <v>572</v>
      </c>
      <c r="D51" s="228">
        <v>425</v>
      </c>
      <c r="E51" s="228">
        <v>12</v>
      </c>
      <c r="F51" s="231">
        <v>1172.2</v>
      </c>
      <c r="G51" s="231">
        <v>1119.4000000000001</v>
      </c>
      <c r="H51" s="228">
        <v>52.8</v>
      </c>
      <c r="I51" s="229">
        <v>4.7199999999999999E-2</v>
      </c>
      <c r="J51" s="231">
        <v>1180.5999999999999</v>
      </c>
      <c r="K51" s="231">
        <v>1125</v>
      </c>
      <c r="L51" s="228">
        <v>55.6</v>
      </c>
      <c r="M51" s="229">
        <v>4.9399999999999999E-2</v>
      </c>
      <c r="N51" s="231">
        <v>1172.2</v>
      </c>
      <c r="O51" s="231">
        <v>1119.4000000000001</v>
      </c>
      <c r="P51" s="228">
        <v>52.8</v>
      </c>
      <c r="Q51" s="229">
        <v>4.7199999999999999E-2</v>
      </c>
      <c r="R51" s="231">
        <v>1176</v>
      </c>
      <c r="S51" s="231">
        <v>1119.3</v>
      </c>
      <c r="T51" s="228">
        <v>56.7</v>
      </c>
      <c r="U51" s="229">
        <v>5.0700000000000002E-2</v>
      </c>
      <c r="V51" s="231">
        <v>1179.2</v>
      </c>
      <c r="W51" s="231">
        <v>1128.0999999999999</v>
      </c>
      <c r="X51" s="228">
        <v>51.1</v>
      </c>
      <c r="Y51" s="229">
        <v>4.53E-2</v>
      </c>
      <c r="Z51" s="228">
        <v>-8.4</v>
      </c>
      <c r="AA51" s="228">
        <v>-5.6</v>
      </c>
      <c r="AB51" s="228">
        <v>-2.8</v>
      </c>
      <c r="AC51" s="229">
        <v>-7.1000000000000004E-3</v>
      </c>
      <c r="AD51" s="228">
        <v>-8.4</v>
      </c>
      <c r="AE51" s="228">
        <v>-5.6</v>
      </c>
      <c r="AF51" s="228">
        <v>-2.8</v>
      </c>
      <c r="AG51" s="229">
        <v>-7.1000000000000004E-3</v>
      </c>
      <c r="AH51" s="228">
        <v>-4.5999999999999996</v>
      </c>
      <c r="AI51" s="228">
        <v>-5.7</v>
      </c>
      <c r="AJ51" s="228">
        <v>1.1000000000000001</v>
      </c>
      <c r="AK51" s="229">
        <v>-3.8999999999999998E-3</v>
      </c>
      <c r="AL51" s="228">
        <v>-1.4</v>
      </c>
      <c r="AM51" s="228">
        <v>3.1</v>
      </c>
      <c r="AN51" s="228">
        <v>-4.5</v>
      </c>
      <c r="AO51" s="229">
        <v>-1.1999999999999999E-3</v>
      </c>
      <c r="AP51" s="231">
        <v>1141.32</v>
      </c>
      <c r="AQ51" s="231">
        <v>1140.06</v>
      </c>
      <c r="AR51" s="228">
        <v>0</v>
      </c>
      <c r="AS51" s="228">
        <v>884</v>
      </c>
      <c r="AT51" s="228">
        <v>280</v>
      </c>
      <c r="AU51" s="228">
        <v>604</v>
      </c>
      <c r="AV51" s="229">
        <v>2.1533000000000002</v>
      </c>
      <c r="AW51" s="228">
        <v>738</v>
      </c>
      <c r="AX51" s="228">
        <v>247</v>
      </c>
      <c r="AY51" s="228">
        <v>491</v>
      </c>
      <c r="AZ51" s="229">
        <v>1.9884999999999999</v>
      </c>
      <c r="BA51" s="228">
        <v>139</v>
      </c>
      <c r="BB51" s="228">
        <v>31</v>
      </c>
      <c r="BC51" s="228">
        <v>108</v>
      </c>
      <c r="BD51" s="229">
        <v>3.4443999999999999</v>
      </c>
      <c r="BE51" s="228">
        <v>7</v>
      </c>
      <c r="BF51" s="228">
        <v>2</v>
      </c>
      <c r="BG51" s="228">
        <v>5</v>
      </c>
      <c r="BH51" s="229">
        <v>2.2222</v>
      </c>
      <c r="BI51" s="230">
        <v>2633</v>
      </c>
      <c r="BJ51" s="228">
        <v>486</v>
      </c>
      <c r="BK51" s="230">
        <v>2147</v>
      </c>
      <c r="BL51" s="229">
        <v>4.4170999999999996</v>
      </c>
      <c r="BM51" s="230">
        <v>1590</v>
      </c>
      <c r="BN51" s="228">
        <v>416</v>
      </c>
      <c r="BO51" s="230">
        <v>1175</v>
      </c>
      <c r="BP51" s="229">
        <v>2.8264</v>
      </c>
      <c r="BQ51" s="230">
        <v>5107</v>
      </c>
      <c r="BR51" s="230">
        <v>1182</v>
      </c>
      <c r="BS51" s="230">
        <v>3925</v>
      </c>
      <c r="BT51" s="229">
        <v>3.3207</v>
      </c>
      <c r="BU51" s="230">
        <v>1992366</v>
      </c>
      <c r="BV51" s="230">
        <v>685592</v>
      </c>
      <c r="BW51" s="230">
        <v>1306774</v>
      </c>
      <c r="BX51" s="229">
        <v>1.9060999999999999</v>
      </c>
      <c r="BY51" s="228">
        <v>556</v>
      </c>
      <c r="BZ51" s="228">
        <v>507</v>
      </c>
      <c r="CA51" s="228">
        <v>50</v>
      </c>
      <c r="CB51" s="229">
        <v>9.7799999999999998E-2</v>
      </c>
      <c r="CC51" s="228">
        <v>477</v>
      </c>
      <c r="CD51" s="228">
        <v>455</v>
      </c>
      <c r="CE51" s="228">
        <v>22</v>
      </c>
      <c r="CF51" s="229">
        <v>4.7600000000000003E-2</v>
      </c>
      <c r="CG51" s="228">
        <v>74</v>
      </c>
      <c r="CH51" s="228">
        <v>48</v>
      </c>
      <c r="CI51" s="228">
        <v>26</v>
      </c>
      <c r="CJ51" s="229">
        <v>0.54849999999999999</v>
      </c>
      <c r="CK51" s="228">
        <v>6</v>
      </c>
      <c r="CL51" s="228">
        <v>4</v>
      </c>
      <c r="CM51" s="228">
        <v>2</v>
      </c>
      <c r="CN51" s="229">
        <v>0.42499999999999999</v>
      </c>
      <c r="CO51" s="228">
        <v>463</v>
      </c>
      <c r="CP51" s="228">
        <v>346</v>
      </c>
      <c r="CQ51" s="228">
        <v>117</v>
      </c>
      <c r="CR51" s="229">
        <v>0.33760000000000001</v>
      </c>
      <c r="CS51" s="228">
        <v>317</v>
      </c>
      <c r="CT51" s="228">
        <v>182</v>
      </c>
      <c r="CU51" s="228">
        <v>135</v>
      </c>
      <c r="CV51" s="229">
        <v>0.74339999999999995</v>
      </c>
      <c r="CW51" s="230">
        <v>1336</v>
      </c>
      <c r="CX51" s="230">
        <v>1035</v>
      </c>
      <c r="CY51" s="228">
        <v>302</v>
      </c>
      <c r="CZ51" s="229">
        <v>0.29160000000000003</v>
      </c>
      <c r="DA51" s="228">
        <v>54.97</v>
      </c>
      <c r="DB51" s="228">
        <v>48.67</v>
      </c>
      <c r="DC51" s="228">
        <v>6.3</v>
      </c>
      <c r="DD51" s="228">
        <v>6.3</v>
      </c>
      <c r="DE51" s="228">
        <v>44.59</v>
      </c>
      <c r="DF51" s="228">
        <v>44.26</v>
      </c>
      <c r="DG51" s="228">
        <v>10.38</v>
      </c>
      <c r="DH51" s="228">
        <v>0.33</v>
      </c>
      <c r="DI51" s="228">
        <v>54.9</v>
      </c>
      <c r="DJ51" s="228">
        <v>49.6</v>
      </c>
      <c r="DK51" s="228">
        <v>5.3</v>
      </c>
      <c r="DL51" s="228">
        <v>5.3</v>
      </c>
      <c r="DM51" s="228">
        <v>55.07</v>
      </c>
      <c r="DN51" s="228">
        <v>47.59</v>
      </c>
      <c r="DO51" s="228">
        <v>7.48</v>
      </c>
      <c r="DP51" s="228">
        <v>7.48</v>
      </c>
      <c r="DQ51" s="228">
        <v>0.69</v>
      </c>
      <c r="DR51" s="228">
        <v>0.53</v>
      </c>
      <c r="DS51" s="228">
        <v>0.16</v>
      </c>
      <c r="DT51" s="229">
        <v>0.3019</v>
      </c>
      <c r="DU51" s="231">
        <v>1300</v>
      </c>
      <c r="DV51" s="231">
        <v>1100</v>
      </c>
      <c r="DW51" s="228">
        <v>0.6</v>
      </c>
      <c r="DX51" s="228">
        <v>0.86</v>
      </c>
      <c r="DY51" s="228">
        <v>-0.26</v>
      </c>
      <c r="DZ51" s="229">
        <v>-0.30230000000000001</v>
      </c>
      <c r="EA51" s="229">
        <v>0.14319999999999999</v>
      </c>
      <c r="EB51" s="230">
        <v>441575</v>
      </c>
      <c r="EC51" s="229">
        <v>3.2000000000000002E-3</v>
      </c>
      <c r="ED51" s="229">
        <v>0.14319999999999999</v>
      </c>
      <c r="EE51" s="228">
        <v>-1.26</v>
      </c>
      <c r="EF51" s="229">
        <v>-1.1000000000000001E-3</v>
      </c>
      <c r="EG51" s="230">
        <v>480487</v>
      </c>
      <c r="EH51" s="230">
        <v>329285</v>
      </c>
      <c r="EI51" s="229">
        <v>0.4592</v>
      </c>
      <c r="EJ51" s="229">
        <v>0.2412</v>
      </c>
      <c r="EK51" s="231">
        <v>2761.16</v>
      </c>
      <c r="EL51" s="231">
        <v>1528.7</v>
      </c>
      <c r="EM51" s="228">
        <v>860.98</v>
      </c>
      <c r="EN51" s="228">
        <v>20.81</v>
      </c>
      <c r="EO51" s="231">
        <v>5150.83</v>
      </c>
      <c r="EP51" s="231">
        <v>1183.53</v>
      </c>
      <c r="EQ51" s="231">
        <v>3967.3</v>
      </c>
      <c r="ER51" s="229">
        <v>3.3521000000000001</v>
      </c>
      <c r="ES51" s="228">
        <v>486.72</v>
      </c>
      <c r="ET51" s="228">
        <v>298.14999999999998</v>
      </c>
      <c r="EU51" s="228">
        <v>556.5</v>
      </c>
      <c r="EV51" s="231">
        <v>12039544</v>
      </c>
      <c r="EW51" s="231">
        <v>1341.37</v>
      </c>
      <c r="EX51" s="231">
        <v>1021.8</v>
      </c>
      <c r="EY51" s="228">
        <v>319.57</v>
      </c>
      <c r="EZ51" s="229">
        <v>0.31280000000000002</v>
      </c>
      <c r="FA51" s="229">
        <v>0.94679999999999997</v>
      </c>
      <c r="FB51" s="227" t="s">
        <v>555</v>
      </c>
      <c r="FC51">
        <f t="shared" si="0"/>
        <v>79</v>
      </c>
    </row>
    <row r="52" spans="1:159" ht="17.25" thickBot="1" x14ac:dyDescent="0.3">
      <c r="A52" s="226">
        <v>45946</v>
      </c>
      <c r="B52" s="227" t="s">
        <v>168</v>
      </c>
      <c r="C52" s="227" t="s">
        <v>204</v>
      </c>
      <c r="D52" s="228">
        <v>1250</v>
      </c>
      <c r="E52" s="228">
        <v>12</v>
      </c>
      <c r="F52" s="228">
        <v>501.25</v>
      </c>
      <c r="G52" s="228">
        <v>494.5</v>
      </c>
      <c r="H52" s="228">
        <v>6.75</v>
      </c>
      <c r="I52" s="229">
        <v>1.37E-2</v>
      </c>
      <c r="J52" s="228">
        <v>500.75</v>
      </c>
      <c r="K52" s="228">
        <v>493.15</v>
      </c>
      <c r="L52" s="228">
        <v>7.6</v>
      </c>
      <c r="M52" s="229">
        <v>1.54E-2</v>
      </c>
      <c r="N52" s="228">
        <v>501.25</v>
      </c>
      <c r="O52" s="228">
        <v>494.5</v>
      </c>
      <c r="P52" s="228">
        <v>6.75</v>
      </c>
      <c r="Q52" s="229">
        <v>1.37E-2</v>
      </c>
      <c r="R52" s="228">
        <v>501.35</v>
      </c>
      <c r="S52" s="228">
        <v>494.45</v>
      </c>
      <c r="T52" s="228">
        <v>6.9</v>
      </c>
      <c r="U52" s="229">
        <v>1.4E-2</v>
      </c>
      <c r="V52" s="228">
        <v>504.4</v>
      </c>
      <c r="W52" s="228">
        <v>497.45</v>
      </c>
      <c r="X52" s="228">
        <v>6.95</v>
      </c>
      <c r="Y52" s="229">
        <v>1.4E-2</v>
      </c>
      <c r="Z52" s="228">
        <v>0.5</v>
      </c>
      <c r="AA52" s="228">
        <v>1.35</v>
      </c>
      <c r="AB52" s="228">
        <v>-0.85</v>
      </c>
      <c r="AC52" s="229">
        <v>1E-3</v>
      </c>
      <c r="AD52" s="228">
        <v>0.5</v>
      </c>
      <c r="AE52" s="228">
        <v>1.35</v>
      </c>
      <c r="AF52" s="228">
        <v>-0.85</v>
      </c>
      <c r="AG52" s="229">
        <v>1E-3</v>
      </c>
      <c r="AH52" s="228">
        <v>0.6</v>
      </c>
      <c r="AI52" s="228">
        <v>1.3</v>
      </c>
      <c r="AJ52" s="228">
        <v>-0.7</v>
      </c>
      <c r="AK52" s="229">
        <v>1.1999999999999999E-3</v>
      </c>
      <c r="AL52" s="228">
        <v>3.65</v>
      </c>
      <c r="AM52" s="228">
        <v>4.3</v>
      </c>
      <c r="AN52" s="228">
        <v>-0.65</v>
      </c>
      <c r="AO52" s="229">
        <v>7.3000000000000001E-3</v>
      </c>
      <c r="AP52" s="228">
        <v>499.63</v>
      </c>
      <c r="AQ52" s="228">
        <v>500.06</v>
      </c>
      <c r="AR52" s="228">
        <v>0</v>
      </c>
      <c r="AS52" s="228">
        <v>214</v>
      </c>
      <c r="AT52" s="228">
        <v>157</v>
      </c>
      <c r="AU52" s="228">
        <v>57</v>
      </c>
      <c r="AV52" s="229">
        <v>0.3629</v>
      </c>
      <c r="AW52" s="228">
        <v>169</v>
      </c>
      <c r="AX52" s="228">
        <v>137</v>
      </c>
      <c r="AY52" s="228">
        <v>32</v>
      </c>
      <c r="AZ52" s="229">
        <v>0.2306</v>
      </c>
      <c r="BA52" s="228">
        <v>42</v>
      </c>
      <c r="BB52" s="228">
        <v>18</v>
      </c>
      <c r="BC52" s="228">
        <v>24</v>
      </c>
      <c r="BD52" s="229">
        <v>1.3092999999999999</v>
      </c>
      <c r="BE52" s="228">
        <v>3</v>
      </c>
      <c r="BF52" s="228">
        <v>2</v>
      </c>
      <c r="BG52" s="228">
        <v>2</v>
      </c>
      <c r="BH52" s="229">
        <v>0.96</v>
      </c>
      <c r="BI52" s="228">
        <v>788</v>
      </c>
      <c r="BJ52" s="228">
        <v>524</v>
      </c>
      <c r="BK52" s="228">
        <v>265</v>
      </c>
      <c r="BL52" s="229">
        <v>0.50529999999999997</v>
      </c>
      <c r="BM52" s="228">
        <v>356</v>
      </c>
      <c r="BN52" s="228">
        <v>227</v>
      </c>
      <c r="BO52" s="228">
        <v>129</v>
      </c>
      <c r="BP52" s="229">
        <v>0.56910000000000005</v>
      </c>
      <c r="BQ52" s="230">
        <v>1359</v>
      </c>
      <c r="BR52" s="228">
        <v>908</v>
      </c>
      <c r="BS52" s="228">
        <v>451</v>
      </c>
      <c r="BT52" s="229">
        <v>0.49659999999999999</v>
      </c>
      <c r="BU52" s="230">
        <v>1441641</v>
      </c>
      <c r="BV52" s="230">
        <v>2107084</v>
      </c>
      <c r="BW52" s="230">
        <v>-665443</v>
      </c>
      <c r="BX52" s="229">
        <v>-0.31580000000000003</v>
      </c>
      <c r="BY52" s="230">
        <v>1343</v>
      </c>
      <c r="BZ52" s="230">
        <v>1386</v>
      </c>
      <c r="CA52" s="228">
        <v>-43</v>
      </c>
      <c r="CB52" s="229">
        <v>-3.09E-2</v>
      </c>
      <c r="CC52" s="230">
        <v>1236</v>
      </c>
      <c r="CD52" s="230">
        <v>1283</v>
      </c>
      <c r="CE52" s="228">
        <v>-46</v>
      </c>
      <c r="CF52" s="229">
        <v>-3.61E-2</v>
      </c>
      <c r="CG52" s="228">
        <v>100</v>
      </c>
      <c r="CH52" s="228">
        <v>96</v>
      </c>
      <c r="CI52" s="228">
        <v>4</v>
      </c>
      <c r="CJ52" s="229">
        <v>4.5699999999999998E-2</v>
      </c>
      <c r="CK52" s="228">
        <v>7</v>
      </c>
      <c r="CL52" s="228">
        <v>7</v>
      </c>
      <c r="CM52" s="228">
        <v>-1</v>
      </c>
      <c r="CN52" s="229">
        <v>-0.1186</v>
      </c>
      <c r="CO52" s="228">
        <v>746</v>
      </c>
      <c r="CP52" s="228">
        <v>867</v>
      </c>
      <c r="CQ52" s="228">
        <v>-121</v>
      </c>
      <c r="CR52" s="229">
        <v>-0.13930000000000001</v>
      </c>
      <c r="CS52" s="228">
        <v>395</v>
      </c>
      <c r="CT52" s="228">
        <v>425</v>
      </c>
      <c r="CU52" s="228">
        <v>-31</v>
      </c>
      <c r="CV52" s="229">
        <v>-7.17E-2</v>
      </c>
      <c r="CW52" s="230">
        <v>2484</v>
      </c>
      <c r="CX52" s="230">
        <v>2678</v>
      </c>
      <c r="CY52" s="228">
        <v>-194</v>
      </c>
      <c r="CZ52" s="229">
        <v>-7.2499999999999995E-2</v>
      </c>
      <c r="DA52" s="228">
        <v>19.98</v>
      </c>
      <c r="DB52" s="228">
        <v>20.63</v>
      </c>
      <c r="DC52" s="228">
        <v>-0.65</v>
      </c>
      <c r="DD52" s="228">
        <v>-0.65</v>
      </c>
      <c r="DE52" s="228">
        <v>25.51</v>
      </c>
      <c r="DF52" s="228">
        <v>25.49</v>
      </c>
      <c r="DG52" s="228">
        <v>-5.53</v>
      </c>
      <c r="DH52" s="228">
        <v>0.02</v>
      </c>
      <c r="DI52" s="228">
        <v>19.38</v>
      </c>
      <c r="DJ52" s="228">
        <v>20.6</v>
      </c>
      <c r="DK52" s="228">
        <v>-1.22</v>
      </c>
      <c r="DL52" s="228">
        <v>-1.22</v>
      </c>
      <c r="DM52" s="228">
        <v>21.32</v>
      </c>
      <c r="DN52" s="228">
        <v>20.71</v>
      </c>
      <c r="DO52" s="228">
        <v>0.61</v>
      </c>
      <c r="DP52" s="228">
        <v>0.61</v>
      </c>
      <c r="DQ52" s="228">
        <v>0.53</v>
      </c>
      <c r="DR52" s="228">
        <v>0.49</v>
      </c>
      <c r="DS52" s="228">
        <v>0.04</v>
      </c>
      <c r="DT52" s="229">
        <v>8.1600000000000006E-2</v>
      </c>
      <c r="DU52" s="228">
        <v>550</v>
      </c>
      <c r="DV52" s="228">
        <v>490</v>
      </c>
      <c r="DW52" s="228">
        <v>0.45</v>
      </c>
      <c r="DX52" s="228">
        <v>0.43</v>
      </c>
      <c r="DY52" s="228">
        <v>0.02</v>
      </c>
      <c r="DZ52" s="229">
        <v>4.65E-2</v>
      </c>
      <c r="EA52" s="229">
        <v>7.9600000000000004E-2</v>
      </c>
      <c r="EB52" s="230">
        <v>2063750</v>
      </c>
      <c r="EC52" s="229">
        <v>2.0000000000000001E-4</v>
      </c>
      <c r="ED52" s="229">
        <v>7.9600000000000004E-2</v>
      </c>
      <c r="EE52" s="228">
        <v>0.43</v>
      </c>
      <c r="EF52" s="229">
        <v>8.9999999999999998E-4</v>
      </c>
      <c r="EG52" s="230">
        <v>737938</v>
      </c>
      <c r="EH52" s="230">
        <v>1202717</v>
      </c>
      <c r="EI52" s="229">
        <v>-0.38640000000000002</v>
      </c>
      <c r="EJ52" s="229">
        <v>0.51190000000000002</v>
      </c>
      <c r="EK52" s="228">
        <v>807.63</v>
      </c>
      <c r="EL52" s="228">
        <v>348.76</v>
      </c>
      <c r="EM52" s="228">
        <v>213.7</v>
      </c>
      <c r="EN52" s="228">
        <v>21.61</v>
      </c>
      <c r="EO52" s="231">
        <v>1370.09</v>
      </c>
      <c r="EP52" s="228">
        <v>909.36</v>
      </c>
      <c r="EQ52" s="228">
        <v>460.72</v>
      </c>
      <c r="ER52" s="229">
        <v>0.50660000000000005</v>
      </c>
      <c r="ES52" s="228">
        <v>781.28</v>
      </c>
      <c r="ET52" s="228">
        <v>383.76</v>
      </c>
      <c r="EU52" s="231">
        <v>1343.41</v>
      </c>
      <c r="EV52" s="231">
        <v>89873278</v>
      </c>
      <c r="EW52" s="231">
        <v>2508.4499999999998</v>
      </c>
      <c r="EX52" s="231">
        <v>2683.05</v>
      </c>
      <c r="EY52" s="228">
        <v>-174.6</v>
      </c>
      <c r="EZ52" s="229">
        <v>-6.5100000000000005E-2</v>
      </c>
      <c r="FA52" s="229">
        <v>0.5514</v>
      </c>
      <c r="FB52" s="227" t="s">
        <v>556</v>
      </c>
      <c r="FC52">
        <f t="shared" si="0"/>
        <v>107</v>
      </c>
    </row>
    <row r="53" spans="1:159" ht="17.25" thickBot="1" x14ac:dyDescent="0.3">
      <c r="A53" s="226">
        <v>45946</v>
      </c>
      <c r="B53" s="227" t="s">
        <v>157</v>
      </c>
      <c r="C53" s="227" t="s">
        <v>524</v>
      </c>
      <c r="D53" s="228">
        <v>325</v>
      </c>
      <c r="E53" s="228">
        <v>12</v>
      </c>
      <c r="F53" s="231">
        <v>2228.1999999999998</v>
      </c>
      <c r="G53" s="231">
        <v>2221.9</v>
      </c>
      <c r="H53" s="228">
        <v>6.3</v>
      </c>
      <c r="I53" s="229">
        <v>2.8E-3</v>
      </c>
      <c r="J53" s="231">
        <v>2224.4</v>
      </c>
      <c r="K53" s="231">
        <v>2219.1999999999998</v>
      </c>
      <c r="L53" s="228">
        <v>5.2</v>
      </c>
      <c r="M53" s="229">
        <v>2.3E-3</v>
      </c>
      <c r="N53" s="231">
        <v>2228.1999999999998</v>
      </c>
      <c r="O53" s="231">
        <v>2221.9</v>
      </c>
      <c r="P53" s="228">
        <v>6.3</v>
      </c>
      <c r="Q53" s="229">
        <v>2.8E-3</v>
      </c>
      <c r="R53" s="231">
        <v>2233.1999999999998</v>
      </c>
      <c r="S53" s="231">
        <v>2226.6999999999998</v>
      </c>
      <c r="T53" s="228">
        <v>6.5</v>
      </c>
      <c r="U53" s="229">
        <v>2.8999999999999998E-3</v>
      </c>
      <c r="V53" s="231">
        <v>2236.5</v>
      </c>
      <c r="W53" s="231">
        <v>2232.4</v>
      </c>
      <c r="X53" s="228">
        <v>4.0999999999999996</v>
      </c>
      <c r="Y53" s="229">
        <v>1.8E-3</v>
      </c>
      <c r="Z53" s="228">
        <v>3.8</v>
      </c>
      <c r="AA53" s="228">
        <v>2.7</v>
      </c>
      <c r="AB53" s="228">
        <v>1.1000000000000001</v>
      </c>
      <c r="AC53" s="229">
        <v>1.6999999999999999E-3</v>
      </c>
      <c r="AD53" s="228">
        <v>3.8</v>
      </c>
      <c r="AE53" s="228">
        <v>2.7</v>
      </c>
      <c r="AF53" s="228">
        <v>1.1000000000000001</v>
      </c>
      <c r="AG53" s="229">
        <v>1.6999999999999999E-3</v>
      </c>
      <c r="AH53" s="228">
        <v>8.8000000000000007</v>
      </c>
      <c r="AI53" s="228">
        <v>7.5</v>
      </c>
      <c r="AJ53" s="228">
        <v>1.3</v>
      </c>
      <c r="AK53" s="229">
        <v>4.0000000000000001E-3</v>
      </c>
      <c r="AL53" s="228">
        <v>12.1</v>
      </c>
      <c r="AM53" s="228">
        <v>13.2</v>
      </c>
      <c r="AN53" s="228">
        <v>-1.1000000000000001</v>
      </c>
      <c r="AO53" s="229">
        <v>5.4000000000000003E-3</v>
      </c>
      <c r="AP53" s="231">
        <v>2226.7199999999998</v>
      </c>
      <c r="AQ53" s="231">
        <v>2235.0700000000002</v>
      </c>
      <c r="AR53" s="228">
        <v>0</v>
      </c>
      <c r="AS53" s="228">
        <v>89</v>
      </c>
      <c r="AT53" s="228">
        <v>85</v>
      </c>
      <c r="AU53" s="228">
        <v>4</v>
      </c>
      <c r="AV53" s="229">
        <v>4.41E-2</v>
      </c>
      <c r="AW53" s="228">
        <v>73</v>
      </c>
      <c r="AX53" s="228">
        <v>80</v>
      </c>
      <c r="AY53" s="228">
        <v>-7</v>
      </c>
      <c r="AZ53" s="229">
        <v>-8.5199999999999998E-2</v>
      </c>
      <c r="BA53" s="228">
        <v>16</v>
      </c>
      <c r="BB53" s="228">
        <v>5</v>
      </c>
      <c r="BC53" s="228">
        <v>11</v>
      </c>
      <c r="BD53" s="229">
        <v>1.9467000000000001</v>
      </c>
      <c r="BE53" s="228">
        <v>0</v>
      </c>
      <c r="BF53" s="228">
        <v>0</v>
      </c>
      <c r="BG53" s="228">
        <v>0</v>
      </c>
      <c r="BH53" s="229">
        <v>0</v>
      </c>
      <c r="BI53" s="228">
        <v>97</v>
      </c>
      <c r="BJ53" s="228">
        <v>96</v>
      </c>
      <c r="BK53" s="228">
        <v>1</v>
      </c>
      <c r="BL53" s="229">
        <v>1.1299999999999999E-2</v>
      </c>
      <c r="BM53" s="228">
        <v>41</v>
      </c>
      <c r="BN53" s="228">
        <v>68</v>
      </c>
      <c r="BO53" s="228">
        <v>-27</v>
      </c>
      <c r="BP53" s="229">
        <v>-0.39140000000000003</v>
      </c>
      <c r="BQ53" s="228">
        <v>227</v>
      </c>
      <c r="BR53" s="228">
        <v>249</v>
      </c>
      <c r="BS53" s="228">
        <v>-22</v>
      </c>
      <c r="BT53" s="229">
        <v>-8.6999999999999994E-2</v>
      </c>
      <c r="BU53" s="230">
        <v>237500</v>
      </c>
      <c r="BV53" s="230">
        <v>70457</v>
      </c>
      <c r="BW53" s="230">
        <v>167043</v>
      </c>
      <c r="BX53" s="229">
        <v>2.3708999999999998</v>
      </c>
      <c r="BY53" s="228">
        <v>573</v>
      </c>
      <c r="BZ53" s="228">
        <v>582</v>
      </c>
      <c r="CA53" s="228">
        <v>-8</v>
      </c>
      <c r="CB53" s="229">
        <v>-1.44E-2</v>
      </c>
      <c r="CC53" s="228">
        <v>554</v>
      </c>
      <c r="CD53" s="228">
        <v>569</v>
      </c>
      <c r="CE53" s="228">
        <v>-15</v>
      </c>
      <c r="CF53" s="229">
        <v>-2.6599999999999999E-2</v>
      </c>
      <c r="CG53" s="228">
        <v>18</v>
      </c>
      <c r="CH53" s="228">
        <v>12</v>
      </c>
      <c r="CI53" s="228">
        <v>7</v>
      </c>
      <c r="CJ53" s="229">
        <v>0.58489999999999998</v>
      </c>
      <c r="CK53" s="228">
        <v>2</v>
      </c>
      <c r="CL53" s="228">
        <v>2</v>
      </c>
      <c r="CM53" s="228">
        <v>0</v>
      </c>
      <c r="CN53" s="229">
        <v>0</v>
      </c>
      <c r="CO53" s="228">
        <v>136</v>
      </c>
      <c r="CP53" s="228">
        <v>131</v>
      </c>
      <c r="CQ53" s="228">
        <v>5</v>
      </c>
      <c r="CR53" s="229">
        <v>3.5299999999999998E-2</v>
      </c>
      <c r="CS53" s="228">
        <v>68</v>
      </c>
      <c r="CT53" s="228">
        <v>72</v>
      </c>
      <c r="CU53" s="228">
        <v>-4</v>
      </c>
      <c r="CV53" s="229">
        <v>-5.0599999999999999E-2</v>
      </c>
      <c r="CW53" s="228">
        <v>777</v>
      </c>
      <c r="CX53" s="228">
        <v>785</v>
      </c>
      <c r="CY53" s="228">
        <v>-7</v>
      </c>
      <c r="CZ53" s="229">
        <v>-9.4000000000000004E-3</v>
      </c>
      <c r="DA53" s="228">
        <v>30.45</v>
      </c>
      <c r="DB53" s="228">
        <v>29.83</v>
      </c>
      <c r="DC53" s="228">
        <v>0.62</v>
      </c>
      <c r="DD53" s="228">
        <v>0.62</v>
      </c>
      <c r="DE53" s="228">
        <v>30.14</v>
      </c>
      <c r="DF53" s="228">
        <v>30.21</v>
      </c>
      <c r="DG53" s="228">
        <v>0.31</v>
      </c>
      <c r="DH53" s="228">
        <v>-7.0000000000000007E-2</v>
      </c>
      <c r="DI53" s="228">
        <v>30.31</v>
      </c>
      <c r="DJ53" s="228">
        <v>28.67</v>
      </c>
      <c r="DK53" s="228">
        <v>1.64</v>
      </c>
      <c r="DL53" s="228">
        <v>1.64</v>
      </c>
      <c r="DM53" s="228">
        <v>30.79</v>
      </c>
      <c r="DN53" s="228">
        <v>31.48</v>
      </c>
      <c r="DO53" s="228">
        <v>-0.69</v>
      </c>
      <c r="DP53" s="228">
        <v>-0.69</v>
      </c>
      <c r="DQ53" s="228">
        <v>0.5</v>
      </c>
      <c r="DR53" s="228">
        <v>0.55000000000000004</v>
      </c>
      <c r="DS53" s="228">
        <v>-0.05</v>
      </c>
      <c r="DT53" s="229">
        <v>-9.0899999999999995E-2</v>
      </c>
      <c r="DU53" s="231">
        <v>2300</v>
      </c>
      <c r="DV53" s="231">
        <v>2200</v>
      </c>
      <c r="DW53" s="228">
        <v>0.43</v>
      </c>
      <c r="DX53" s="228">
        <v>0.71</v>
      </c>
      <c r="DY53" s="228">
        <v>-0.28000000000000003</v>
      </c>
      <c r="DZ53" s="229">
        <v>-0.39439999999999997</v>
      </c>
      <c r="EA53" s="229">
        <v>3.4599999999999999E-2</v>
      </c>
      <c r="EB53" s="230">
        <v>58825</v>
      </c>
      <c r="EC53" s="229">
        <v>2.2000000000000001E-3</v>
      </c>
      <c r="ED53" s="229">
        <v>3.4599999999999999E-2</v>
      </c>
      <c r="EE53" s="228">
        <v>8.35</v>
      </c>
      <c r="EF53" s="229">
        <v>3.7000000000000002E-3</v>
      </c>
      <c r="EG53" s="230">
        <v>163822</v>
      </c>
      <c r="EH53" s="230">
        <v>33672</v>
      </c>
      <c r="EI53" s="229">
        <v>3.8652000000000002</v>
      </c>
      <c r="EJ53" s="229">
        <v>0.68979999999999997</v>
      </c>
      <c r="EK53" s="228">
        <v>101.46</v>
      </c>
      <c r="EL53" s="228">
        <v>41.6</v>
      </c>
      <c r="EM53" s="228">
        <v>89.15</v>
      </c>
      <c r="EN53" s="228">
        <v>14.44</v>
      </c>
      <c r="EO53" s="228">
        <v>232.21</v>
      </c>
      <c r="EP53" s="228">
        <v>249.42</v>
      </c>
      <c r="EQ53" s="228">
        <v>-17.22</v>
      </c>
      <c r="ER53" s="229">
        <v>-6.9000000000000006E-2</v>
      </c>
      <c r="ES53" s="228">
        <v>141.97999999999999</v>
      </c>
      <c r="ET53" s="228">
        <v>67.209999999999994</v>
      </c>
      <c r="EU53" s="228">
        <v>573.51</v>
      </c>
      <c r="EV53" s="231">
        <v>12425041</v>
      </c>
      <c r="EW53" s="228">
        <v>782.71</v>
      </c>
      <c r="EX53" s="228">
        <v>788.14</v>
      </c>
      <c r="EY53" s="228">
        <v>-5.43</v>
      </c>
      <c r="EZ53" s="229">
        <v>-6.8999999999999999E-3</v>
      </c>
      <c r="FA53" s="229">
        <v>0.28070000000000001</v>
      </c>
      <c r="FB53" s="227" t="s">
        <v>556</v>
      </c>
      <c r="FC53">
        <f t="shared" si="0"/>
        <v>19</v>
      </c>
    </row>
    <row r="54" spans="1:159" ht="17.25" thickBot="1" x14ac:dyDescent="0.3">
      <c r="A54" s="226">
        <v>45946</v>
      </c>
      <c r="B54" s="227" t="s">
        <v>615</v>
      </c>
      <c r="C54" s="227" t="s">
        <v>600</v>
      </c>
      <c r="D54" s="228">
        <v>2075</v>
      </c>
      <c r="E54" s="228">
        <v>12</v>
      </c>
      <c r="F54" s="228">
        <v>448.5</v>
      </c>
      <c r="G54" s="228">
        <v>463.2</v>
      </c>
      <c r="H54" s="228">
        <v>-14.7</v>
      </c>
      <c r="I54" s="229">
        <v>-3.1699999999999999E-2</v>
      </c>
      <c r="J54" s="228">
        <v>446.8</v>
      </c>
      <c r="K54" s="228">
        <v>460.75</v>
      </c>
      <c r="L54" s="228">
        <v>-13.95</v>
      </c>
      <c r="M54" s="229">
        <v>-3.0300000000000001E-2</v>
      </c>
      <c r="N54" s="228">
        <v>448.5</v>
      </c>
      <c r="O54" s="228">
        <v>463.2</v>
      </c>
      <c r="P54" s="228">
        <v>-14.7</v>
      </c>
      <c r="Q54" s="229">
        <v>-3.1699999999999999E-2</v>
      </c>
      <c r="R54" s="228">
        <v>451.05</v>
      </c>
      <c r="S54" s="228">
        <v>465.3</v>
      </c>
      <c r="T54" s="228">
        <v>-14.25</v>
      </c>
      <c r="U54" s="229">
        <v>-3.0599999999999999E-2</v>
      </c>
      <c r="V54" s="228">
        <v>453.7</v>
      </c>
      <c r="W54" s="228">
        <v>467</v>
      </c>
      <c r="X54" s="228">
        <v>-13.3</v>
      </c>
      <c r="Y54" s="229">
        <v>-2.8500000000000001E-2</v>
      </c>
      <c r="Z54" s="228">
        <v>1.7</v>
      </c>
      <c r="AA54" s="228">
        <v>2.4500000000000002</v>
      </c>
      <c r="AB54" s="228">
        <v>-0.75</v>
      </c>
      <c r="AC54" s="229">
        <v>3.8E-3</v>
      </c>
      <c r="AD54" s="228">
        <v>1.7</v>
      </c>
      <c r="AE54" s="228">
        <v>2.4500000000000002</v>
      </c>
      <c r="AF54" s="228">
        <v>-0.75</v>
      </c>
      <c r="AG54" s="229">
        <v>3.8E-3</v>
      </c>
      <c r="AH54" s="228">
        <v>4.25</v>
      </c>
      <c r="AI54" s="228">
        <v>4.55</v>
      </c>
      <c r="AJ54" s="228">
        <v>-0.3</v>
      </c>
      <c r="AK54" s="229">
        <v>9.4999999999999998E-3</v>
      </c>
      <c r="AL54" s="228">
        <v>6.9</v>
      </c>
      <c r="AM54" s="228">
        <v>6.25</v>
      </c>
      <c r="AN54" s="228">
        <v>0.65</v>
      </c>
      <c r="AO54" s="229">
        <v>1.54E-2</v>
      </c>
      <c r="AP54" s="228">
        <v>453.66</v>
      </c>
      <c r="AQ54" s="228">
        <v>457.07</v>
      </c>
      <c r="AR54" s="228">
        <v>0</v>
      </c>
      <c r="AS54" s="228">
        <v>265</v>
      </c>
      <c r="AT54" s="228">
        <v>194</v>
      </c>
      <c r="AU54" s="228">
        <v>71</v>
      </c>
      <c r="AV54" s="229">
        <v>0.36680000000000001</v>
      </c>
      <c r="AW54" s="228">
        <v>226</v>
      </c>
      <c r="AX54" s="228">
        <v>164</v>
      </c>
      <c r="AY54" s="228">
        <v>62</v>
      </c>
      <c r="AZ54" s="229">
        <v>0.37730000000000002</v>
      </c>
      <c r="BA54" s="228">
        <v>36</v>
      </c>
      <c r="BB54" s="228">
        <v>29</v>
      </c>
      <c r="BC54" s="228">
        <v>8</v>
      </c>
      <c r="BD54" s="229">
        <v>0.26450000000000001</v>
      </c>
      <c r="BE54" s="228">
        <v>2</v>
      </c>
      <c r="BF54" s="228">
        <v>0</v>
      </c>
      <c r="BG54" s="228">
        <v>1</v>
      </c>
      <c r="BH54" s="229">
        <v>3</v>
      </c>
      <c r="BI54" s="228">
        <v>885</v>
      </c>
      <c r="BJ54" s="228">
        <v>526</v>
      </c>
      <c r="BK54" s="228">
        <v>359</v>
      </c>
      <c r="BL54" s="229">
        <v>0.68159999999999998</v>
      </c>
      <c r="BM54" s="228">
        <v>376</v>
      </c>
      <c r="BN54" s="228">
        <v>287</v>
      </c>
      <c r="BO54" s="228">
        <v>89</v>
      </c>
      <c r="BP54" s="229">
        <v>0.30840000000000001</v>
      </c>
      <c r="BQ54" s="230">
        <v>1526</v>
      </c>
      <c r="BR54" s="230">
        <v>1007</v>
      </c>
      <c r="BS54" s="228">
        <v>518</v>
      </c>
      <c r="BT54" s="229">
        <v>0.51459999999999995</v>
      </c>
      <c r="BU54" s="230">
        <v>2020085</v>
      </c>
      <c r="BV54" s="230">
        <v>2679623</v>
      </c>
      <c r="BW54" s="230">
        <v>-659538</v>
      </c>
      <c r="BX54" s="229">
        <v>-0.24610000000000001</v>
      </c>
      <c r="BY54" s="228">
        <v>880</v>
      </c>
      <c r="BZ54" s="228">
        <v>898</v>
      </c>
      <c r="CA54" s="228">
        <v>-17</v>
      </c>
      <c r="CB54" s="229">
        <v>-1.9199999999999998E-2</v>
      </c>
      <c r="CC54" s="228">
        <v>818</v>
      </c>
      <c r="CD54" s="228">
        <v>852</v>
      </c>
      <c r="CE54" s="228">
        <v>-34</v>
      </c>
      <c r="CF54" s="229">
        <v>-3.9899999999999998E-2</v>
      </c>
      <c r="CG54" s="228">
        <v>59</v>
      </c>
      <c r="CH54" s="228">
        <v>43</v>
      </c>
      <c r="CI54" s="228">
        <v>16</v>
      </c>
      <c r="CJ54" s="229">
        <v>0.35970000000000002</v>
      </c>
      <c r="CK54" s="228">
        <v>4</v>
      </c>
      <c r="CL54" s="228">
        <v>2</v>
      </c>
      <c r="CM54" s="228">
        <v>1</v>
      </c>
      <c r="CN54" s="229">
        <v>0.46150000000000002</v>
      </c>
      <c r="CO54" s="228">
        <v>596</v>
      </c>
      <c r="CP54" s="228">
        <v>474</v>
      </c>
      <c r="CQ54" s="228">
        <v>122</v>
      </c>
      <c r="CR54" s="229">
        <v>0.2586</v>
      </c>
      <c r="CS54" s="228">
        <v>258</v>
      </c>
      <c r="CT54" s="228">
        <v>258</v>
      </c>
      <c r="CU54" s="228">
        <v>0</v>
      </c>
      <c r="CV54" s="229">
        <v>-4.0000000000000002E-4</v>
      </c>
      <c r="CW54" s="230">
        <v>1734</v>
      </c>
      <c r="CX54" s="230">
        <v>1629</v>
      </c>
      <c r="CY54" s="228">
        <v>105</v>
      </c>
      <c r="CZ54" s="229">
        <v>6.4500000000000002E-2</v>
      </c>
      <c r="DA54" s="228">
        <v>30.28</v>
      </c>
      <c r="DB54" s="228">
        <v>29.06</v>
      </c>
      <c r="DC54" s="228">
        <v>1.22</v>
      </c>
      <c r="DD54" s="228">
        <v>1.22</v>
      </c>
      <c r="DE54" s="228">
        <v>40.76</v>
      </c>
      <c r="DF54" s="228">
        <v>40.619999999999997</v>
      </c>
      <c r="DG54" s="228">
        <v>-10.48</v>
      </c>
      <c r="DH54" s="228">
        <v>0.14000000000000001</v>
      </c>
      <c r="DI54" s="228">
        <v>31.13</v>
      </c>
      <c r="DJ54" s="228">
        <v>29.55</v>
      </c>
      <c r="DK54" s="228">
        <v>1.58</v>
      </c>
      <c r="DL54" s="228">
        <v>1.58</v>
      </c>
      <c r="DM54" s="228">
        <v>28.29</v>
      </c>
      <c r="DN54" s="228">
        <v>28.16</v>
      </c>
      <c r="DO54" s="228">
        <v>0.13</v>
      </c>
      <c r="DP54" s="228">
        <v>0.13</v>
      </c>
      <c r="DQ54" s="228">
        <v>0.43</v>
      </c>
      <c r="DR54" s="228">
        <v>0.55000000000000004</v>
      </c>
      <c r="DS54" s="228">
        <v>-0.12</v>
      </c>
      <c r="DT54" s="229">
        <v>-0.21820000000000001</v>
      </c>
      <c r="DU54" s="228">
        <v>480</v>
      </c>
      <c r="DV54" s="228">
        <v>470</v>
      </c>
      <c r="DW54" s="228">
        <v>0.42</v>
      </c>
      <c r="DX54" s="228">
        <v>0.55000000000000004</v>
      </c>
      <c r="DY54" s="228">
        <v>-0.13</v>
      </c>
      <c r="DZ54" s="229">
        <v>-0.2364</v>
      </c>
      <c r="EA54" s="229">
        <v>7.1099999999999997E-2</v>
      </c>
      <c r="EB54" s="230">
        <v>1022975</v>
      </c>
      <c r="EC54" s="229">
        <v>5.7000000000000002E-3</v>
      </c>
      <c r="ED54" s="229">
        <v>7.1099999999999997E-2</v>
      </c>
      <c r="EE54" s="228">
        <v>3.41</v>
      </c>
      <c r="EF54" s="229">
        <v>7.4999999999999997E-3</v>
      </c>
      <c r="EG54" s="230">
        <v>920983</v>
      </c>
      <c r="EH54" s="230">
        <v>1526447</v>
      </c>
      <c r="EI54" s="229">
        <v>-0.39660000000000001</v>
      </c>
      <c r="EJ54" s="229">
        <v>0.45590000000000003</v>
      </c>
      <c r="EK54" s="228">
        <v>941.83</v>
      </c>
      <c r="EL54" s="228">
        <v>384</v>
      </c>
      <c r="EM54" s="228">
        <v>267.92</v>
      </c>
      <c r="EN54" s="228">
        <v>18.54</v>
      </c>
      <c r="EO54" s="231">
        <v>1593.75</v>
      </c>
      <c r="EP54" s="231">
        <v>1067.42</v>
      </c>
      <c r="EQ54" s="228">
        <v>526.33000000000004</v>
      </c>
      <c r="ER54" s="229">
        <v>0.49309999999999998</v>
      </c>
      <c r="ES54" s="228">
        <v>638.70000000000005</v>
      </c>
      <c r="ET54" s="228">
        <v>256.19</v>
      </c>
      <c r="EU54" s="228">
        <v>880.76</v>
      </c>
      <c r="EV54" s="231">
        <v>94196226</v>
      </c>
      <c r="EW54" s="231">
        <v>1775.65</v>
      </c>
      <c r="EX54" s="231">
        <v>1694.02</v>
      </c>
      <c r="EY54" s="228">
        <v>81.63</v>
      </c>
      <c r="EZ54" s="229">
        <v>4.82E-2</v>
      </c>
      <c r="FA54" s="229">
        <v>0.41049999999999998</v>
      </c>
      <c r="FB54" s="227" t="s">
        <v>568</v>
      </c>
      <c r="FC54">
        <f t="shared" si="0"/>
        <v>62</v>
      </c>
    </row>
    <row r="55" spans="1:159" ht="17.25" thickBot="1" x14ac:dyDescent="0.3">
      <c r="A55" s="226">
        <v>45946</v>
      </c>
      <c r="B55" s="227" t="s">
        <v>170</v>
      </c>
      <c r="C55" s="227" t="s">
        <v>205</v>
      </c>
      <c r="D55" s="228">
        <v>100</v>
      </c>
      <c r="E55" s="228">
        <v>12</v>
      </c>
      <c r="F55" s="231">
        <v>6615</v>
      </c>
      <c r="G55" s="231">
        <v>6582</v>
      </c>
      <c r="H55" s="228">
        <v>33</v>
      </c>
      <c r="I55" s="229">
        <v>5.0000000000000001E-3</v>
      </c>
      <c r="J55" s="231">
        <v>6600.5</v>
      </c>
      <c r="K55" s="231">
        <v>6573</v>
      </c>
      <c r="L55" s="228">
        <v>27.5</v>
      </c>
      <c r="M55" s="229">
        <v>4.1999999999999997E-3</v>
      </c>
      <c r="N55" s="231">
        <v>6615</v>
      </c>
      <c r="O55" s="231">
        <v>6582</v>
      </c>
      <c r="P55" s="228">
        <v>33</v>
      </c>
      <c r="Q55" s="229">
        <v>5.0000000000000001E-3</v>
      </c>
      <c r="R55" s="231">
        <v>6652.5</v>
      </c>
      <c r="S55" s="231">
        <v>6618.5</v>
      </c>
      <c r="T55" s="228">
        <v>34</v>
      </c>
      <c r="U55" s="229">
        <v>5.1000000000000004E-3</v>
      </c>
      <c r="V55" s="231">
        <v>6694</v>
      </c>
      <c r="W55" s="231">
        <v>6647.5</v>
      </c>
      <c r="X55" s="228">
        <v>46.5</v>
      </c>
      <c r="Y55" s="229">
        <v>7.0000000000000001E-3</v>
      </c>
      <c r="Z55" s="228">
        <v>14.5</v>
      </c>
      <c r="AA55" s="228">
        <v>9</v>
      </c>
      <c r="AB55" s="228">
        <v>5.5</v>
      </c>
      <c r="AC55" s="229">
        <v>2.2000000000000001E-3</v>
      </c>
      <c r="AD55" s="228">
        <v>14.5</v>
      </c>
      <c r="AE55" s="228">
        <v>9</v>
      </c>
      <c r="AF55" s="228">
        <v>5.5</v>
      </c>
      <c r="AG55" s="229">
        <v>2.2000000000000001E-3</v>
      </c>
      <c r="AH55" s="228">
        <v>52</v>
      </c>
      <c r="AI55" s="228">
        <v>45.5</v>
      </c>
      <c r="AJ55" s="228">
        <v>6.5</v>
      </c>
      <c r="AK55" s="229">
        <v>7.9000000000000008E-3</v>
      </c>
      <c r="AL55" s="228">
        <v>93.5</v>
      </c>
      <c r="AM55" s="228">
        <v>74.5</v>
      </c>
      <c r="AN55" s="228">
        <v>19</v>
      </c>
      <c r="AO55" s="229">
        <v>1.4200000000000001E-2</v>
      </c>
      <c r="AP55" s="231">
        <v>6610.1</v>
      </c>
      <c r="AQ55" s="231">
        <v>6643.6</v>
      </c>
      <c r="AR55" s="228">
        <v>0</v>
      </c>
      <c r="AS55" s="228">
        <v>287</v>
      </c>
      <c r="AT55" s="228">
        <v>328</v>
      </c>
      <c r="AU55" s="228">
        <v>-41</v>
      </c>
      <c r="AV55" s="229">
        <v>-0.1246</v>
      </c>
      <c r="AW55" s="228">
        <v>252</v>
      </c>
      <c r="AX55" s="228">
        <v>263</v>
      </c>
      <c r="AY55" s="228">
        <v>-12</v>
      </c>
      <c r="AZ55" s="229">
        <v>-4.4699999999999997E-2</v>
      </c>
      <c r="BA55" s="228">
        <v>33</v>
      </c>
      <c r="BB55" s="228">
        <v>63</v>
      </c>
      <c r="BC55" s="228">
        <v>-30</v>
      </c>
      <c r="BD55" s="229">
        <v>-0.47810000000000002</v>
      </c>
      <c r="BE55" s="228">
        <v>3</v>
      </c>
      <c r="BF55" s="228">
        <v>2</v>
      </c>
      <c r="BG55" s="228">
        <v>1</v>
      </c>
      <c r="BH55" s="229">
        <v>0.78259999999999996</v>
      </c>
      <c r="BI55" s="230">
        <v>1812</v>
      </c>
      <c r="BJ55" s="230">
        <v>1133</v>
      </c>
      <c r="BK55" s="228">
        <v>679</v>
      </c>
      <c r="BL55" s="229">
        <v>0.59919999999999995</v>
      </c>
      <c r="BM55" s="230">
        <v>1078</v>
      </c>
      <c r="BN55" s="228">
        <v>796</v>
      </c>
      <c r="BO55" s="228">
        <v>281</v>
      </c>
      <c r="BP55" s="229">
        <v>0.35339999999999999</v>
      </c>
      <c r="BQ55" s="230">
        <v>3177</v>
      </c>
      <c r="BR55" s="230">
        <v>2258</v>
      </c>
      <c r="BS55" s="228">
        <v>919</v>
      </c>
      <c r="BT55" s="229">
        <v>0.4073</v>
      </c>
      <c r="BU55" s="230">
        <v>343295</v>
      </c>
      <c r="BV55" s="230">
        <v>465979</v>
      </c>
      <c r="BW55" s="230">
        <v>-122684</v>
      </c>
      <c r="BX55" s="229">
        <v>-0.26329999999999998</v>
      </c>
      <c r="BY55" s="230">
        <v>1835</v>
      </c>
      <c r="BZ55" s="230">
        <v>1861</v>
      </c>
      <c r="CA55" s="228">
        <v>-25</v>
      </c>
      <c r="CB55" s="229">
        <v>-1.37E-2</v>
      </c>
      <c r="CC55" s="230">
        <v>1728</v>
      </c>
      <c r="CD55" s="230">
        <v>1755</v>
      </c>
      <c r="CE55" s="228">
        <v>-28</v>
      </c>
      <c r="CF55" s="229">
        <v>-1.5900000000000001E-2</v>
      </c>
      <c r="CG55" s="228">
        <v>99</v>
      </c>
      <c r="CH55" s="228">
        <v>97</v>
      </c>
      <c r="CI55" s="228">
        <v>2</v>
      </c>
      <c r="CJ55" s="229">
        <v>2.46E-2</v>
      </c>
      <c r="CK55" s="228">
        <v>8</v>
      </c>
      <c r="CL55" s="228">
        <v>8</v>
      </c>
      <c r="CM55" s="228">
        <v>0</v>
      </c>
      <c r="CN55" s="229">
        <v>0</v>
      </c>
      <c r="CO55" s="230">
        <v>1159</v>
      </c>
      <c r="CP55" s="230">
        <v>1100</v>
      </c>
      <c r="CQ55" s="228">
        <v>58</v>
      </c>
      <c r="CR55" s="229">
        <v>5.3100000000000001E-2</v>
      </c>
      <c r="CS55" s="230">
        <v>1145</v>
      </c>
      <c r="CT55" s="230">
        <v>1158</v>
      </c>
      <c r="CU55" s="228">
        <v>-13</v>
      </c>
      <c r="CV55" s="229">
        <v>-1.1299999999999999E-2</v>
      </c>
      <c r="CW55" s="230">
        <v>4139</v>
      </c>
      <c r="CX55" s="230">
        <v>4119</v>
      </c>
      <c r="CY55" s="228">
        <v>20</v>
      </c>
      <c r="CZ55" s="229">
        <v>4.7999999999999996E-3</v>
      </c>
      <c r="DA55" s="228">
        <v>26.78</v>
      </c>
      <c r="DB55" s="228">
        <v>27.33</v>
      </c>
      <c r="DC55" s="228">
        <v>-0.55000000000000004</v>
      </c>
      <c r="DD55" s="228">
        <v>-0.55000000000000004</v>
      </c>
      <c r="DE55" s="228">
        <v>32.17</v>
      </c>
      <c r="DF55" s="228">
        <v>32.25</v>
      </c>
      <c r="DG55" s="228">
        <v>-5.39</v>
      </c>
      <c r="DH55" s="228">
        <v>-0.08</v>
      </c>
      <c r="DI55" s="228">
        <v>25.29</v>
      </c>
      <c r="DJ55" s="228">
        <v>25.39</v>
      </c>
      <c r="DK55" s="228">
        <v>-0.1</v>
      </c>
      <c r="DL55" s="228">
        <v>-0.1</v>
      </c>
      <c r="DM55" s="228">
        <v>29.29</v>
      </c>
      <c r="DN55" s="228">
        <v>30.1</v>
      </c>
      <c r="DO55" s="228">
        <v>-0.81</v>
      </c>
      <c r="DP55" s="228">
        <v>-0.81</v>
      </c>
      <c r="DQ55" s="228">
        <v>0.99</v>
      </c>
      <c r="DR55" s="228">
        <v>1.05</v>
      </c>
      <c r="DS55" s="228">
        <v>-0.06</v>
      </c>
      <c r="DT55" s="229">
        <v>-5.7099999999999998E-2</v>
      </c>
      <c r="DU55" s="231">
        <v>6600</v>
      </c>
      <c r="DV55" s="231">
        <v>6000</v>
      </c>
      <c r="DW55" s="228">
        <v>0.59</v>
      </c>
      <c r="DX55" s="228">
        <v>0.7</v>
      </c>
      <c r="DY55" s="228">
        <v>-0.11</v>
      </c>
      <c r="DZ55" s="229">
        <v>-0.15709999999999999</v>
      </c>
      <c r="EA55" s="229">
        <v>5.8599999999999999E-2</v>
      </c>
      <c r="EB55" s="230">
        <v>159100</v>
      </c>
      <c r="EC55" s="229">
        <v>5.7000000000000002E-3</v>
      </c>
      <c r="ED55" s="229">
        <v>5.8599999999999999E-2</v>
      </c>
      <c r="EE55" s="228">
        <v>33.5</v>
      </c>
      <c r="EF55" s="229">
        <v>5.1000000000000004E-3</v>
      </c>
      <c r="EG55" s="230">
        <v>186472</v>
      </c>
      <c r="EH55" s="230">
        <v>300589</v>
      </c>
      <c r="EI55" s="229">
        <v>-0.37959999999999999</v>
      </c>
      <c r="EJ55" s="229">
        <v>0.54320000000000002</v>
      </c>
      <c r="EK55" s="231">
        <v>1864.89</v>
      </c>
      <c r="EL55" s="231">
        <v>1037.5999999999999</v>
      </c>
      <c r="EM55" s="228">
        <v>287.27999999999997</v>
      </c>
      <c r="EN55" s="228">
        <v>66.61</v>
      </c>
      <c r="EO55" s="231">
        <v>3189.76</v>
      </c>
      <c r="EP55" s="231">
        <v>2257.5500000000002</v>
      </c>
      <c r="EQ55" s="228">
        <v>932.21</v>
      </c>
      <c r="ER55" s="229">
        <v>0.41289999999999999</v>
      </c>
      <c r="ES55" s="231">
        <v>1167.19</v>
      </c>
      <c r="ET55" s="231">
        <v>1055.47</v>
      </c>
      <c r="EU55" s="231">
        <v>1835.8</v>
      </c>
      <c r="EV55" s="231">
        <v>16353614</v>
      </c>
      <c r="EW55" s="231">
        <v>4058.45</v>
      </c>
      <c r="EX55" s="231">
        <v>4024.64</v>
      </c>
      <c r="EY55" s="228">
        <v>33.81</v>
      </c>
      <c r="EZ55" s="229">
        <v>8.3999999999999995E-3</v>
      </c>
      <c r="FA55" s="229">
        <v>0.3826</v>
      </c>
      <c r="FB55" s="227" t="s">
        <v>556</v>
      </c>
      <c r="FC55">
        <f t="shared" si="0"/>
        <v>107</v>
      </c>
    </row>
    <row r="56" spans="1:159" ht="17.25" thickBot="1" x14ac:dyDescent="0.3">
      <c r="A56" s="226">
        <v>45946</v>
      </c>
      <c r="B56" s="227" t="s">
        <v>184</v>
      </c>
      <c r="C56" s="227" t="s">
        <v>512</v>
      </c>
      <c r="D56" s="228">
        <v>50</v>
      </c>
      <c r="E56" s="228">
        <v>12</v>
      </c>
      <c r="F56" s="231">
        <v>16911</v>
      </c>
      <c r="G56" s="231">
        <v>16848</v>
      </c>
      <c r="H56" s="228">
        <v>63</v>
      </c>
      <c r="I56" s="229">
        <v>3.7000000000000002E-3</v>
      </c>
      <c r="J56" s="231">
        <v>16844</v>
      </c>
      <c r="K56" s="231">
        <v>16777</v>
      </c>
      <c r="L56" s="228">
        <v>67</v>
      </c>
      <c r="M56" s="229">
        <v>4.0000000000000001E-3</v>
      </c>
      <c r="N56" s="231">
        <v>16911</v>
      </c>
      <c r="O56" s="231">
        <v>16848</v>
      </c>
      <c r="P56" s="228">
        <v>63</v>
      </c>
      <c r="Q56" s="229">
        <v>3.7000000000000002E-3</v>
      </c>
      <c r="R56" s="231">
        <v>17003</v>
      </c>
      <c r="S56" s="231">
        <v>16934</v>
      </c>
      <c r="T56" s="228">
        <v>69</v>
      </c>
      <c r="U56" s="229">
        <v>4.1000000000000003E-3</v>
      </c>
      <c r="V56" s="231">
        <v>17092</v>
      </c>
      <c r="W56" s="231">
        <v>17040</v>
      </c>
      <c r="X56" s="228">
        <v>52</v>
      </c>
      <c r="Y56" s="229">
        <v>3.0999999999999999E-3</v>
      </c>
      <c r="Z56" s="228">
        <v>67</v>
      </c>
      <c r="AA56" s="228">
        <v>71</v>
      </c>
      <c r="AB56" s="228">
        <v>-4</v>
      </c>
      <c r="AC56" s="229">
        <v>4.0000000000000001E-3</v>
      </c>
      <c r="AD56" s="228">
        <v>67</v>
      </c>
      <c r="AE56" s="228">
        <v>71</v>
      </c>
      <c r="AF56" s="228">
        <v>-4</v>
      </c>
      <c r="AG56" s="229">
        <v>4.0000000000000001E-3</v>
      </c>
      <c r="AH56" s="228">
        <v>159</v>
      </c>
      <c r="AI56" s="228">
        <v>157</v>
      </c>
      <c r="AJ56" s="228">
        <v>2</v>
      </c>
      <c r="AK56" s="229">
        <v>9.4000000000000004E-3</v>
      </c>
      <c r="AL56" s="228">
        <v>248</v>
      </c>
      <c r="AM56" s="228">
        <v>263</v>
      </c>
      <c r="AN56" s="228">
        <v>-15</v>
      </c>
      <c r="AO56" s="229">
        <v>1.47E-2</v>
      </c>
      <c r="AP56" s="231">
        <v>16847.71</v>
      </c>
      <c r="AQ56" s="231">
        <v>16949.009999999998</v>
      </c>
      <c r="AR56" s="228">
        <v>0</v>
      </c>
      <c r="AS56" s="228">
        <v>627</v>
      </c>
      <c r="AT56" s="228">
        <v>768</v>
      </c>
      <c r="AU56" s="228">
        <v>-141</v>
      </c>
      <c r="AV56" s="229">
        <v>-0.18340000000000001</v>
      </c>
      <c r="AW56" s="228">
        <v>524</v>
      </c>
      <c r="AX56" s="228">
        <v>681</v>
      </c>
      <c r="AY56" s="228">
        <v>-157</v>
      </c>
      <c r="AZ56" s="229">
        <v>-0.23050000000000001</v>
      </c>
      <c r="BA56" s="228">
        <v>95</v>
      </c>
      <c r="BB56" s="228">
        <v>75</v>
      </c>
      <c r="BC56" s="228">
        <v>20</v>
      </c>
      <c r="BD56" s="229">
        <v>0.26100000000000001</v>
      </c>
      <c r="BE56" s="228">
        <v>9</v>
      </c>
      <c r="BF56" s="228">
        <v>12</v>
      </c>
      <c r="BG56" s="228">
        <v>-4</v>
      </c>
      <c r="BH56" s="229">
        <v>-0.29370000000000002</v>
      </c>
      <c r="BI56" s="230">
        <v>2735</v>
      </c>
      <c r="BJ56" s="230">
        <v>4600</v>
      </c>
      <c r="BK56" s="230">
        <v>-1865</v>
      </c>
      <c r="BL56" s="229">
        <v>-0.40550000000000003</v>
      </c>
      <c r="BM56" s="230">
        <v>1496</v>
      </c>
      <c r="BN56" s="230">
        <v>2449</v>
      </c>
      <c r="BO56" s="228">
        <v>-954</v>
      </c>
      <c r="BP56" s="229">
        <v>-0.38929999999999998</v>
      </c>
      <c r="BQ56" s="230">
        <v>4857</v>
      </c>
      <c r="BR56" s="230">
        <v>7817</v>
      </c>
      <c r="BS56" s="230">
        <v>-2960</v>
      </c>
      <c r="BT56" s="229">
        <v>-0.37859999999999999</v>
      </c>
      <c r="BU56" s="230">
        <v>175986</v>
      </c>
      <c r="BV56" s="230">
        <v>227754</v>
      </c>
      <c r="BW56" s="230">
        <v>-51768</v>
      </c>
      <c r="BX56" s="229">
        <v>-0.2273</v>
      </c>
      <c r="BY56" s="230">
        <v>2585</v>
      </c>
      <c r="BZ56" s="230">
        <v>2574</v>
      </c>
      <c r="CA56" s="228">
        <v>11</v>
      </c>
      <c r="CB56" s="229">
        <v>4.1999999999999997E-3</v>
      </c>
      <c r="CC56" s="230">
        <v>2369</v>
      </c>
      <c r="CD56" s="230">
        <v>2381</v>
      </c>
      <c r="CE56" s="228">
        <v>-11</v>
      </c>
      <c r="CF56" s="229">
        <v>-4.7999999999999996E-3</v>
      </c>
      <c r="CG56" s="228">
        <v>193</v>
      </c>
      <c r="CH56" s="228">
        <v>171</v>
      </c>
      <c r="CI56" s="228">
        <v>22</v>
      </c>
      <c r="CJ56" s="229">
        <v>0.12640000000000001</v>
      </c>
      <c r="CK56" s="228">
        <v>23</v>
      </c>
      <c r="CL56" s="228">
        <v>22</v>
      </c>
      <c r="CM56" s="228">
        <v>1</v>
      </c>
      <c r="CN56" s="229">
        <v>2.6499999999999999E-2</v>
      </c>
      <c r="CO56" s="230">
        <v>2091</v>
      </c>
      <c r="CP56" s="230">
        <v>2096</v>
      </c>
      <c r="CQ56" s="228">
        <v>-5</v>
      </c>
      <c r="CR56" s="229">
        <v>-2.3E-3</v>
      </c>
      <c r="CS56" s="230">
        <v>1375</v>
      </c>
      <c r="CT56" s="230">
        <v>1338</v>
      </c>
      <c r="CU56" s="228">
        <v>37</v>
      </c>
      <c r="CV56" s="229">
        <v>2.7900000000000001E-2</v>
      </c>
      <c r="CW56" s="230">
        <v>6052</v>
      </c>
      <c r="CX56" s="230">
        <v>6008</v>
      </c>
      <c r="CY56" s="228">
        <v>43</v>
      </c>
      <c r="CZ56" s="229">
        <v>7.1999999999999998E-3</v>
      </c>
      <c r="DA56" s="228">
        <v>38.03</v>
      </c>
      <c r="DB56" s="228">
        <v>38.72</v>
      </c>
      <c r="DC56" s="228">
        <v>-0.69</v>
      </c>
      <c r="DD56" s="228">
        <v>-0.69</v>
      </c>
      <c r="DE56" s="228">
        <v>45.1</v>
      </c>
      <c r="DF56" s="228">
        <v>45.21</v>
      </c>
      <c r="DG56" s="228">
        <v>-7.07</v>
      </c>
      <c r="DH56" s="228">
        <v>-0.11</v>
      </c>
      <c r="DI56" s="228">
        <v>37.4</v>
      </c>
      <c r="DJ56" s="228">
        <v>38.11</v>
      </c>
      <c r="DK56" s="228">
        <v>-0.71</v>
      </c>
      <c r="DL56" s="228">
        <v>-0.71</v>
      </c>
      <c r="DM56" s="228">
        <v>39.18</v>
      </c>
      <c r="DN56" s="228">
        <v>39.86</v>
      </c>
      <c r="DO56" s="228">
        <v>-0.68</v>
      </c>
      <c r="DP56" s="228">
        <v>-0.68</v>
      </c>
      <c r="DQ56" s="228">
        <v>0.66</v>
      </c>
      <c r="DR56" s="228">
        <v>0.64</v>
      </c>
      <c r="DS56" s="228">
        <v>0.02</v>
      </c>
      <c r="DT56" s="229">
        <v>3.1300000000000001E-2</v>
      </c>
      <c r="DU56" s="231">
        <v>17000</v>
      </c>
      <c r="DV56" s="231">
        <v>16500</v>
      </c>
      <c r="DW56" s="228">
        <v>0.55000000000000004</v>
      </c>
      <c r="DX56" s="228">
        <v>0.53</v>
      </c>
      <c r="DY56" s="228">
        <v>0.02</v>
      </c>
      <c r="DZ56" s="229">
        <v>3.7699999999999997E-2</v>
      </c>
      <c r="EA56" s="229">
        <v>8.3500000000000005E-2</v>
      </c>
      <c r="EB56" s="230">
        <v>114500</v>
      </c>
      <c r="EC56" s="229">
        <v>5.4000000000000003E-3</v>
      </c>
      <c r="ED56" s="229">
        <v>8.3500000000000005E-2</v>
      </c>
      <c r="EE56" s="228">
        <v>101.3</v>
      </c>
      <c r="EF56" s="229">
        <v>6.0000000000000001E-3</v>
      </c>
      <c r="EG56" s="230">
        <v>62981</v>
      </c>
      <c r="EH56" s="230">
        <v>72580</v>
      </c>
      <c r="EI56" s="229">
        <v>-0.1323</v>
      </c>
      <c r="EJ56" s="229">
        <v>0.3579</v>
      </c>
      <c r="EK56" s="231">
        <v>2876.4</v>
      </c>
      <c r="EL56" s="231">
        <v>1446.92</v>
      </c>
      <c r="EM56" s="228">
        <v>625.47</v>
      </c>
      <c r="EN56" s="228">
        <v>85.17</v>
      </c>
      <c r="EO56" s="231">
        <v>4948.78</v>
      </c>
      <c r="EP56" s="231">
        <v>7949.26</v>
      </c>
      <c r="EQ56" s="231">
        <v>-3000.49</v>
      </c>
      <c r="ER56" s="229">
        <v>-0.3775</v>
      </c>
      <c r="ES56" s="231">
        <v>2225.23</v>
      </c>
      <c r="ET56" s="231">
        <v>1312.23</v>
      </c>
      <c r="EU56" s="231">
        <v>2586.31</v>
      </c>
      <c r="EV56" s="231">
        <v>6445442</v>
      </c>
      <c r="EW56" s="231">
        <v>6123.78</v>
      </c>
      <c r="EX56" s="231">
        <v>6070.31</v>
      </c>
      <c r="EY56" s="228">
        <v>53.47</v>
      </c>
      <c r="EZ56" s="229">
        <v>8.8000000000000005E-3</v>
      </c>
      <c r="FA56" s="229">
        <v>0.55520000000000003</v>
      </c>
      <c r="FB56" s="227" t="s">
        <v>555</v>
      </c>
      <c r="FC56">
        <f t="shared" si="0"/>
        <v>216</v>
      </c>
    </row>
    <row r="57" spans="1:159" ht="17.25" thickBot="1" x14ac:dyDescent="0.3">
      <c r="A57" s="226">
        <v>45946</v>
      </c>
      <c r="B57" s="227" t="s">
        <v>206</v>
      </c>
      <c r="C57" s="227" t="s">
        <v>207</v>
      </c>
      <c r="D57" s="228">
        <v>825</v>
      </c>
      <c r="E57" s="228">
        <v>12</v>
      </c>
      <c r="F57" s="228">
        <v>770.7</v>
      </c>
      <c r="G57" s="228">
        <v>757.65</v>
      </c>
      <c r="H57" s="228">
        <v>13.05</v>
      </c>
      <c r="I57" s="229">
        <v>1.72E-2</v>
      </c>
      <c r="J57" s="228">
        <v>769.7</v>
      </c>
      <c r="K57" s="228">
        <v>756.3</v>
      </c>
      <c r="L57" s="228">
        <v>13.4</v>
      </c>
      <c r="M57" s="229">
        <v>1.77E-2</v>
      </c>
      <c r="N57" s="228">
        <v>770.7</v>
      </c>
      <c r="O57" s="228">
        <v>757.65</v>
      </c>
      <c r="P57" s="228">
        <v>13.05</v>
      </c>
      <c r="Q57" s="229">
        <v>1.72E-2</v>
      </c>
      <c r="R57" s="228">
        <v>774.65</v>
      </c>
      <c r="S57" s="228">
        <v>761.8</v>
      </c>
      <c r="T57" s="228">
        <v>12.85</v>
      </c>
      <c r="U57" s="229">
        <v>1.6899999999999998E-2</v>
      </c>
      <c r="V57" s="228">
        <v>778.85</v>
      </c>
      <c r="W57" s="228">
        <v>766</v>
      </c>
      <c r="X57" s="228">
        <v>12.85</v>
      </c>
      <c r="Y57" s="229">
        <v>1.6799999999999999E-2</v>
      </c>
      <c r="Z57" s="228">
        <v>1</v>
      </c>
      <c r="AA57" s="228">
        <v>1.35</v>
      </c>
      <c r="AB57" s="228">
        <v>-0.35</v>
      </c>
      <c r="AC57" s="229">
        <v>1.2999999999999999E-3</v>
      </c>
      <c r="AD57" s="228">
        <v>1</v>
      </c>
      <c r="AE57" s="228">
        <v>1.35</v>
      </c>
      <c r="AF57" s="228">
        <v>-0.35</v>
      </c>
      <c r="AG57" s="229">
        <v>1.2999999999999999E-3</v>
      </c>
      <c r="AH57" s="228">
        <v>4.95</v>
      </c>
      <c r="AI57" s="228">
        <v>5.5</v>
      </c>
      <c r="AJ57" s="228">
        <v>-0.55000000000000004</v>
      </c>
      <c r="AK57" s="229">
        <v>6.4000000000000003E-3</v>
      </c>
      <c r="AL57" s="228">
        <v>9.15</v>
      </c>
      <c r="AM57" s="228">
        <v>9.6999999999999993</v>
      </c>
      <c r="AN57" s="228">
        <v>-0.55000000000000004</v>
      </c>
      <c r="AO57" s="229">
        <v>1.1900000000000001E-2</v>
      </c>
      <c r="AP57" s="228">
        <v>767.33</v>
      </c>
      <c r="AQ57" s="228">
        <v>770.53</v>
      </c>
      <c r="AR57" s="228">
        <v>0</v>
      </c>
      <c r="AS57" s="228">
        <v>520</v>
      </c>
      <c r="AT57" s="228">
        <v>747</v>
      </c>
      <c r="AU57" s="228">
        <v>-227</v>
      </c>
      <c r="AV57" s="229">
        <v>-0.30370000000000003</v>
      </c>
      <c r="AW57" s="228">
        <v>465</v>
      </c>
      <c r="AX57" s="228">
        <v>689</v>
      </c>
      <c r="AY57" s="228">
        <v>-224</v>
      </c>
      <c r="AZ57" s="229">
        <v>-0.32500000000000001</v>
      </c>
      <c r="BA57" s="228">
        <v>50</v>
      </c>
      <c r="BB57" s="228">
        <v>52</v>
      </c>
      <c r="BC57" s="228">
        <v>-2</v>
      </c>
      <c r="BD57" s="229">
        <v>-4.4999999999999998E-2</v>
      </c>
      <c r="BE57" s="228">
        <v>5</v>
      </c>
      <c r="BF57" s="228">
        <v>6</v>
      </c>
      <c r="BG57" s="228">
        <v>-1</v>
      </c>
      <c r="BH57" s="229">
        <v>-0.12239999999999999</v>
      </c>
      <c r="BI57" s="230">
        <v>1984</v>
      </c>
      <c r="BJ57" s="230">
        <v>3083</v>
      </c>
      <c r="BK57" s="230">
        <v>-1099</v>
      </c>
      <c r="BL57" s="229">
        <v>-0.35639999999999999</v>
      </c>
      <c r="BM57" s="228">
        <v>818</v>
      </c>
      <c r="BN57" s="230">
        <v>1388</v>
      </c>
      <c r="BO57" s="228">
        <v>-570</v>
      </c>
      <c r="BP57" s="229">
        <v>-0.41049999999999998</v>
      </c>
      <c r="BQ57" s="230">
        <v>3323</v>
      </c>
      <c r="BR57" s="230">
        <v>5219</v>
      </c>
      <c r="BS57" s="230">
        <v>-1896</v>
      </c>
      <c r="BT57" s="229">
        <v>-0.36330000000000001</v>
      </c>
      <c r="BU57" s="230">
        <v>2645930</v>
      </c>
      <c r="BV57" s="230">
        <v>3459198</v>
      </c>
      <c r="BW57" s="230">
        <v>-813268</v>
      </c>
      <c r="BX57" s="229">
        <v>-0.2351</v>
      </c>
      <c r="BY57" s="230">
        <v>2941</v>
      </c>
      <c r="BZ57" s="230">
        <v>3012</v>
      </c>
      <c r="CA57" s="228">
        <v>-71</v>
      </c>
      <c r="CB57" s="229">
        <v>-2.3699999999999999E-2</v>
      </c>
      <c r="CC57" s="230">
        <v>2810</v>
      </c>
      <c r="CD57" s="230">
        <v>2890</v>
      </c>
      <c r="CE57" s="228">
        <v>-79</v>
      </c>
      <c r="CF57" s="229">
        <v>-2.75E-2</v>
      </c>
      <c r="CG57" s="228">
        <v>123</v>
      </c>
      <c r="CH57" s="228">
        <v>117</v>
      </c>
      <c r="CI57" s="228">
        <v>6</v>
      </c>
      <c r="CJ57" s="229">
        <v>5.2900000000000003E-2</v>
      </c>
      <c r="CK57" s="228">
        <v>8</v>
      </c>
      <c r="CL57" s="228">
        <v>6</v>
      </c>
      <c r="CM57" s="228">
        <v>2</v>
      </c>
      <c r="CN57" s="229">
        <v>0.28870000000000001</v>
      </c>
      <c r="CO57" s="230">
        <v>1129</v>
      </c>
      <c r="CP57" s="230">
        <v>1149</v>
      </c>
      <c r="CQ57" s="228">
        <v>-20</v>
      </c>
      <c r="CR57" s="229">
        <v>-1.7500000000000002E-2</v>
      </c>
      <c r="CS57" s="228">
        <v>792</v>
      </c>
      <c r="CT57" s="228">
        <v>791</v>
      </c>
      <c r="CU57" s="228">
        <v>1</v>
      </c>
      <c r="CV57" s="229">
        <v>1.4E-3</v>
      </c>
      <c r="CW57" s="230">
        <v>4862</v>
      </c>
      <c r="CX57" s="230">
        <v>4953</v>
      </c>
      <c r="CY57" s="228">
        <v>-90</v>
      </c>
      <c r="CZ57" s="229">
        <v>-1.83E-2</v>
      </c>
      <c r="DA57" s="228">
        <v>24.99</v>
      </c>
      <c r="DB57" s="228">
        <v>26.33</v>
      </c>
      <c r="DC57" s="228">
        <v>-1.34</v>
      </c>
      <c r="DD57" s="228">
        <v>-1.34</v>
      </c>
      <c r="DE57" s="228">
        <v>36.99</v>
      </c>
      <c r="DF57" s="228">
        <v>37.01</v>
      </c>
      <c r="DG57" s="228">
        <v>-12</v>
      </c>
      <c r="DH57" s="228">
        <v>-0.02</v>
      </c>
      <c r="DI57" s="228">
        <v>24.43</v>
      </c>
      <c r="DJ57" s="228">
        <v>26.21</v>
      </c>
      <c r="DK57" s="228">
        <v>-1.78</v>
      </c>
      <c r="DL57" s="228">
        <v>-1.78</v>
      </c>
      <c r="DM57" s="228">
        <v>26.34</v>
      </c>
      <c r="DN57" s="228">
        <v>26.6</v>
      </c>
      <c r="DO57" s="228">
        <v>-0.26</v>
      </c>
      <c r="DP57" s="228">
        <v>-0.26</v>
      </c>
      <c r="DQ57" s="228">
        <v>0.7</v>
      </c>
      <c r="DR57" s="228">
        <v>0.69</v>
      </c>
      <c r="DS57" s="228">
        <v>0.01</v>
      </c>
      <c r="DT57" s="229">
        <v>1.4500000000000001E-2</v>
      </c>
      <c r="DU57" s="228">
        <v>800</v>
      </c>
      <c r="DV57" s="228">
        <v>720</v>
      </c>
      <c r="DW57" s="228">
        <v>0.41</v>
      </c>
      <c r="DX57" s="228">
        <v>0.45</v>
      </c>
      <c r="DY57" s="228">
        <v>-0.04</v>
      </c>
      <c r="DZ57" s="229">
        <v>-8.8900000000000007E-2</v>
      </c>
      <c r="EA57" s="229">
        <v>4.4400000000000002E-2</v>
      </c>
      <c r="EB57" s="230">
        <v>1592250</v>
      </c>
      <c r="EC57" s="229">
        <v>5.1000000000000004E-3</v>
      </c>
      <c r="ED57" s="229">
        <v>4.4400000000000002E-2</v>
      </c>
      <c r="EE57" s="228">
        <v>3.2</v>
      </c>
      <c r="EF57" s="229">
        <v>4.1999999999999997E-3</v>
      </c>
      <c r="EG57" s="230">
        <v>1451848</v>
      </c>
      <c r="EH57" s="230">
        <v>1430131</v>
      </c>
      <c r="EI57" s="229">
        <v>1.52E-2</v>
      </c>
      <c r="EJ57" s="229">
        <v>0.54869999999999997</v>
      </c>
      <c r="EK57" s="231">
        <v>2030.5</v>
      </c>
      <c r="EL57" s="228">
        <v>798</v>
      </c>
      <c r="EM57" s="228">
        <v>518.48</v>
      </c>
      <c r="EN57" s="228">
        <v>71.87</v>
      </c>
      <c r="EO57" s="231">
        <v>3346.97</v>
      </c>
      <c r="EP57" s="231">
        <v>5209.58</v>
      </c>
      <c r="EQ57" s="231">
        <v>-1862.61</v>
      </c>
      <c r="ER57" s="229">
        <v>-0.35749999999999998</v>
      </c>
      <c r="ES57" s="231">
        <v>1137.23</v>
      </c>
      <c r="ET57" s="228">
        <v>755.38</v>
      </c>
      <c r="EU57" s="231">
        <v>2941.67</v>
      </c>
      <c r="EV57" s="231">
        <v>83667734</v>
      </c>
      <c r="EW57" s="231">
        <v>4834.28</v>
      </c>
      <c r="EX57" s="231">
        <v>4867.78</v>
      </c>
      <c r="EY57" s="228">
        <v>-33.5</v>
      </c>
      <c r="EZ57" s="229">
        <v>-6.8999999999999999E-3</v>
      </c>
      <c r="FA57" s="229">
        <v>0.754</v>
      </c>
      <c r="FB57" s="227" t="s">
        <v>556</v>
      </c>
      <c r="FC57">
        <f t="shared" si="0"/>
        <v>131</v>
      </c>
    </row>
    <row r="58" spans="1:159" ht="17.25" thickBot="1" x14ac:dyDescent="0.3">
      <c r="A58" s="226">
        <v>45946</v>
      </c>
      <c r="B58" s="227" t="s">
        <v>615</v>
      </c>
      <c r="C58" s="227" t="s">
        <v>583</v>
      </c>
      <c r="D58" s="228">
        <v>150</v>
      </c>
      <c r="E58" s="228">
        <v>12</v>
      </c>
      <c r="F58" s="231">
        <v>4321.7</v>
      </c>
      <c r="G58" s="231">
        <v>4270.5</v>
      </c>
      <c r="H58" s="228">
        <v>51.2</v>
      </c>
      <c r="I58" s="229">
        <v>1.2E-2</v>
      </c>
      <c r="J58" s="231">
        <v>4316.1000000000004</v>
      </c>
      <c r="K58" s="231">
        <v>4259.6000000000004</v>
      </c>
      <c r="L58" s="228">
        <v>56.5</v>
      </c>
      <c r="M58" s="229">
        <v>1.3299999999999999E-2</v>
      </c>
      <c r="N58" s="231">
        <v>4321.7</v>
      </c>
      <c r="O58" s="231">
        <v>4270.5</v>
      </c>
      <c r="P58" s="228">
        <v>51.2</v>
      </c>
      <c r="Q58" s="229">
        <v>1.2E-2</v>
      </c>
      <c r="R58" s="231">
        <v>4288.3999999999996</v>
      </c>
      <c r="S58" s="231">
        <v>4239.7</v>
      </c>
      <c r="T58" s="228">
        <v>48.7</v>
      </c>
      <c r="U58" s="229">
        <v>1.15E-2</v>
      </c>
      <c r="V58" s="231">
        <v>4277.3999999999996</v>
      </c>
      <c r="W58" s="231">
        <v>4220</v>
      </c>
      <c r="X58" s="228">
        <v>57.4</v>
      </c>
      <c r="Y58" s="229">
        <v>1.3599999999999999E-2</v>
      </c>
      <c r="Z58" s="228">
        <v>5.6</v>
      </c>
      <c r="AA58" s="228">
        <v>10.9</v>
      </c>
      <c r="AB58" s="228">
        <v>-5.3</v>
      </c>
      <c r="AC58" s="229">
        <v>1.2999999999999999E-3</v>
      </c>
      <c r="AD58" s="228">
        <v>5.6</v>
      </c>
      <c r="AE58" s="228">
        <v>10.9</v>
      </c>
      <c r="AF58" s="228">
        <v>-5.3</v>
      </c>
      <c r="AG58" s="229">
        <v>1.2999999999999999E-3</v>
      </c>
      <c r="AH58" s="228">
        <v>-27.7</v>
      </c>
      <c r="AI58" s="228">
        <v>-19.899999999999999</v>
      </c>
      <c r="AJ58" s="228">
        <v>-7.8</v>
      </c>
      <c r="AK58" s="229">
        <v>-6.4000000000000003E-3</v>
      </c>
      <c r="AL58" s="228">
        <v>-38.700000000000003</v>
      </c>
      <c r="AM58" s="228">
        <v>-39.6</v>
      </c>
      <c r="AN58" s="228">
        <v>0.9</v>
      </c>
      <c r="AO58" s="229">
        <v>-8.9999999999999993E-3</v>
      </c>
      <c r="AP58" s="231">
        <v>4314.8900000000003</v>
      </c>
      <c r="AQ58" s="231">
        <v>4273.95</v>
      </c>
      <c r="AR58" s="228">
        <v>0</v>
      </c>
      <c r="AS58" s="228">
        <v>437</v>
      </c>
      <c r="AT58" s="228">
        <v>300</v>
      </c>
      <c r="AU58" s="228">
        <v>137</v>
      </c>
      <c r="AV58" s="229">
        <v>0.45500000000000002</v>
      </c>
      <c r="AW58" s="228">
        <v>338</v>
      </c>
      <c r="AX58" s="228">
        <v>235</v>
      </c>
      <c r="AY58" s="228">
        <v>103</v>
      </c>
      <c r="AZ58" s="229">
        <v>0.4375</v>
      </c>
      <c r="BA58" s="228">
        <v>93</v>
      </c>
      <c r="BB58" s="228">
        <v>63</v>
      </c>
      <c r="BC58" s="228">
        <v>30</v>
      </c>
      <c r="BD58" s="229">
        <v>0.4718</v>
      </c>
      <c r="BE58" s="228">
        <v>6</v>
      </c>
      <c r="BF58" s="228">
        <v>2</v>
      </c>
      <c r="BG58" s="228">
        <v>4</v>
      </c>
      <c r="BH58" s="229">
        <v>2.2692000000000001</v>
      </c>
      <c r="BI58" s="230">
        <v>2203</v>
      </c>
      <c r="BJ58" s="230">
        <v>1455</v>
      </c>
      <c r="BK58" s="228">
        <v>748</v>
      </c>
      <c r="BL58" s="229">
        <v>0.51419999999999999</v>
      </c>
      <c r="BM58" s="228">
        <v>761</v>
      </c>
      <c r="BN58" s="228">
        <v>492</v>
      </c>
      <c r="BO58" s="228">
        <v>269</v>
      </c>
      <c r="BP58" s="229">
        <v>0.54659999999999997</v>
      </c>
      <c r="BQ58" s="230">
        <v>3401</v>
      </c>
      <c r="BR58" s="230">
        <v>2247</v>
      </c>
      <c r="BS58" s="230">
        <v>1154</v>
      </c>
      <c r="BT58" s="229">
        <v>0.51339999999999997</v>
      </c>
      <c r="BU58" s="230">
        <v>452196</v>
      </c>
      <c r="BV58" s="230">
        <v>431874</v>
      </c>
      <c r="BW58" s="230">
        <v>20322</v>
      </c>
      <c r="BX58" s="229">
        <v>4.7100000000000003E-2</v>
      </c>
      <c r="BY58" s="230">
        <v>2911</v>
      </c>
      <c r="BZ58" s="230">
        <v>2904</v>
      </c>
      <c r="CA58" s="228">
        <v>7</v>
      </c>
      <c r="CB58" s="229">
        <v>2.3E-3</v>
      </c>
      <c r="CC58" s="230">
        <v>2641</v>
      </c>
      <c r="CD58" s="230">
        <v>2685</v>
      </c>
      <c r="CE58" s="228">
        <v>-44</v>
      </c>
      <c r="CF58" s="229">
        <v>-1.6299999999999999E-2</v>
      </c>
      <c r="CG58" s="228">
        <v>255</v>
      </c>
      <c r="CH58" s="228">
        <v>204</v>
      </c>
      <c r="CI58" s="228">
        <v>51</v>
      </c>
      <c r="CJ58" s="229">
        <v>0.25069999999999998</v>
      </c>
      <c r="CK58" s="228">
        <v>15</v>
      </c>
      <c r="CL58" s="228">
        <v>16</v>
      </c>
      <c r="CM58" s="228">
        <v>-1</v>
      </c>
      <c r="CN58" s="229">
        <v>-3.3099999999999997E-2</v>
      </c>
      <c r="CO58" s="230">
        <v>1377</v>
      </c>
      <c r="CP58" s="230">
        <v>1610</v>
      </c>
      <c r="CQ58" s="228">
        <v>-232</v>
      </c>
      <c r="CR58" s="229">
        <v>-0.14419999999999999</v>
      </c>
      <c r="CS58" s="228">
        <v>586</v>
      </c>
      <c r="CT58" s="228">
        <v>624</v>
      </c>
      <c r="CU58" s="228">
        <v>-38</v>
      </c>
      <c r="CV58" s="229">
        <v>-6.0400000000000002E-2</v>
      </c>
      <c r="CW58" s="230">
        <v>4874</v>
      </c>
      <c r="CX58" s="230">
        <v>5138</v>
      </c>
      <c r="CY58" s="228">
        <v>-263</v>
      </c>
      <c r="CZ58" s="229">
        <v>-5.1200000000000002E-2</v>
      </c>
      <c r="DA58" s="228">
        <v>25.25</v>
      </c>
      <c r="DB58" s="228">
        <v>25.98</v>
      </c>
      <c r="DC58" s="228">
        <v>-0.73</v>
      </c>
      <c r="DD58" s="228">
        <v>-0.73</v>
      </c>
      <c r="DE58" s="228">
        <v>32.840000000000003</v>
      </c>
      <c r="DF58" s="228">
        <v>32.880000000000003</v>
      </c>
      <c r="DG58" s="228">
        <v>-7.59</v>
      </c>
      <c r="DH58" s="228">
        <v>-0.04</v>
      </c>
      <c r="DI58" s="228">
        <v>25.64</v>
      </c>
      <c r="DJ58" s="228">
        <v>26.3</v>
      </c>
      <c r="DK58" s="228">
        <v>-0.66</v>
      </c>
      <c r="DL58" s="228">
        <v>-0.66</v>
      </c>
      <c r="DM58" s="228">
        <v>24.11</v>
      </c>
      <c r="DN58" s="228">
        <v>25.03</v>
      </c>
      <c r="DO58" s="228">
        <v>-0.92</v>
      </c>
      <c r="DP58" s="228">
        <v>-0.92</v>
      </c>
      <c r="DQ58" s="228">
        <v>0.43</v>
      </c>
      <c r="DR58" s="228">
        <v>0.39</v>
      </c>
      <c r="DS58" s="228">
        <v>0.04</v>
      </c>
      <c r="DT58" s="229">
        <v>0.1026</v>
      </c>
      <c r="DU58" s="231">
        <v>4700</v>
      </c>
      <c r="DV58" s="231">
        <v>4200</v>
      </c>
      <c r="DW58" s="228">
        <v>0.35</v>
      </c>
      <c r="DX58" s="228">
        <v>0.34</v>
      </c>
      <c r="DY58" s="228">
        <v>0.01</v>
      </c>
      <c r="DZ58" s="229">
        <v>2.9399999999999999E-2</v>
      </c>
      <c r="EA58" s="229">
        <v>9.2799999999999994E-2</v>
      </c>
      <c r="EB58" s="230">
        <v>507750</v>
      </c>
      <c r="EC58" s="229">
        <v>-7.7000000000000002E-3</v>
      </c>
      <c r="ED58" s="229">
        <v>9.2799999999999994E-2</v>
      </c>
      <c r="EE58" s="228">
        <v>-40.94</v>
      </c>
      <c r="EF58" s="229">
        <v>-9.4999999999999998E-3</v>
      </c>
      <c r="EG58" s="230">
        <v>236802</v>
      </c>
      <c r="EH58" s="230">
        <v>280978</v>
      </c>
      <c r="EI58" s="229">
        <v>-0.15720000000000001</v>
      </c>
      <c r="EJ58" s="229">
        <v>0.52370000000000005</v>
      </c>
      <c r="EK58" s="231">
        <v>2299.4299999999998</v>
      </c>
      <c r="EL58" s="228">
        <v>743.92</v>
      </c>
      <c r="EM58" s="228">
        <v>435.36</v>
      </c>
      <c r="EN58" s="228">
        <v>64.12</v>
      </c>
      <c r="EO58" s="231">
        <v>3478.7</v>
      </c>
      <c r="EP58" s="231">
        <v>2276.83</v>
      </c>
      <c r="EQ58" s="231">
        <v>1201.8699999999999</v>
      </c>
      <c r="ER58" s="229">
        <v>0.52790000000000004</v>
      </c>
      <c r="ES58" s="231">
        <v>1460.49</v>
      </c>
      <c r="ET58" s="228">
        <v>568.54999999999995</v>
      </c>
      <c r="EU58" s="231">
        <v>2908.68</v>
      </c>
      <c r="EV58" s="231">
        <v>22136392</v>
      </c>
      <c r="EW58" s="231">
        <v>4937.71</v>
      </c>
      <c r="EX58" s="231">
        <v>5173.04</v>
      </c>
      <c r="EY58" s="228">
        <v>-235.33</v>
      </c>
      <c r="EZ58" s="229">
        <v>-4.5499999999999999E-2</v>
      </c>
      <c r="FA58" s="229">
        <v>0.50949999999999995</v>
      </c>
      <c r="FB58" s="227" t="s">
        <v>555</v>
      </c>
      <c r="FC58">
        <f t="shared" si="0"/>
        <v>270</v>
      </c>
    </row>
    <row r="59" spans="1:159" ht="17.25" thickBot="1" x14ac:dyDescent="0.3">
      <c r="A59" s="226">
        <v>45946</v>
      </c>
      <c r="B59" s="227" t="s">
        <v>170</v>
      </c>
      <c r="C59" s="227" t="s">
        <v>208</v>
      </c>
      <c r="D59" s="228">
        <v>625</v>
      </c>
      <c r="E59" s="228">
        <v>12</v>
      </c>
      <c r="F59" s="231">
        <v>1245.3</v>
      </c>
      <c r="G59" s="231">
        <v>1237.9000000000001</v>
      </c>
      <c r="H59" s="228">
        <v>7.4</v>
      </c>
      <c r="I59" s="229">
        <v>6.0000000000000001E-3</v>
      </c>
      <c r="J59" s="231">
        <v>1240.2</v>
      </c>
      <c r="K59" s="231">
        <v>1232.4000000000001</v>
      </c>
      <c r="L59" s="228">
        <v>7.8</v>
      </c>
      <c r="M59" s="229">
        <v>6.3E-3</v>
      </c>
      <c r="N59" s="231">
        <v>1245.3</v>
      </c>
      <c r="O59" s="231">
        <v>1237.9000000000001</v>
      </c>
      <c r="P59" s="228">
        <v>7.4</v>
      </c>
      <c r="Q59" s="229">
        <v>6.0000000000000001E-3</v>
      </c>
      <c r="R59" s="231">
        <v>1249.8</v>
      </c>
      <c r="S59" s="231">
        <v>1242.9000000000001</v>
      </c>
      <c r="T59" s="228">
        <v>6.9</v>
      </c>
      <c r="U59" s="229">
        <v>5.5999999999999999E-3</v>
      </c>
      <c r="V59" s="231">
        <v>1254.4000000000001</v>
      </c>
      <c r="W59" s="231">
        <v>1246</v>
      </c>
      <c r="X59" s="228">
        <v>8.4</v>
      </c>
      <c r="Y59" s="229">
        <v>6.7000000000000002E-3</v>
      </c>
      <c r="Z59" s="228">
        <v>5.0999999999999996</v>
      </c>
      <c r="AA59" s="228">
        <v>5.5</v>
      </c>
      <c r="AB59" s="228">
        <v>-0.4</v>
      </c>
      <c r="AC59" s="229">
        <v>4.1000000000000003E-3</v>
      </c>
      <c r="AD59" s="228">
        <v>5.0999999999999996</v>
      </c>
      <c r="AE59" s="228">
        <v>5.5</v>
      </c>
      <c r="AF59" s="228">
        <v>-0.4</v>
      </c>
      <c r="AG59" s="229">
        <v>4.1000000000000003E-3</v>
      </c>
      <c r="AH59" s="228">
        <v>9.6</v>
      </c>
      <c r="AI59" s="228">
        <v>10.5</v>
      </c>
      <c r="AJ59" s="228">
        <v>-0.9</v>
      </c>
      <c r="AK59" s="229">
        <v>7.7000000000000002E-3</v>
      </c>
      <c r="AL59" s="228">
        <v>14.2</v>
      </c>
      <c r="AM59" s="228">
        <v>13.6</v>
      </c>
      <c r="AN59" s="228">
        <v>0.6</v>
      </c>
      <c r="AO59" s="229">
        <v>1.14E-2</v>
      </c>
      <c r="AP59" s="231">
        <v>1242.1199999999999</v>
      </c>
      <c r="AQ59" s="231">
        <v>1244.6199999999999</v>
      </c>
      <c r="AR59" s="228">
        <v>0</v>
      </c>
      <c r="AS59" s="228">
        <v>219</v>
      </c>
      <c r="AT59" s="228">
        <v>209</v>
      </c>
      <c r="AU59" s="228">
        <v>9</v>
      </c>
      <c r="AV59" s="229">
        <v>4.4999999999999998E-2</v>
      </c>
      <c r="AW59" s="228">
        <v>172</v>
      </c>
      <c r="AX59" s="228">
        <v>181</v>
      </c>
      <c r="AY59" s="228">
        <v>-9</v>
      </c>
      <c r="AZ59" s="229">
        <v>-5.16E-2</v>
      </c>
      <c r="BA59" s="228">
        <v>46</v>
      </c>
      <c r="BB59" s="228">
        <v>27</v>
      </c>
      <c r="BC59" s="228">
        <v>20</v>
      </c>
      <c r="BD59" s="229">
        <v>0.72750000000000004</v>
      </c>
      <c r="BE59" s="228">
        <v>1</v>
      </c>
      <c r="BF59" s="228">
        <v>1</v>
      </c>
      <c r="BG59" s="228">
        <v>-1</v>
      </c>
      <c r="BH59" s="229">
        <v>-0.52629999999999999</v>
      </c>
      <c r="BI59" s="228">
        <v>362</v>
      </c>
      <c r="BJ59" s="228">
        <v>464</v>
      </c>
      <c r="BK59" s="228">
        <v>-103</v>
      </c>
      <c r="BL59" s="229">
        <v>-0.22170000000000001</v>
      </c>
      <c r="BM59" s="228">
        <v>157</v>
      </c>
      <c r="BN59" s="228">
        <v>254</v>
      </c>
      <c r="BO59" s="228">
        <v>-97</v>
      </c>
      <c r="BP59" s="229">
        <v>-0.38319999999999999</v>
      </c>
      <c r="BQ59" s="228">
        <v>737</v>
      </c>
      <c r="BR59" s="228">
        <v>928</v>
      </c>
      <c r="BS59" s="228">
        <v>-191</v>
      </c>
      <c r="BT59" s="229">
        <v>-0.20569999999999999</v>
      </c>
      <c r="BU59" s="230">
        <v>1330482</v>
      </c>
      <c r="BV59" s="230">
        <v>2244887</v>
      </c>
      <c r="BW59" s="230">
        <v>-914405</v>
      </c>
      <c r="BX59" s="229">
        <v>-0.4073</v>
      </c>
      <c r="BY59" s="230">
        <v>1629</v>
      </c>
      <c r="BZ59" s="230">
        <v>1602</v>
      </c>
      <c r="CA59" s="228">
        <v>27</v>
      </c>
      <c r="CB59" s="229">
        <v>1.66E-2</v>
      </c>
      <c r="CC59" s="230">
        <v>1535</v>
      </c>
      <c r="CD59" s="230">
        <v>1528</v>
      </c>
      <c r="CE59" s="228">
        <v>7</v>
      </c>
      <c r="CF59" s="229">
        <v>4.7000000000000002E-3</v>
      </c>
      <c r="CG59" s="228">
        <v>88</v>
      </c>
      <c r="CH59" s="228">
        <v>69</v>
      </c>
      <c r="CI59" s="228">
        <v>19</v>
      </c>
      <c r="CJ59" s="229">
        <v>0.27350000000000002</v>
      </c>
      <c r="CK59" s="228">
        <v>6</v>
      </c>
      <c r="CL59" s="228">
        <v>5</v>
      </c>
      <c r="CM59" s="228">
        <v>0</v>
      </c>
      <c r="CN59" s="229">
        <v>7.2499999999999995E-2</v>
      </c>
      <c r="CO59" s="228">
        <v>835</v>
      </c>
      <c r="CP59" s="228">
        <v>824</v>
      </c>
      <c r="CQ59" s="228">
        <v>11</v>
      </c>
      <c r="CR59" s="229">
        <v>1.37E-2</v>
      </c>
      <c r="CS59" s="228">
        <v>407</v>
      </c>
      <c r="CT59" s="228">
        <v>404</v>
      </c>
      <c r="CU59" s="228">
        <v>3</v>
      </c>
      <c r="CV59" s="229">
        <v>6.7000000000000002E-3</v>
      </c>
      <c r="CW59" s="230">
        <v>2871</v>
      </c>
      <c r="CX59" s="230">
        <v>2830</v>
      </c>
      <c r="CY59" s="228">
        <v>41</v>
      </c>
      <c r="CZ59" s="229">
        <v>1.43E-2</v>
      </c>
      <c r="DA59" s="228">
        <v>24.55</v>
      </c>
      <c r="DB59" s="228">
        <v>26.29</v>
      </c>
      <c r="DC59" s="228">
        <v>-1.74</v>
      </c>
      <c r="DD59" s="228">
        <v>-1.74</v>
      </c>
      <c r="DE59" s="228">
        <v>24.77</v>
      </c>
      <c r="DF59" s="228">
        <v>24.82</v>
      </c>
      <c r="DG59" s="228">
        <v>-0.22</v>
      </c>
      <c r="DH59" s="228">
        <v>-0.05</v>
      </c>
      <c r="DI59" s="228">
        <v>24.21</v>
      </c>
      <c r="DJ59" s="228">
        <v>25.76</v>
      </c>
      <c r="DK59" s="228">
        <v>-1.55</v>
      </c>
      <c r="DL59" s="228">
        <v>-1.55</v>
      </c>
      <c r="DM59" s="228">
        <v>25.34</v>
      </c>
      <c r="DN59" s="228">
        <v>27.26</v>
      </c>
      <c r="DO59" s="228">
        <v>-1.92</v>
      </c>
      <c r="DP59" s="228">
        <v>-1.92</v>
      </c>
      <c r="DQ59" s="228">
        <v>0.49</v>
      </c>
      <c r="DR59" s="228">
        <v>0.49</v>
      </c>
      <c r="DS59" s="228">
        <v>0</v>
      </c>
      <c r="DT59" s="229">
        <v>0</v>
      </c>
      <c r="DU59" s="231">
        <v>1260</v>
      </c>
      <c r="DV59" s="231">
        <v>1240</v>
      </c>
      <c r="DW59" s="228">
        <v>0.43</v>
      </c>
      <c r="DX59" s="228">
        <v>0.55000000000000004</v>
      </c>
      <c r="DY59" s="228">
        <v>-0.12</v>
      </c>
      <c r="DZ59" s="229">
        <v>-0.21820000000000001</v>
      </c>
      <c r="EA59" s="229">
        <v>5.7799999999999997E-2</v>
      </c>
      <c r="EB59" s="230">
        <v>600625</v>
      </c>
      <c r="EC59" s="229">
        <v>3.5999999999999999E-3</v>
      </c>
      <c r="ED59" s="229">
        <v>5.7799999999999997E-2</v>
      </c>
      <c r="EE59" s="228">
        <v>2.5</v>
      </c>
      <c r="EF59" s="229">
        <v>2E-3</v>
      </c>
      <c r="EG59" s="230">
        <v>947361</v>
      </c>
      <c r="EH59" s="230">
        <v>1600545</v>
      </c>
      <c r="EI59" s="229">
        <v>-0.40810000000000002</v>
      </c>
      <c r="EJ59" s="229">
        <v>0.71199999999999997</v>
      </c>
      <c r="EK59" s="228">
        <v>372.34</v>
      </c>
      <c r="EL59" s="228">
        <v>156.51</v>
      </c>
      <c r="EM59" s="228">
        <v>218.4</v>
      </c>
      <c r="EN59" s="228">
        <v>37.68</v>
      </c>
      <c r="EO59" s="228">
        <v>747.25</v>
      </c>
      <c r="EP59" s="228">
        <v>940.16</v>
      </c>
      <c r="EQ59" s="228">
        <v>-192.91</v>
      </c>
      <c r="ER59" s="229">
        <v>-0.20519999999999999</v>
      </c>
      <c r="ES59" s="228">
        <v>876.65</v>
      </c>
      <c r="ET59" s="228">
        <v>395.19</v>
      </c>
      <c r="EU59" s="231">
        <v>1629.21</v>
      </c>
      <c r="EV59" s="231">
        <v>61006521</v>
      </c>
      <c r="EW59" s="231">
        <v>2901.06</v>
      </c>
      <c r="EX59" s="231">
        <v>2850.99</v>
      </c>
      <c r="EY59" s="228">
        <v>50.07</v>
      </c>
      <c r="EZ59" s="229">
        <v>1.7600000000000001E-2</v>
      </c>
      <c r="FA59" s="229">
        <v>0.37790000000000001</v>
      </c>
      <c r="FB59" s="227" t="s">
        <v>555</v>
      </c>
      <c r="FC59">
        <f t="shared" si="0"/>
        <v>94</v>
      </c>
    </row>
    <row r="60" spans="1:159" ht="17.25" thickBot="1" x14ac:dyDescent="0.3">
      <c r="A60" s="226">
        <v>45946</v>
      </c>
      <c r="B60" s="227" t="s">
        <v>162</v>
      </c>
      <c r="C60" s="227" t="s">
        <v>209</v>
      </c>
      <c r="D60" s="228">
        <v>175</v>
      </c>
      <c r="E60" s="228">
        <v>12</v>
      </c>
      <c r="F60" s="231">
        <v>7014.5</v>
      </c>
      <c r="G60" s="231">
        <v>6925</v>
      </c>
      <c r="H60" s="228">
        <v>89.5</v>
      </c>
      <c r="I60" s="229">
        <v>1.29E-2</v>
      </c>
      <c r="J60" s="231">
        <v>6988</v>
      </c>
      <c r="K60" s="231">
        <v>6895</v>
      </c>
      <c r="L60" s="228">
        <v>93</v>
      </c>
      <c r="M60" s="229">
        <v>1.35E-2</v>
      </c>
      <c r="N60" s="231">
        <v>7014.5</v>
      </c>
      <c r="O60" s="231">
        <v>6925</v>
      </c>
      <c r="P60" s="228">
        <v>89.5</v>
      </c>
      <c r="Q60" s="229">
        <v>1.29E-2</v>
      </c>
      <c r="R60" s="231">
        <v>7056</v>
      </c>
      <c r="S60" s="231">
        <v>6963</v>
      </c>
      <c r="T60" s="228">
        <v>93</v>
      </c>
      <c r="U60" s="229">
        <v>1.34E-2</v>
      </c>
      <c r="V60" s="231">
        <v>7090</v>
      </c>
      <c r="W60" s="231">
        <v>7004</v>
      </c>
      <c r="X60" s="228">
        <v>86</v>
      </c>
      <c r="Y60" s="229">
        <v>1.23E-2</v>
      </c>
      <c r="Z60" s="228">
        <v>26.5</v>
      </c>
      <c r="AA60" s="228">
        <v>30</v>
      </c>
      <c r="AB60" s="228">
        <v>-3.5</v>
      </c>
      <c r="AC60" s="229">
        <v>3.8E-3</v>
      </c>
      <c r="AD60" s="228">
        <v>26.5</v>
      </c>
      <c r="AE60" s="228">
        <v>30</v>
      </c>
      <c r="AF60" s="228">
        <v>-3.5</v>
      </c>
      <c r="AG60" s="229">
        <v>3.8E-3</v>
      </c>
      <c r="AH60" s="228">
        <v>68</v>
      </c>
      <c r="AI60" s="228">
        <v>68</v>
      </c>
      <c r="AJ60" s="228">
        <v>0</v>
      </c>
      <c r="AK60" s="229">
        <v>9.7000000000000003E-3</v>
      </c>
      <c r="AL60" s="228">
        <v>102</v>
      </c>
      <c r="AM60" s="228">
        <v>109</v>
      </c>
      <c r="AN60" s="228">
        <v>-7</v>
      </c>
      <c r="AO60" s="229">
        <v>1.46E-2</v>
      </c>
      <c r="AP60" s="231">
        <v>7006.62</v>
      </c>
      <c r="AQ60" s="231">
        <v>7044.91</v>
      </c>
      <c r="AR60" s="228">
        <v>0</v>
      </c>
      <c r="AS60" s="228">
        <v>348</v>
      </c>
      <c r="AT60" s="228">
        <v>284</v>
      </c>
      <c r="AU60" s="228">
        <v>64</v>
      </c>
      <c r="AV60" s="229">
        <v>0.22639999999999999</v>
      </c>
      <c r="AW60" s="228">
        <v>313</v>
      </c>
      <c r="AX60" s="228">
        <v>253</v>
      </c>
      <c r="AY60" s="228">
        <v>59</v>
      </c>
      <c r="AZ60" s="229">
        <v>0.2334</v>
      </c>
      <c r="BA60" s="228">
        <v>31</v>
      </c>
      <c r="BB60" s="228">
        <v>28</v>
      </c>
      <c r="BC60" s="228">
        <v>3</v>
      </c>
      <c r="BD60" s="229">
        <v>0.1082</v>
      </c>
      <c r="BE60" s="228">
        <v>4</v>
      </c>
      <c r="BF60" s="228">
        <v>2</v>
      </c>
      <c r="BG60" s="228">
        <v>2</v>
      </c>
      <c r="BH60" s="229">
        <v>1.1429</v>
      </c>
      <c r="BI60" s="230">
        <v>3051</v>
      </c>
      <c r="BJ60" s="230">
        <v>1391</v>
      </c>
      <c r="BK60" s="230">
        <v>1660</v>
      </c>
      <c r="BL60" s="229">
        <v>1.1936</v>
      </c>
      <c r="BM60" s="230">
        <v>1122</v>
      </c>
      <c r="BN60" s="228">
        <v>716</v>
      </c>
      <c r="BO60" s="228">
        <v>406</v>
      </c>
      <c r="BP60" s="229">
        <v>0.56689999999999996</v>
      </c>
      <c r="BQ60" s="230">
        <v>4521</v>
      </c>
      <c r="BR60" s="230">
        <v>2391</v>
      </c>
      <c r="BS60" s="230">
        <v>2130</v>
      </c>
      <c r="BT60" s="229">
        <v>0.89119999999999999</v>
      </c>
      <c r="BU60" s="230">
        <v>325805</v>
      </c>
      <c r="BV60" s="230">
        <v>239149</v>
      </c>
      <c r="BW60" s="230">
        <v>86656</v>
      </c>
      <c r="BX60" s="229">
        <v>0.3624</v>
      </c>
      <c r="BY60" s="230">
        <v>2407</v>
      </c>
      <c r="BZ60" s="230">
        <v>2444</v>
      </c>
      <c r="CA60" s="228">
        <v>-37</v>
      </c>
      <c r="CB60" s="229">
        <v>-1.52E-2</v>
      </c>
      <c r="CC60" s="230">
        <v>2323</v>
      </c>
      <c r="CD60" s="230">
        <v>2365</v>
      </c>
      <c r="CE60" s="228">
        <v>-43</v>
      </c>
      <c r="CF60" s="229">
        <v>-1.8100000000000002E-2</v>
      </c>
      <c r="CG60" s="228">
        <v>73</v>
      </c>
      <c r="CH60" s="228">
        <v>66</v>
      </c>
      <c r="CI60" s="228">
        <v>6</v>
      </c>
      <c r="CJ60" s="229">
        <v>9.6299999999999997E-2</v>
      </c>
      <c r="CK60" s="228">
        <v>12</v>
      </c>
      <c r="CL60" s="228">
        <v>12</v>
      </c>
      <c r="CM60" s="228">
        <v>-1</v>
      </c>
      <c r="CN60" s="229">
        <v>-0.06</v>
      </c>
      <c r="CO60" s="230">
        <v>1455</v>
      </c>
      <c r="CP60" s="230">
        <v>1578</v>
      </c>
      <c r="CQ60" s="228">
        <v>-123</v>
      </c>
      <c r="CR60" s="229">
        <v>-7.7799999999999994E-2</v>
      </c>
      <c r="CS60" s="230">
        <v>1097</v>
      </c>
      <c r="CT60" s="230">
        <v>1084</v>
      </c>
      <c r="CU60" s="228">
        <v>13</v>
      </c>
      <c r="CV60" s="229">
        <v>1.1900000000000001E-2</v>
      </c>
      <c r="CW60" s="230">
        <v>4959</v>
      </c>
      <c r="CX60" s="230">
        <v>5106</v>
      </c>
      <c r="CY60" s="228">
        <v>-147</v>
      </c>
      <c r="CZ60" s="229">
        <v>-2.8799999999999999E-2</v>
      </c>
      <c r="DA60" s="228">
        <v>20.52</v>
      </c>
      <c r="DB60" s="228">
        <v>21.35</v>
      </c>
      <c r="DC60" s="228">
        <v>-0.83</v>
      </c>
      <c r="DD60" s="228">
        <v>-0.83</v>
      </c>
      <c r="DE60" s="228">
        <v>28.02</v>
      </c>
      <c r="DF60" s="228">
        <v>28.03</v>
      </c>
      <c r="DG60" s="228">
        <v>-7.5</v>
      </c>
      <c r="DH60" s="228">
        <v>-0.01</v>
      </c>
      <c r="DI60" s="228">
        <v>20.21</v>
      </c>
      <c r="DJ60" s="228">
        <v>21.27</v>
      </c>
      <c r="DK60" s="228">
        <v>-1.06</v>
      </c>
      <c r="DL60" s="228">
        <v>-1.06</v>
      </c>
      <c r="DM60" s="228">
        <v>21.36</v>
      </c>
      <c r="DN60" s="228">
        <v>21.52</v>
      </c>
      <c r="DO60" s="228">
        <v>-0.16</v>
      </c>
      <c r="DP60" s="228">
        <v>-0.16</v>
      </c>
      <c r="DQ60" s="228">
        <v>0.75</v>
      </c>
      <c r="DR60" s="228">
        <v>0.69</v>
      </c>
      <c r="DS60" s="228">
        <v>0.06</v>
      </c>
      <c r="DT60" s="229">
        <v>8.6999999999999994E-2</v>
      </c>
      <c r="DU60" s="231">
        <v>7000</v>
      </c>
      <c r="DV60" s="231">
        <v>6500</v>
      </c>
      <c r="DW60" s="228">
        <v>0.37</v>
      </c>
      <c r="DX60" s="228">
        <v>0.51</v>
      </c>
      <c r="DY60" s="228">
        <v>-0.14000000000000001</v>
      </c>
      <c r="DZ60" s="229">
        <v>-0.27450000000000002</v>
      </c>
      <c r="EA60" s="229">
        <v>3.5000000000000003E-2</v>
      </c>
      <c r="EB60" s="230">
        <v>112000</v>
      </c>
      <c r="EC60" s="229">
        <v>5.8999999999999999E-3</v>
      </c>
      <c r="ED60" s="229">
        <v>3.5000000000000003E-2</v>
      </c>
      <c r="EE60" s="228">
        <v>38.29</v>
      </c>
      <c r="EF60" s="229">
        <v>5.4999999999999997E-3</v>
      </c>
      <c r="EG60" s="230">
        <v>173435</v>
      </c>
      <c r="EH60" s="230">
        <v>146654</v>
      </c>
      <c r="EI60" s="229">
        <v>0.18260000000000001</v>
      </c>
      <c r="EJ60" s="229">
        <v>0.5323</v>
      </c>
      <c r="EK60" s="231">
        <v>3120.94</v>
      </c>
      <c r="EL60" s="231">
        <v>1103.6400000000001</v>
      </c>
      <c r="EM60" s="228">
        <v>347.59</v>
      </c>
      <c r="EN60" s="228">
        <v>31.81</v>
      </c>
      <c r="EO60" s="231">
        <v>4572.17</v>
      </c>
      <c r="EP60" s="231">
        <v>2397.83</v>
      </c>
      <c r="EQ60" s="231">
        <v>2174.33</v>
      </c>
      <c r="ER60" s="229">
        <v>0.90680000000000005</v>
      </c>
      <c r="ES60" s="231">
        <v>1497.84</v>
      </c>
      <c r="ET60" s="231">
        <v>1032.72</v>
      </c>
      <c r="EU60" s="231">
        <v>2407.5100000000002</v>
      </c>
      <c r="EV60" s="231">
        <v>20353850</v>
      </c>
      <c r="EW60" s="231">
        <v>4938.07</v>
      </c>
      <c r="EX60" s="231">
        <v>5055.82</v>
      </c>
      <c r="EY60" s="228">
        <v>-117.75</v>
      </c>
      <c r="EZ60" s="229">
        <v>-2.3300000000000001E-2</v>
      </c>
      <c r="FA60" s="229">
        <v>0.3473</v>
      </c>
      <c r="FB60" s="227" t="s">
        <v>556</v>
      </c>
      <c r="FC60">
        <f t="shared" si="0"/>
        <v>84</v>
      </c>
    </row>
    <row r="61" spans="1:159" ht="17.25" thickBot="1" x14ac:dyDescent="0.3">
      <c r="A61" s="226">
        <v>45946</v>
      </c>
      <c r="B61" s="227" t="s">
        <v>615</v>
      </c>
      <c r="C61" s="227" t="s">
        <v>668</v>
      </c>
      <c r="D61" s="228">
        <v>2425</v>
      </c>
      <c r="E61" s="228">
        <v>12</v>
      </c>
      <c r="F61" s="228">
        <v>348.25</v>
      </c>
      <c r="G61" s="228">
        <v>355.15</v>
      </c>
      <c r="H61" s="228">
        <v>-6.9</v>
      </c>
      <c r="I61" s="229">
        <v>-1.9400000000000001E-2</v>
      </c>
      <c r="J61" s="228">
        <v>347.85</v>
      </c>
      <c r="K61" s="228">
        <v>354.35</v>
      </c>
      <c r="L61" s="228">
        <v>-6.5</v>
      </c>
      <c r="M61" s="229">
        <v>-1.83E-2</v>
      </c>
      <c r="N61" s="228">
        <v>348.25</v>
      </c>
      <c r="O61" s="228">
        <v>355.15</v>
      </c>
      <c r="P61" s="228">
        <v>-6.9</v>
      </c>
      <c r="Q61" s="229">
        <v>-1.9400000000000001E-2</v>
      </c>
      <c r="R61" s="228">
        <v>349.45</v>
      </c>
      <c r="S61" s="228">
        <v>357.15</v>
      </c>
      <c r="T61" s="228">
        <v>-7.7</v>
      </c>
      <c r="U61" s="229">
        <v>-2.1600000000000001E-2</v>
      </c>
      <c r="V61" s="228">
        <v>351.4</v>
      </c>
      <c r="W61" s="228">
        <v>359.3</v>
      </c>
      <c r="X61" s="228">
        <v>-7.9</v>
      </c>
      <c r="Y61" s="229">
        <v>-2.1999999999999999E-2</v>
      </c>
      <c r="Z61" s="228">
        <v>0.4</v>
      </c>
      <c r="AA61" s="228">
        <v>0.8</v>
      </c>
      <c r="AB61" s="228">
        <v>-0.4</v>
      </c>
      <c r="AC61" s="229">
        <v>1.1000000000000001E-3</v>
      </c>
      <c r="AD61" s="228">
        <v>0.4</v>
      </c>
      <c r="AE61" s="228">
        <v>0.8</v>
      </c>
      <c r="AF61" s="228">
        <v>-0.4</v>
      </c>
      <c r="AG61" s="229">
        <v>1.1000000000000001E-3</v>
      </c>
      <c r="AH61" s="228">
        <v>1.6</v>
      </c>
      <c r="AI61" s="228">
        <v>2.8</v>
      </c>
      <c r="AJ61" s="228">
        <v>-1.2</v>
      </c>
      <c r="AK61" s="229">
        <v>4.5999999999999999E-3</v>
      </c>
      <c r="AL61" s="228">
        <v>3.55</v>
      </c>
      <c r="AM61" s="228">
        <v>4.95</v>
      </c>
      <c r="AN61" s="228">
        <v>-1.4</v>
      </c>
      <c r="AO61" s="229">
        <v>1.0200000000000001E-2</v>
      </c>
      <c r="AP61" s="228">
        <v>352.92</v>
      </c>
      <c r="AQ61" s="228">
        <v>354.1</v>
      </c>
      <c r="AR61" s="228">
        <v>0</v>
      </c>
      <c r="AS61" s="230">
        <v>6425</v>
      </c>
      <c r="AT61" s="230">
        <v>1000</v>
      </c>
      <c r="AU61" s="230">
        <v>5426</v>
      </c>
      <c r="AV61" s="229">
        <v>5.4276</v>
      </c>
      <c r="AW61" s="230">
        <v>5706</v>
      </c>
      <c r="AX61" s="228">
        <v>898</v>
      </c>
      <c r="AY61" s="230">
        <v>4807</v>
      </c>
      <c r="AZ61" s="229">
        <v>5.351</v>
      </c>
      <c r="BA61" s="228">
        <v>668</v>
      </c>
      <c r="BB61" s="228">
        <v>89</v>
      </c>
      <c r="BC61" s="228">
        <v>579</v>
      </c>
      <c r="BD61" s="229">
        <v>6.5385999999999997</v>
      </c>
      <c r="BE61" s="228">
        <v>52</v>
      </c>
      <c r="BF61" s="228">
        <v>13</v>
      </c>
      <c r="BG61" s="228">
        <v>39</v>
      </c>
      <c r="BH61" s="229">
        <v>3.0867</v>
      </c>
      <c r="BI61" s="230">
        <v>19403</v>
      </c>
      <c r="BJ61" s="230">
        <v>3206</v>
      </c>
      <c r="BK61" s="230">
        <v>16197</v>
      </c>
      <c r="BL61" s="229">
        <v>5.0514999999999999</v>
      </c>
      <c r="BM61" s="230">
        <v>11799</v>
      </c>
      <c r="BN61" s="230">
        <v>1414</v>
      </c>
      <c r="BO61" s="230">
        <v>10385</v>
      </c>
      <c r="BP61" s="229">
        <v>7.3452999999999999</v>
      </c>
      <c r="BQ61" s="230">
        <v>37628</v>
      </c>
      <c r="BR61" s="230">
        <v>5620</v>
      </c>
      <c r="BS61" s="230">
        <v>32008</v>
      </c>
      <c r="BT61" s="229">
        <v>5.6955</v>
      </c>
      <c r="BU61" s="230">
        <v>95215964</v>
      </c>
      <c r="BV61" s="230">
        <v>32212600</v>
      </c>
      <c r="BW61" s="230">
        <v>63003364</v>
      </c>
      <c r="BX61" s="229">
        <v>1.9559</v>
      </c>
      <c r="BY61" s="230">
        <v>7651</v>
      </c>
      <c r="BZ61" s="230">
        <v>8060</v>
      </c>
      <c r="CA61" s="228">
        <v>-409</v>
      </c>
      <c r="CB61" s="229">
        <v>-5.0700000000000002E-2</v>
      </c>
      <c r="CC61" s="230">
        <v>7346</v>
      </c>
      <c r="CD61" s="230">
        <v>7908</v>
      </c>
      <c r="CE61" s="228">
        <v>-562</v>
      </c>
      <c r="CF61" s="229">
        <v>-7.1099999999999997E-2</v>
      </c>
      <c r="CG61" s="228">
        <v>277</v>
      </c>
      <c r="CH61" s="228">
        <v>131</v>
      </c>
      <c r="CI61" s="228">
        <v>146</v>
      </c>
      <c r="CJ61" s="229">
        <v>1.1134999999999999</v>
      </c>
      <c r="CK61" s="228">
        <v>29</v>
      </c>
      <c r="CL61" s="228">
        <v>21</v>
      </c>
      <c r="CM61" s="228">
        <v>8</v>
      </c>
      <c r="CN61" s="229">
        <v>0.36840000000000001</v>
      </c>
      <c r="CO61" s="230">
        <v>3147</v>
      </c>
      <c r="CP61" s="230">
        <v>2107</v>
      </c>
      <c r="CQ61" s="230">
        <v>1040</v>
      </c>
      <c r="CR61" s="229">
        <v>0.49349999999999999</v>
      </c>
      <c r="CS61" s="230">
        <v>1960</v>
      </c>
      <c r="CT61" s="230">
        <v>1487</v>
      </c>
      <c r="CU61" s="228">
        <v>473</v>
      </c>
      <c r="CV61" s="229">
        <v>0.31790000000000002</v>
      </c>
      <c r="CW61" s="230">
        <v>12758</v>
      </c>
      <c r="CX61" s="230">
        <v>11654</v>
      </c>
      <c r="CY61" s="230">
        <v>1104</v>
      </c>
      <c r="CZ61" s="229">
        <v>9.4700000000000006E-2</v>
      </c>
      <c r="DA61" s="228">
        <v>46.3</v>
      </c>
      <c r="DB61" s="228">
        <v>39.78</v>
      </c>
      <c r="DC61" s="228">
        <v>6.52</v>
      </c>
      <c r="DD61" s="228">
        <v>6.52</v>
      </c>
      <c r="DE61" s="228">
        <v>45.7</v>
      </c>
      <c r="DF61" s="228">
        <v>45.75</v>
      </c>
      <c r="DG61" s="228">
        <v>0.6</v>
      </c>
      <c r="DH61" s="228">
        <v>-0.05</v>
      </c>
      <c r="DI61" s="228">
        <v>45.42</v>
      </c>
      <c r="DJ61" s="228">
        <v>39.26</v>
      </c>
      <c r="DK61" s="228">
        <v>6.16</v>
      </c>
      <c r="DL61" s="228">
        <v>6.16</v>
      </c>
      <c r="DM61" s="228">
        <v>47.74</v>
      </c>
      <c r="DN61" s="228">
        <v>40.96</v>
      </c>
      <c r="DO61" s="228">
        <v>6.78</v>
      </c>
      <c r="DP61" s="228">
        <v>6.78</v>
      </c>
      <c r="DQ61" s="228">
        <v>0.62</v>
      </c>
      <c r="DR61" s="228">
        <v>0.71</v>
      </c>
      <c r="DS61" s="228">
        <v>-0.09</v>
      </c>
      <c r="DT61" s="229">
        <v>-0.1268</v>
      </c>
      <c r="DU61" s="228">
        <v>350</v>
      </c>
      <c r="DV61" s="228">
        <v>330</v>
      </c>
      <c r="DW61" s="228">
        <v>0.61</v>
      </c>
      <c r="DX61" s="228">
        <v>0.44</v>
      </c>
      <c r="DY61" s="228">
        <v>0.17</v>
      </c>
      <c r="DZ61" s="229">
        <v>0.38640000000000002</v>
      </c>
      <c r="EA61" s="229">
        <v>3.9899999999999998E-2</v>
      </c>
      <c r="EB61" s="230">
        <v>4360150</v>
      </c>
      <c r="EC61" s="229">
        <v>3.3999999999999998E-3</v>
      </c>
      <c r="ED61" s="229">
        <v>3.9899999999999998E-2</v>
      </c>
      <c r="EE61" s="228">
        <v>1.18</v>
      </c>
      <c r="EF61" s="229">
        <v>3.3E-3</v>
      </c>
      <c r="EG61" s="230">
        <v>31941679</v>
      </c>
      <c r="EH61" s="230">
        <v>19303667</v>
      </c>
      <c r="EI61" s="229">
        <v>0.65469999999999995</v>
      </c>
      <c r="EJ61" s="229">
        <v>0.33550000000000002</v>
      </c>
      <c r="EK61" s="231">
        <v>20868.36</v>
      </c>
      <c r="EL61" s="231">
        <v>11679.27</v>
      </c>
      <c r="EM61" s="231">
        <v>6514.4</v>
      </c>
      <c r="EN61" s="228">
        <v>97.16</v>
      </c>
      <c r="EO61" s="231">
        <v>39062.019999999997</v>
      </c>
      <c r="EP61" s="231">
        <v>5800.37</v>
      </c>
      <c r="EQ61" s="231">
        <v>33261.660000000003</v>
      </c>
      <c r="ER61" s="229">
        <v>5.7343999999999999</v>
      </c>
      <c r="ES61" s="231">
        <v>3241.94</v>
      </c>
      <c r="ET61" s="231">
        <v>1843.44</v>
      </c>
      <c r="EU61" s="231">
        <v>7652.27</v>
      </c>
      <c r="EV61" s="231">
        <v>1361988292</v>
      </c>
      <c r="EW61" s="231">
        <v>12737.65</v>
      </c>
      <c r="EX61" s="231">
        <v>11722.71</v>
      </c>
      <c r="EY61" s="231">
        <v>1014.94</v>
      </c>
      <c r="EZ61" s="229">
        <v>8.6599999999999996E-2</v>
      </c>
      <c r="FA61" s="229">
        <v>0.26900000000000002</v>
      </c>
      <c r="FB61" s="227" t="s">
        <v>568</v>
      </c>
      <c r="FC61">
        <f t="shared" si="0"/>
        <v>305</v>
      </c>
    </row>
    <row r="62" spans="1:159" ht="17.25" thickBot="1" x14ac:dyDescent="0.3">
      <c r="A62" s="226">
        <v>45946</v>
      </c>
      <c r="B62" s="227" t="s">
        <v>162</v>
      </c>
      <c r="C62" s="227" t="s">
        <v>211</v>
      </c>
      <c r="D62" s="228">
        <v>1800</v>
      </c>
      <c r="E62" s="228">
        <v>12</v>
      </c>
      <c r="F62" s="228">
        <v>398.95</v>
      </c>
      <c r="G62" s="228">
        <v>392.35</v>
      </c>
      <c r="H62" s="228">
        <v>6.6</v>
      </c>
      <c r="I62" s="229">
        <v>1.6799999999999999E-2</v>
      </c>
      <c r="J62" s="228">
        <v>397.85</v>
      </c>
      <c r="K62" s="228">
        <v>390.6</v>
      </c>
      <c r="L62" s="228">
        <v>7.25</v>
      </c>
      <c r="M62" s="229">
        <v>1.8599999999999998E-2</v>
      </c>
      <c r="N62" s="228">
        <v>398.95</v>
      </c>
      <c r="O62" s="228">
        <v>392.35</v>
      </c>
      <c r="P62" s="228">
        <v>6.6</v>
      </c>
      <c r="Q62" s="229">
        <v>1.6799999999999999E-2</v>
      </c>
      <c r="R62" s="228">
        <v>401.25</v>
      </c>
      <c r="S62" s="228">
        <v>394.4</v>
      </c>
      <c r="T62" s="228">
        <v>6.85</v>
      </c>
      <c r="U62" s="229">
        <v>1.7399999999999999E-2</v>
      </c>
      <c r="V62" s="228">
        <v>403.7</v>
      </c>
      <c r="W62" s="228">
        <v>397.25</v>
      </c>
      <c r="X62" s="228">
        <v>6.45</v>
      </c>
      <c r="Y62" s="229">
        <v>1.6199999999999999E-2</v>
      </c>
      <c r="Z62" s="228">
        <v>1.1000000000000001</v>
      </c>
      <c r="AA62" s="228">
        <v>1.75</v>
      </c>
      <c r="AB62" s="228">
        <v>-0.65</v>
      </c>
      <c r="AC62" s="229">
        <v>2.8E-3</v>
      </c>
      <c r="AD62" s="228">
        <v>1.1000000000000001</v>
      </c>
      <c r="AE62" s="228">
        <v>1.75</v>
      </c>
      <c r="AF62" s="228">
        <v>-0.65</v>
      </c>
      <c r="AG62" s="229">
        <v>2.8E-3</v>
      </c>
      <c r="AH62" s="228">
        <v>3.4</v>
      </c>
      <c r="AI62" s="228">
        <v>3.8</v>
      </c>
      <c r="AJ62" s="228">
        <v>-0.4</v>
      </c>
      <c r="AK62" s="229">
        <v>8.5000000000000006E-3</v>
      </c>
      <c r="AL62" s="228">
        <v>5.85</v>
      </c>
      <c r="AM62" s="228">
        <v>6.65</v>
      </c>
      <c r="AN62" s="228">
        <v>-0.8</v>
      </c>
      <c r="AO62" s="229">
        <v>1.47E-2</v>
      </c>
      <c r="AP62" s="228">
        <v>397.63</v>
      </c>
      <c r="AQ62" s="228">
        <v>400.31</v>
      </c>
      <c r="AR62" s="228">
        <v>0</v>
      </c>
      <c r="AS62" s="228">
        <v>220</v>
      </c>
      <c r="AT62" s="228">
        <v>127</v>
      </c>
      <c r="AU62" s="228">
        <v>93</v>
      </c>
      <c r="AV62" s="229">
        <v>0.73329999999999995</v>
      </c>
      <c r="AW62" s="228">
        <v>173</v>
      </c>
      <c r="AX62" s="228">
        <v>104</v>
      </c>
      <c r="AY62" s="228">
        <v>69</v>
      </c>
      <c r="AZ62" s="229">
        <v>0.66639999999999999</v>
      </c>
      <c r="BA62" s="228">
        <v>45</v>
      </c>
      <c r="BB62" s="228">
        <v>22</v>
      </c>
      <c r="BC62" s="228">
        <v>23</v>
      </c>
      <c r="BD62" s="229">
        <v>1.0387</v>
      </c>
      <c r="BE62" s="228">
        <v>2</v>
      </c>
      <c r="BF62" s="228">
        <v>1</v>
      </c>
      <c r="BG62" s="228">
        <v>1</v>
      </c>
      <c r="BH62" s="229">
        <v>0.91669999999999996</v>
      </c>
      <c r="BI62" s="228">
        <v>662</v>
      </c>
      <c r="BJ62" s="228">
        <v>347</v>
      </c>
      <c r="BK62" s="228">
        <v>314</v>
      </c>
      <c r="BL62" s="229">
        <v>0.90529999999999999</v>
      </c>
      <c r="BM62" s="228">
        <v>348</v>
      </c>
      <c r="BN62" s="228">
        <v>221</v>
      </c>
      <c r="BO62" s="228">
        <v>128</v>
      </c>
      <c r="BP62" s="229">
        <v>0.57720000000000005</v>
      </c>
      <c r="BQ62" s="230">
        <v>1230</v>
      </c>
      <c r="BR62" s="228">
        <v>695</v>
      </c>
      <c r="BS62" s="228">
        <v>535</v>
      </c>
      <c r="BT62" s="229">
        <v>0.76959999999999995</v>
      </c>
      <c r="BU62" s="230">
        <v>1584384</v>
      </c>
      <c r="BV62" s="230">
        <v>1652657</v>
      </c>
      <c r="BW62" s="230">
        <v>-68273</v>
      </c>
      <c r="BX62" s="229">
        <v>-4.1300000000000003E-2</v>
      </c>
      <c r="BY62" s="230">
        <v>1230</v>
      </c>
      <c r="BZ62" s="230">
        <v>1233</v>
      </c>
      <c r="CA62" s="228">
        <v>-3</v>
      </c>
      <c r="CB62" s="229">
        <v>-2.5999999999999999E-3</v>
      </c>
      <c r="CC62" s="230">
        <v>1130</v>
      </c>
      <c r="CD62" s="230">
        <v>1151</v>
      </c>
      <c r="CE62" s="228">
        <v>-21</v>
      </c>
      <c r="CF62" s="229">
        <v>-1.8100000000000002E-2</v>
      </c>
      <c r="CG62" s="228">
        <v>97</v>
      </c>
      <c r="CH62" s="228">
        <v>79</v>
      </c>
      <c r="CI62" s="228">
        <v>18</v>
      </c>
      <c r="CJ62" s="229">
        <v>0.2263</v>
      </c>
      <c r="CK62" s="228">
        <v>4</v>
      </c>
      <c r="CL62" s="228">
        <v>4</v>
      </c>
      <c r="CM62" s="228">
        <v>0</v>
      </c>
      <c r="CN62" s="229">
        <v>-3.6999999999999998E-2</v>
      </c>
      <c r="CO62" s="228">
        <v>520</v>
      </c>
      <c r="CP62" s="228">
        <v>535</v>
      </c>
      <c r="CQ62" s="228">
        <v>-15</v>
      </c>
      <c r="CR62" s="229">
        <v>-2.8199999999999999E-2</v>
      </c>
      <c r="CS62" s="228">
        <v>349</v>
      </c>
      <c r="CT62" s="228">
        <v>341</v>
      </c>
      <c r="CU62" s="228">
        <v>8</v>
      </c>
      <c r="CV62" s="229">
        <v>2.3800000000000002E-2</v>
      </c>
      <c r="CW62" s="230">
        <v>2100</v>
      </c>
      <c r="CX62" s="230">
        <v>2110</v>
      </c>
      <c r="CY62" s="228">
        <v>-10</v>
      </c>
      <c r="CZ62" s="229">
        <v>-4.7999999999999996E-3</v>
      </c>
      <c r="DA62" s="228">
        <v>22.25</v>
      </c>
      <c r="DB62" s="228">
        <v>23.96</v>
      </c>
      <c r="DC62" s="228">
        <v>-1.71</v>
      </c>
      <c r="DD62" s="228">
        <v>-1.71</v>
      </c>
      <c r="DE62" s="228">
        <v>35.729999999999997</v>
      </c>
      <c r="DF62" s="228">
        <v>35.75</v>
      </c>
      <c r="DG62" s="228">
        <v>-13.48</v>
      </c>
      <c r="DH62" s="228">
        <v>-0.02</v>
      </c>
      <c r="DI62" s="228">
        <v>22.1</v>
      </c>
      <c r="DJ62" s="228">
        <v>24.32</v>
      </c>
      <c r="DK62" s="228">
        <v>-2.2200000000000002</v>
      </c>
      <c r="DL62" s="228">
        <v>-2.2200000000000002</v>
      </c>
      <c r="DM62" s="228">
        <v>22.54</v>
      </c>
      <c r="DN62" s="228">
        <v>23.39</v>
      </c>
      <c r="DO62" s="228">
        <v>-0.85</v>
      </c>
      <c r="DP62" s="228">
        <v>-0.85</v>
      </c>
      <c r="DQ62" s="228">
        <v>0.67</v>
      </c>
      <c r="DR62" s="228">
        <v>0.64</v>
      </c>
      <c r="DS62" s="228">
        <v>0.03</v>
      </c>
      <c r="DT62" s="229">
        <v>4.6899999999999997E-2</v>
      </c>
      <c r="DU62" s="228">
        <v>400</v>
      </c>
      <c r="DV62" s="228">
        <v>400</v>
      </c>
      <c r="DW62" s="228">
        <v>0.53</v>
      </c>
      <c r="DX62" s="228">
        <v>0.64</v>
      </c>
      <c r="DY62" s="228">
        <v>-0.11</v>
      </c>
      <c r="DZ62" s="229">
        <v>-0.1719</v>
      </c>
      <c r="EA62" s="229">
        <v>8.1500000000000003E-2</v>
      </c>
      <c r="EB62" s="230">
        <v>2070000</v>
      </c>
      <c r="EC62" s="229">
        <v>5.7999999999999996E-3</v>
      </c>
      <c r="ED62" s="229">
        <v>8.1500000000000003E-2</v>
      </c>
      <c r="EE62" s="228">
        <v>2.68</v>
      </c>
      <c r="EF62" s="229">
        <v>6.7000000000000002E-3</v>
      </c>
      <c r="EG62" s="230">
        <v>725104</v>
      </c>
      <c r="EH62" s="230">
        <v>1059343</v>
      </c>
      <c r="EI62" s="229">
        <v>-0.3155</v>
      </c>
      <c r="EJ62" s="229">
        <v>0.4577</v>
      </c>
      <c r="EK62" s="228">
        <v>677.88</v>
      </c>
      <c r="EL62" s="228">
        <v>344.52</v>
      </c>
      <c r="EM62" s="228">
        <v>219.92</v>
      </c>
      <c r="EN62" s="228">
        <v>24.22</v>
      </c>
      <c r="EO62" s="231">
        <v>1242.31</v>
      </c>
      <c r="EP62" s="228">
        <v>699.67</v>
      </c>
      <c r="EQ62" s="228">
        <v>542.64</v>
      </c>
      <c r="ER62" s="229">
        <v>0.77559999999999996</v>
      </c>
      <c r="ES62" s="228">
        <v>540.41999999999996</v>
      </c>
      <c r="ET62" s="228">
        <v>344.18</v>
      </c>
      <c r="EU62" s="231">
        <v>1230.94</v>
      </c>
      <c r="EV62" s="231">
        <v>68856800</v>
      </c>
      <c r="EW62" s="231">
        <v>2115.54</v>
      </c>
      <c r="EX62" s="231">
        <v>2105.42</v>
      </c>
      <c r="EY62" s="228">
        <v>10.119999999999999</v>
      </c>
      <c r="EZ62" s="229">
        <v>4.7999999999999996E-3</v>
      </c>
      <c r="FA62" s="229">
        <v>0.76429999999999998</v>
      </c>
      <c r="FB62" s="227" t="s">
        <v>556</v>
      </c>
      <c r="FC62">
        <f t="shared" si="0"/>
        <v>100</v>
      </c>
    </row>
    <row r="63" spans="1:159" ht="17.25" thickBot="1" x14ac:dyDescent="0.3">
      <c r="A63" s="226">
        <v>45946</v>
      </c>
      <c r="B63" s="227" t="s">
        <v>172</v>
      </c>
      <c r="C63" s="227" t="s">
        <v>212</v>
      </c>
      <c r="D63" s="228">
        <v>5000</v>
      </c>
      <c r="E63" s="228">
        <v>12</v>
      </c>
      <c r="F63" s="228">
        <v>215.29</v>
      </c>
      <c r="G63" s="228">
        <v>217.25</v>
      </c>
      <c r="H63" s="228">
        <v>-1.96</v>
      </c>
      <c r="I63" s="229">
        <v>-8.9999999999999993E-3</v>
      </c>
      <c r="J63" s="228">
        <v>214.5</v>
      </c>
      <c r="K63" s="228">
        <v>216.33</v>
      </c>
      <c r="L63" s="228">
        <v>-1.83</v>
      </c>
      <c r="M63" s="229">
        <v>-8.5000000000000006E-3</v>
      </c>
      <c r="N63" s="228">
        <v>215.29</v>
      </c>
      <c r="O63" s="228">
        <v>217.25</v>
      </c>
      <c r="P63" s="228">
        <v>-1.96</v>
      </c>
      <c r="Q63" s="229">
        <v>-8.9999999999999993E-3</v>
      </c>
      <c r="R63" s="228">
        <v>216.35</v>
      </c>
      <c r="S63" s="228">
        <v>218.32</v>
      </c>
      <c r="T63" s="228">
        <v>-1.97</v>
      </c>
      <c r="U63" s="229">
        <v>-8.9999999999999993E-3</v>
      </c>
      <c r="V63" s="228">
        <v>217.39</v>
      </c>
      <c r="W63" s="228">
        <v>219.4</v>
      </c>
      <c r="X63" s="228">
        <v>-2.0099999999999998</v>
      </c>
      <c r="Y63" s="229">
        <v>-9.1999999999999998E-3</v>
      </c>
      <c r="Z63" s="228">
        <v>0.79</v>
      </c>
      <c r="AA63" s="228">
        <v>0.92</v>
      </c>
      <c r="AB63" s="228">
        <v>-0.13</v>
      </c>
      <c r="AC63" s="229">
        <v>3.7000000000000002E-3</v>
      </c>
      <c r="AD63" s="228">
        <v>0.79</v>
      </c>
      <c r="AE63" s="228">
        <v>0.92</v>
      </c>
      <c r="AF63" s="228">
        <v>-0.13</v>
      </c>
      <c r="AG63" s="229">
        <v>3.7000000000000002E-3</v>
      </c>
      <c r="AH63" s="228">
        <v>1.85</v>
      </c>
      <c r="AI63" s="228">
        <v>1.99</v>
      </c>
      <c r="AJ63" s="228">
        <v>-0.14000000000000001</v>
      </c>
      <c r="AK63" s="229">
        <v>8.6E-3</v>
      </c>
      <c r="AL63" s="228">
        <v>2.89</v>
      </c>
      <c r="AM63" s="228">
        <v>3.07</v>
      </c>
      <c r="AN63" s="228">
        <v>-0.18</v>
      </c>
      <c r="AO63" s="229">
        <v>1.35E-2</v>
      </c>
      <c r="AP63" s="228">
        <v>215.96</v>
      </c>
      <c r="AQ63" s="228">
        <v>217</v>
      </c>
      <c r="AR63" s="228">
        <v>0</v>
      </c>
      <c r="AS63" s="228">
        <v>539</v>
      </c>
      <c r="AT63" s="228">
        <v>644</v>
      </c>
      <c r="AU63" s="228">
        <v>-105</v>
      </c>
      <c r="AV63" s="229">
        <v>-0.16259999999999999</v>
      </c>
      <c r="AW63" s="228">
        <v>462</v>
      </c>
      <c r="AX63" s="228">
        <v>559</v>
      </c>
      <c r="AY63" s="228">
        <v>-97</v>
      </c>
      <c r="AZ63" s="229">
        <v>-0.17399999999999999</v>
      </c>
      <c r="BA63" s="228">
        <v>74</v>
      </c>
      <c r="BB63" s="228">
        <v>80</v>
      </c>
      <c r="BC63" s="228">
        <v>-6</v>
      </c>
      <c r="BD63" s="229">
        <v>-7.6499999999999999E-2</v>
      </c>
      <c r="BE63" s="228">
        <v>3</v>
      </c>
      <c r="BF63" s="228">
        <v>5</v>
      </c>
      <c r="BG63" s="228">
        <v>-1</v>
      </c>
      <c r="BH63" s="229">
        <v>-0.27910000000000001</v>
      </c>
      <c r="BI63" s="230">
        <v>1272</v>
      </c>
      <c r="BJ63" s="230">
        <v>2058</v>
      </c>
      <c r="BK63" s="228">
        <v>-786</v>
      </c>
      <c r="BL63" s="229">
        <v>-0.3821</v>
      </c>
      <c r="BM63" s="228">
        <v>567</v>
      </c>
      <c r="BN63" s="228">
        <v>972</v>
      </c>
      <c r="BO63" s="228">
        <v>-405</v>
      </c>
      <c r="BP63" s="229">
        <v>-0.41620000000000001</v>
      </c>
      <c r="BQ63" s="230">
        <v>2378</v>
      </c>
      <c r="BR63" s="230">
        <v>3674</v>
      </c>
      <c r="BS63" s="230">
        <v>-1296</v>
      </c>
      <c r="BT63" s="229">
        <v>-0.35270000000000001</v>
      </c>
      <c r="BU63" s="230">
        <v>5913196</v>
      </c>
      <c r="BV63" s="230">
        <v>8543662</v>
      </c>
      <c r="BW63" s="230">
        <v>-2630466</v>
      </c>
      <c r="BX63" s="229">
        <v>-0.30790000000000001</v>
      </c>
      <c r="BY63" s="230">
        <v>2173</v>
      </c>
      <c r="BZ63" s="230">
        <v>2128</v>
      </c>
      <c r="CA63" s="228">
        <v>45</v>
      </c>
      <c r="CB63" s="229">
        <v>2.12E-2</v>
      </c>
      <c r="CC63" s="230">
        <v>2020</v>
      </c>
      <c r="CD63" s="230">
        <v>2003</v>
      </c>
      <c r="CE63" s="228">
        <v>16</v>
      </c>
      <c r="CF63" s="229">
        <v>8.2000000000000007E-3</v>
      </c>
      <c r="CG63" s="228">
        <v>139</v>
      </c>
      <c r="CH63" s="228">
        <v>110</v>
      </c>
      <c r="CI63" s="228">
        <v>29</v>
      </c>
      <c r="CJ63" s="229">
        <v>0.2661</v>
      </c>
      <c r="CK63" s="228">
        <v>14</v>
      </c>
      <c r="CL63" s="228">
        <v>15</v>
      </c>
      <c r="CM63" s="228">
        <v>-1</v>
      </c>
      <c r="CN63" s="229">
        <v>-3.6999999999999998E-2</v>
      </c>
      <c r="CO63" s="230">
        <v>1479</v>
      </c>
      <c r="CP63" s="230">
        <v>1473</v>
      </c>
      <c r="CQ63" s="228">
        <v>6</v>
      </c>
      <c r="CR63" s="229">
        <v>4.1999999999999997E-3</v>
      </c>
      <c r="CS63" s="228">
        <v>969</v>
      </c>
      <c r="CT63" s="228">
        <v>960</v>
      </c>
      <c r="CU63" s="228">
        <v>9</v>
      </c>
      <c r="CV63" s="229">
        <v>9.2999999999999992E-3</v>
      </c>
      <c r="CW63" s="230">
        <v>4622</v>
      </c>
      <c r="CX63" s="230">
        <v>4562</v>
      </c>
      <c r="CY63" s="228">
        <v>60</v>
      </c>
      <c r="CZ63" s="229">
        <v>1.32E-2</v>
      </c>
      <c r="DA63" s="228">
        <v>31.71</v>
      </c>
      <c r="DB63" s="228">
        <v>31.07</v>
      </c>
      <c r="DC63" s="228">
        <v>0.64</v>
      </c>
      <c r="DD63" s="228">
        <v>0.64</v>
      </c>
      <c r="DE63" s="228">
        <v>28.65</v>
      </c>
      <c r="DF63" s="228">
        <v>28.7</v>
      </c>
      <c r="DG63" s="228">
        <v>3.06</v>
      </c>
      <c r="DH63" s="228">
        <v>-0.05</v>
      </c>
      <c r="DI63" s="228">
        <v>31.74</v>
      </c>
      <c r="DJ63" s="228">
        <v>30.76</v>
      </c>
      <c r="DK63" s="228">
        <v>0.98</v>
      </c>
      <c r="DL63" s="228">
        <v>0.98</v>
      </c>
      <c r="DM63" s="228">
        <v>31.62</v>
      </c>
      <c r="DN63" s="228">
        <v>31.73</v>
      </c>
      <c r="DO63" s="228">
        <v>-0.11</v>
      </c>
      <c r="DP63" s="228">
        <v>-0.11</v>
      </c>
      <c r="DQ63" s="228">
        <v>0.66</v>
      </c>
      <c r="DR63" s="228">
        <v>0.65</v>
      </c>
      <c r="DS63" s="228">
        <v>0.01</v>
      </c>
      <c r="DT63" s="229">
        <v>1.54E-2</v>
      </c>
      <c r="DU63" s="228">
        <v>225</v>
      </c>
      <c r="DV63" s="228">
        <v>210</v>
      </c>
      <c r="DW63" s="228">
        <v>0.45</v>
      </c>
      <c r="DX63" s="228">
        <v>0.47</v>
      </c>
      <c r="DY63" s="228">
        <v>-0.02</v>
      </c>
      <c r="DZ63" s="229">
        <v>-4.2599999999999999E-2</v>
      </c>
      <c r="EA63" s="229">
        <v>7.0499999999999993E-2</v>
      </c>
      <c r="EB63" s="230">
        <v>5785000</v>
      </c>
      <c r="EC63" s="229">
        <v>4.8999999999999998E-3</v>
      </c>
      <c r="ED63" s="229">
        <v>7.0499999999999993E-2</v>
      </c>
      <c r="EE63" s="228">
        <v>1.04</v>
      </c>
      <c r="EF63" s="229">
        <v>4.7999999999999996E-3</v>
      </c>
      <c r="EG63" s="230">
        <v>3257202</v>
      </c>
      <c r="EH63" s="230">
        <v>4947238</v>
      </c>
      <c r="EI63" s="229">
        <v>-0.34160000000000001</v>
      </c>
      <c r="EJ63" s="229">
        <v>0.55079999999999996</v>
      </c>
      <c r="EK63" s="231">
        <v>1326.61</v>
      </c>
      <c r="EL63" s="228">
        <v>564.89</v>
      </c>
      <c r="EM63" s="228">
        <v>541.38</v>
      </c>
      <c r="EN63" s="228">
        <v>72.260000000000005</v>
      </c>
      <c r="EO63" s="231">
        <v>2432.88</v>
      </c>
      <c r="EP63" s="231">
        <v>3760.71</v>
      </c>
      <c r="EQ63" s="231">
        <v>-1327.83</v>
      </c>
      <c r="ER63" s="229">
        <v>-0.35310000000000002</v>
      </c>
      <c r="ES63" s="231">
        <v>1494.5</v>
      </c>
      <c r="ET63" s="228">
        <v>911.35</v>
      </c>
      <c r="EU63" s="231">
        <v>2173.96</v>
      </c>
      <c r="EV63" s="231">
        <v>338654719</v>
      </c>
      <c r="EW63" s="231">
        <v>4579.8100000000004</v>
      </c>
      <c r="EX63" s="231">
        <v>4533.67</v>
      </c>
      <c r="EY63" s="228">
        <v>46.14</v>
      </c>
      <c r="EZ63" s="229">
        <v>1.0200000000000001E-2</v>
      </c>
      <c r="FA63" s="229">
        <v>0.63390000000000002</v>
      </c>
      <c r="FB63" s="227" t="s">
        <v>567</v>
      </c>
      <c r="FC63">
        <f t="shared" si="0"/>
        <v>153</v>
      </c>
    </row>
    <row r="64" spans="1:159" ht="17.25" thickBot="1" x14ac:dyDescent="0.3">
      <c r="A64" s="226">
        <v>45946</v>
      </c>
      <c r="B64" s="227" t="s">
        <v>181</v>
      </c>
      <c r="C64" s="227" t="s">
        <v>480</v>
      </c>
      <c r="D64" s="228">
        <v>65</v>
      </c>
      <c r="E64" s="228">
        <v>12</v>
      </c>
      <c r="F64" s="231">
        <v>27409.4</v>
      </c>
      <c r="G64" s="231">
        <v>27165.7</v>
      </c>
      <c r="H64" s="228">
        <v>243.7</v>
      </c>
      <c r="I64" s="229">
        <v>8.9999999999999993E-3</v>
      </c>
      <c r="J64" s="231">
        <v>27381.200000000001</v>
      </c>
      <c r="K64" s="231">
        <v>27071.8</v>
      </c>
      <c r="L64" s="228">
        <v>309.39999999999998</v>
      </c>
      <c r="M64" s="229">
        <v>1.14E-2</v>
      </c>
      <c r="N64" s="231">
        <v>27409.4</v>
      </c>
      <c r="O64" s="231">
        <v>27165.7</v>
      </c>
      <c r="P64" s="228">
        <v>243.7</v>
      </c>
      <c r="Q64" s="229">
        <v>8.9999999999999993E-3</v>
      </c>
      <c r="R64" s="231">
        <v>27526.9</v>
      </c>
      <c r="S64" s="231">
        <v>27279.1</v>
      </c>
      <c r="T64" s="228">
        <v>247.8</v>
      </c>
      <c r="U64" s="229">
        <v>9.1000000000000004E-3</v>
      </c>
      <c r="V64" s="228">
        <v>0</v>
      </c>
      <c r="W64" s="228">
        <v>0</v>
      </c>
      <c r="X64" s="228">
        <v>0</v>
      </c>
      <c r="Y64" s="229">
        <v>0</v>
      </c>
      <c r="Z64" s="228">
        <v>28.2</v>
      </c>
      <c r="AA64" s="228">
        <v>93.9</v>
      </c>
      <c r="AB64" s="228">
        <v>-65.7</v>
      </c>
      <c r="AC64" s="229">
        <v>1E-3</v>
      </c>
      <c r="AD64" s="228">
        <v>28.2</v>
      </c>
      <c r="AE64" s="228">
        <v>93.9</v>
      </c>
      <c r="AF64" s="228">
        <v>-65.7</v>
      </c>
      <c r="AG64" s="229">
        <v>1E-3</v>
      </c>
      <c r="AH64" s="228">
        <v>145.69999999999999</v>
      </c>
      <c r="AI64" s="228">
        <v>207.3</v>
      </c>
      <c r="AJ64" s="228">
        <v>-61.6</v>
      </c>
      <c r="AK64" s="229">
        <v>5.3E-3</v>
      </c>
      <c r="AL64" s="228">
        <v>0</v>
      </c>
      <c r="AM64" s="228">
        <v>0</v>
      </c>
      <c r="AN64" s="228">
        <v>0</v>
      </c>
      <c r="AO64" s="229">
        <v>0</v>
      </c>
      <c r="AP64" s="231">
        <v>27306.25</v>
      </c>
      <c r="AQ64" s="231">
        <v>27474.9</v>
      </c>
      <c r="AR64" s="228">
        <v>0</v>
      </c>
      <c r="AS64" s="228">
        <v>74</v>
      </c>
      <c r="AT64" s="228">
        <v>100</v>
      </c>
      <c r="AU64" s="228">
        <v>-25</v>
      </c>
      <c r="AV64" s="229">
        <v>-0.254</v>
      </c>
      <c r="AW64" s="228">
        <v>61</v>
      </c>
      <c r="AX64" s="228">
        <v>93</v>
      </c>
      <c r="AY64" s="228">
        <v>-32</v>
      </c>
      <c r="AZ64" s="229">
        <v>-0.34420000000000001</v>
      </c>
      <c r="BA64" s="228">
        <v>14</v>
      </c>
      <c r="BB64" s="228">
        <v>7</v>
      </c>
      <c r="BC64" s="228">
        <v>7</v>
      </c>
      <c r="BD64" s="229">
        <v>0.94869999999999999</v>
      </c>
      <c r="BE64" s="228">
        <v>0</v>
      </c>
      <c r="BF64" s="228">
        <v>0</v>
      </c>
      <c r="BG64" s="228">
        <v>0</v>
      </c>
      <c r="BH64" s="229">
        <v>0</v>
      </c>
      <c r="BI64" s="230">
        <v>9859</v>
      </c>
      <c r="BJ64" s="230">
        <v>7433</v>
      </c>
      <c r="BK64" s="230">
        <v>2426</v>
      </c>
      <c r="BL64" s="229">
        <v>0.32640000000000002</v>
      </c>
      <c r="BM64" s="230">
        <v>5931</v>
      </c>
      <c r="BN64" s="230">
        <v>5551</v>
      </c>
      <c r="BO64" s="228">
        <v>380</v>
      </c>
      <c r="BP64" s="229">
        <v>6.8400000000000002E-2</v>
      </c>
      <c r="BQ64" s="230">
        <v>15864</v>
      </c>
      <c r="BR64" s="230">
        <v>13083</v>
      </c>
      <c r="BS64" s="230">
        <v>2781</v>
      </c>
      <c r="BT64" s="229">
        <v>0.21249999999999999</v>
      </c>
      <c r="BU64" s="228">
        <v>0</v>
      </c>
      <c r="BV64" s="228">
        <v>0</v>
      </c>
      <c r="BW64" s="228">
        <v>0</v>
      </c>
      <c r="BX64" s="229">
        <v>0</v>
      </c>
      <c r="BY64" s="228">
        <v>119</v>
      </c>
      <c r="BZ64" s="228">
        <v>116</v>
      </c>
      <c r="CA64" s="228">
        <v>2</v>
      </c>
      <c r="CB64" s="229">
        <v>1.9900000000000001E-2</v>
      </c>
      <c r="CC64" s="228">
        <v>111</v>
      </c>
      <c r="CD64" s="228">
        <v>110</v>
      </c>
      <c r="CE64" s="228">
        <v>1</v>
      </c>
      <c r="CF64" s="229">
        <v>1.14E-2</v>
      </c>
      <c r="CG64" s="228">
        <v>8</v>
      </c>
      <c r="CH64" s="228">
        <v>7</v>
      </c>
      <c r="CI64" s="228">
        <v>1</v>
      </c>
      <c r="CJ64" s="229">
        <v>0.16220000000000001</v>
      </c>
      <c r="CK64" s="228">
        <v>0</v>
      </c>
      <c r="CL64" s="228">
        <v>0</v>
      </c>
      <c r="CM64" s="228">
        <v>0</v>
      </c>
      <c r="CN64" s="229">
        <v>0</v>
      </c>
      <c r="CO64" s="230">
        <v>2835</v>
      </c>
      <c r="CP64" s="230">
        <v>3126</v>
      </c>
      <c r="CQ64" s="228">
        <v>-291</v>
      </c>
      <c r="CR64" s="229">
        <v>-9.2999999999999999E-2</v>
      </c>
      <c r="CS64" s="230">
        <v>2663</v>
      </c>
      <c r="CT64" s="230">
        <v>2506</v>
      </c>
      <c r="CU64" s="228">
        <v>157</v>
      </c>
      <c r="CV64" s="229">
        <v>6.2700000000000006E-2</v>
      </c>
      <c r="CW64" s="230">
        <v>5617</v>
      </c>
      <c r="CX64" s="230">
        <v>5748</v>
      </c>
      <c r="CY64" s="228">
        <v>-131</v>
      </c>
      <c r="CZ64" s="229">
        <v>-2.2800000000000001E-2</v>
      </c>
      <c r="DA64" s="228">
        <v>12.62</v>
      </c>
      <c r="DB64" s="228">
        <v>12.57</v>
      </c>
      <c r="DC64" s="228">
        <v>0.05</v>
      </c>
      <c r="DD64" s="228">
        <v>0.05</v>
      </c>
      <c r="DE64" s="228">
        <v>17.71</v>
      </c>
      <c r="DF64" s="228">
        <v>17.68</v>
      </c>
      <c r="DG64" s="228">
        <v>-5.09</v>
      </c>
      <c r="DH64" s="228">
        <v>0.03</v>
      </c>
      <c r="DI64" s="228">
        <v>11.92</v>
      </c>
      <c r="DJ64" s="228">
        <v>11.59</v>
      </c>
      <c r="DK64" s="228">
        <v>0.33</v>
      </c>
      <c r="DL64" s="228">
        <v>0.33</v>
      </c>
      <c r="DM64" s="228">
        <v>13.78</v>
      </c>
      <c r="DN64" s="228">
        <v>13.89</v>
      </c>
      <c r="DO64" s="228">
        <v>-0.11</v>
      </c>
      <c r="DP64" s="228">
        <v>-0.11</v>
      </c>
      <c r="DQ64" s="228">
        <v>0.94</v>
      </c>
      <c r="DR64" s="228">
        <v>0.8</v>
      </c>
      <c r="DS64" s="228">
        <v>0.14000000000000001</v>
      </c>
      <c r="DT64" s="229">
        <v>0.17499999999999999</v>
      </c>
      <c r="DU64" s="231">
        <v>27600</v>
      </c>
      <c r="DV64" s="231">
        <v>26900</v>
      </c>
      <c r="DW64" s="228">
        <v>0.6</v>
      </c>
      <c r="DX64" s="228">
        <v>0.75</v>
      </c>
      <c r="DY64" s="228">
        <v>-0.15</v>
      </c>
      <c r="DZ64" s="229">
        <v>-0.2</v>
      </c>
      <c r="EA64" s="229">
        <v>6.4600000000000005E-2</v>
      </c>
      <c r="EB64" s="230">
        <v>2405</v>
      </c>
      <c r="EC64" s="229">
        <v>4.3E-3</v>
      </c>
      <c r="ED64" s="229">
        <v>6.4600000000000005E-2</v>
      </c>
      <c r="EE64" s="228">
        <v>168.65</v>
      </c>
      <c r="EF64" s="229">
        <v>6.1999999999999998E-3</v>
      </c>
      <c r="EG64" s="228">
        <v>0</v>
      </c>
      <c r="EH64" s="228">
        <v>0</v>
      </c>
      <c r="EI64" s="229">
        <v>0</v>
      </c>
      <c r="EJ64" s="229">
        <v>0</v>
      </c>
      <c r="EK64" s="231">
        <v>9976.75</v>
      </c>
      <c r="EL64" s="231">
        <v>5832.95</v>
      </c>
      <c r="EM64" s="228">
        <v>74.099999999999994</v>
      </c>
      <c r="EN64" s="228">
        <v>0</v>
      </c>
      <c r="EO64" s="231">
        <v>15883.8</v>
      </c>
      <c r="EP64" s="231">
        <v>12966.6</v>
      </c>
      <c r="EQ64" s="231">
        <v>2917.2</v>
      </c>
      <c r="ER64" s="229">
        <v>0.22500000000000001</v>
      </c>
      <c r="ES64" s="231">
        <v>2847.72</v>
      </c>
      <c r="ET64" s="231">
        <v>2574.11</v>
      </c>
      <c r="EU64" s="228">
        <v>118.69</v>
      </c>
      <c r="EV64" s="228">
        <v>0</v>
      </c>
      <c r="EW64" s="231">
        <v>5540.52</v>
      </c>
      <c r="EX64" s="231">
        <v>5652.97</v>
      </c>
      <c r="EY64" s="228">
        <v>-112.45</v>
      </c>
      <c r="EZ64" s="229">
        <v>-1.9900000000000001E-2</v>
      </c>
      <c r="FA64" s="229">
        <v>0</v>
      </c>
      <c r="FB64" s="227" t="s">
        <v>555</v>
      </c>
      <c r="FC64">
        <f t="shared" si="0"/>
        <v>8</v>
      </c>
    </row>
    <row r="65" spans="1:159" ht="17.25" thickBot="1" x14ac:dyDescent="0.3">
      <c r="A65" s="226">
        <v>45946</v>
      </c>
      <c r="B65" s="227" t="s">
        <v>170</v>
      </c>
      <c r="C65" s="227" t="s">
        <v>678</v>
      </c>
      <c r="D65" s="228">
        <v>775</v>
      </c>
      <c r="E65" s="228">
        <v>12</v>
      </c>
      <c r="F65" s="231">
        <v>1099.3</v>
      </c>
      <c r="G65" s="231">
        <v>1092.1500000000001</v>
      </c>
      <c r="H65" s="228">
        <v>7.15</v>
      </c>
      <c r="I65" s="229">
        <v>6.4999999999999997E-3</v>
      </c>
      <c r="J65" s="231">
        <v>1095.25</v>
      </c>
      <c r="K65" s="231">
        <v>1087.5999999999999</v>
      </c>
      <c r="L65" s="228">
        <v>7.65</v>
      </c>
      <c r="M65" s="229">
        <v>7.0000000000000001E-3</v>
      </c>
      <c r="N65" s="231">
        <v>1099.3</v>
      </c>
      <c r="O65" s="231">
        <v>1092.1500000000001</v>
      </c>
      <c r="P65" s="228">
        <v>7.15</v>
      </c>
      <c r="Q65" s="229">
        <v>6.4999999999999997E-3</v>
      </c>
      <c r="R65" s="231">
        <v>1103.8499999999999</v>
      </c>
      <c r="S65" s="231">
        <v>1094.7</v>
      </c>
      <c r="T65" s="228">
        <v>9.15</v>
      </c>
      <c r="U65" s="229">
        <v>8.3999999999999995E-3</v>
      </c>
      <c r="V65" s="231">
        <v>1102.5999999999999</v>
      </c>
      <c r="W65" s="231">
        <v>1099.0999999999999</v>
      </c>
      <c r="X65" s="228">
        <v>3.5</v>
      </c>
      <c r="Y65" s="229">
        <v>3.2000000000000002E-3</v>
      </c>
      <c r="Z65" s="228">
        <v>4.05</v>
      </c>
      <c r="AA65" s="228">
        <v>4.55</v>
      </c>
      <c r="AB65" s="228">
        <v>-0.5</v>
      </c>
      <c r="AC65" s="229">
        <v>3.7000000000000002E-3</v>
      </c>
      <c r="AD65" s="228">
        <v>4.05</v>
      </c>
      <c r="AE65" s="228">
        <v>4.55</v>
      </c>
      <c r="AF65" s="228">
        <v>-0.5</v>
      </c>
      <c r="AG65" s="229">
        <v>3.7000000000000002E-3</v>
      </c>
      <c r="AH65" s="228">
        <v>8.6</v>
      </c>
      <c r="AI65" s="228">
        <v>7.1</v>
      </c>
      <c r="AJ65" s="228">
        <v>1.5</v>
      </c>
      <c r="AK65" s="229">
        <v>7.9000000000000008E-3</v>
      </c>
      <c r="AL65" s="228">
        <v>7.35</v>
      </c>
      <c r="AM65" s="228">
        <v>11.5</v>
      </c>
      <c r="AN65" s="228">
        <v>-4.1500000000000004</v>
      </c>
      <c r="AO65" s="229">
        <v>6.7000000000000002E-3</v>
      </c>
      <c r="AP65" s="231">
        <v>1093.3800000000001</v>
      </c>
      <c r="AQ65" s="231">
        <v>1098.76</v>
      </c>
      <c r="AR65" s="228">
        <v>0</v>
      </c>
      <c r="AS65" s="228">
        <v>186</v>
      </c>
      <c r="AT65" s="228">
        <v>162</v>
      </c>
      <c r="AU65" s="228">
        <v>24</v>
      </c>
      <c r="AV65" s="229">
        <v>0.1469</v>
      </c>
      <c r="AW65" s="228">
        <v>159</v>
      </c>
      <c r="AX65" s="228">
        <v>148</v>
      </c>
      <c r="AY65" s="228">
        <v>11</v>
      </c>
      <c r="AZ65" s="229">
        <v>7.1300000000000002E-2</v>
      </c>
      <c r="BA65" s="228">
        <v>26</v>
      </c>
      <c r="BB65" s="228">
        <v>13</v>
      </c>
      <c r="BC65" s="228">
        <v>13</v>
      </c>
      <c r="BD65" s="229">
        <v>0.96750000000000003</v>
      </c>
      <c r="BE65" s="228">
        <v>1</v>
      </c>
      <c r="BF65" s="228">
        <v>1</v>
      </c>
      <c r="BG65" s="228">
        <v>1</v>
      </c>
      <c r="BH65" s="229">
        <v>0.85709999999999997</v>
      </c>
      <c r="BI65" s="228">
        <v>481</v>
      </c>
      <c r="BJ65" s="228">
        <v>426</v>
      </c>
      <c r="BK65" s="228">
        <v>55</v>
      </c>
      <c r="BL65" s="229">
        <v>0.1278</v>
      </c>
      <c r="BM65" s="228">
        <v>234</v>
      </c>
      <c r="BN65" s="228">
        <v>251</v>
      </c>
      <c r="BO65" s="228">
        <v>-17</v>
      </c>
      <c r="BP65" s="229">
        <v>-6.6900000000000001E-2</v>
      </c>
      <c r="BQ65" s="228">
        <v>901</v>
      </c>
      <c r="BR65" s="228">
        <v>839</v>
      </c>
      <c r="BS65" s="228">
        <v>62</v>
      </c>
      <c r="BT65" s="229">
        <v>7.3300000000000004E-2</v>
      </c>
      <c r="BU65" s="230">
        <v>1903646</v>
      </c>
      <c r="BV65" s="230">
        <v>1766256</v>
      </c>
      <c r="BW65" s="230">
        <v>137390</v>
      </c>
      <c r="BX65" s="229">
        <v>7.7799999999999994E-2</v>
      </c>
      <c r="BY65" s="228">
        <v>918</v>
      </c>
      <c r="BZ65" s="228">
        <v>916</v>
      </c>
      <c r="CA65" s="228">
        <v>1</v>
      </c>
      <c r="CB65" s="229">
        <v>1.6000000000000001E-3</v>
      </c>
      <c r="CC65" s="228">
        <v>860</v>
      </c>
      <c r="CD65" s="228">
        <v>864</v>
      </c>
      <c r="CE65" s="228">
        <v>-4</v>
      </c>
      <c r="CF65" s="229">
        <v>-5.0000000000000001E-3</v>
      </c>
      <c r="CG65" s="228">
        <v>52</v>
      </c>
      <c r="CH65" s="228">
        <v>46</v>
      </c>
      <c r="CI65" s="228">
        <v>6</v>
      </c>
      <c r="CJ65" s="229">
        <v>0.1215</v>
      </c>
      <c r="CK65" s="228">
        <v>6</v>
      </c>
      <c r="CL65" s="228">
        <v>6</v>
      </c>
      <c r="CM65" s="228">
        <v>0</v>
      </c>
      <c r="CN65" s="229">
        <v>2.9899999999999999E-2</v>
      </c>
      <c r="CO65" s="228">
        <v>446</v>
      </c>
      <c r="CP65" s="228">
        <v>471</v>
      </c>
      <c r="CQ65" s="228">
        <v>-24</v>
      </c>
      <c r="CR65" s="229">
        <v>-5.16E-2</v>
      </c>
      <c r="CS65" s="228">
        <v>371</v>
      </c>
      <c r="CT65" s="228">
        <v>373</v>
      </c>
      <c r="CU65" s="228">
        <v>-2</v>
      </c>
      <c r="CV65" s="229">
        <v>-6.4000000000000003E-3</v>
      </c>
      <c r="CW65" s="230">
        <v>1735</v>
      </c>
      <c r="CX65" s="230">
        <v>1760</v>
      </c>
      <c r="CY65" s="228">
        <v>-25</v>
      </c>
      <c r="CZ65" s="229">
        <v>-1.43E-2</v>
      </c>
      <c r="DA65" s="228">
        <v>25.81</v>
      </c>
      <c r="DB65" s="228">
        <v>26.5</v>
      </c>
      <c r="DC65" s="228">
        <v>-0.69</v>
      </c>
      <c r="DD65" s="228">
        <v>-0.69</v>
      </c>
      <c r="DE65" s="228">
        <v>36.85</v>
      </c>
      <c r="DF65" s="228">
        <v>36.93</v>
      </c>
      <c r="DG65" s="228">
        <v>-11.04</v>
      </c>
      <c r="DH65" s="228">
        <v>-0.08</v>
      </c>
      <c r="DI65" s="228">
        <v>24.98</v>
      </c>
      <c r="DJ65" s="228">
        <v>25.74</v>
      </c>
      <c r="DK65" s="228">
        <v>-0.76</v>
      </c>
      <c r="DL65" s="228">
        <v>-0.76</v>
      </c>
      <c r="DM65" s="228">
        <v>27.51</v>
      </c>
      <c r="DN65" s="228">
        <v>27.79</v>
      </c>
      <c r="DO65" s="228">
        <v>-0.28000000000000003</v>
      </c>
      <c r="DP65" s="228">
        <v>-0.28000000000000003</v>
      </c>
      <c r="DQ65" s="228">
        <v>0.83</v>
      </c>
      <c r="DR65" s="228">
        <v>0.79</v>
      </c>
      <c r="DS65" s="228">
        <v>0.04</v>
      </c>
      <c r="DT65" s="229">
        <v>5.0599999999999999E-2</v>
      </c>
      <c r="DU65" s="231">
        <v>1100</v>
      </c>
      <c r="DV65" s="231">
        <v>1000</v>
      </c>
      <c r="DW65" s="228">
        <v>0.49</v>
      </c>
      <c r="DX65" s="228">
        <v>0.59</v>
      </c>
      <c r="DY65" s="228">
        <v>-0.1</v>
      </c>
      <c r="DZ65" s="229">
        <v>-0.16950000000000001</v>
      </c>
      <c r="EA65" s="229">
        <v>6.2899999999999998E-2</v>
      </c>
      <c r="EB65" s="230">
        <v>472750</v>
      </c>
      <c r="EC65" s="229">
        <v>4.1000000000000003E-3</v>
      </c>
      <c r="ED65" s="229">
        <v>6.2899999999999998E-2</v>
      </c>
      <c r="EE65" s="228">
        <v>5.38</v>
      </c>
      <c r="EF65" s="229">
        <v>4.8999999999999998E-3</v>
      </c>
      <c r="EG65" s="230">
        <v>1309968</v>
      </c>
      <c r="EH65" s="230">
        <v>1189606</v>
      </c>
      <c r="EI65" s="229">
        <v>0.1012</v>
      </c>
      <c r="EJ65" s="229">
        <v>0.68810000000000004</v>
      </c>
      <c r="EK65" s="228">
        <v>491.78</v>
      </c>
      <c r="EL65" s="228">
        <v>228.81</v>
      </c>
      <c r="EM65" s="228">
        <v>184.69</v>
      </c>
      <c r="EN65" s="228">
        <v>27.88</v>
      </c>
      <c r="EO65" s="228">
        <v>905.28</v>
      </c>
      <c r="EP65" s="228">
        <v>842.68</v>
      </c>
      <c r="EQ65" s="228">
        <v>62.6</v>
      </c>
      <c r="ER65" s="229">
        <v>7.4300000000000005E-2</v>
      </c>
      <c r="ES65" s="228">
        <v>442.64</v>
      </c>
      <c r="ET65" s="228">
        <v>342.34</v>
      </c>
      <c r="EU65" s="228">
        <v>918.05</v>
      </c>
      <c r="EV65" s="231">
        <v>62490435</v>
      </c>
      <c r="EW65" s="231">
        <v>1703.03</v>
      </c>
      <c r="EX65" s="231">
        <v>1721.1</v>
      </c>
      <c r="EY65" s="228">
        <v>-18.07</v>
      </c>
      <c r="EZ65" s="229">
        <v>-1.0500000000000001E-2</v>
      </c>
      <c r="FA65" s="229">
        <v>0.25259999999999999</v>
      </c>
      <c r="FB65" s="227" t="s">
        <v>555</v>
      </c>
      <c r="FC65">
        <f t="shared" si="0"/>
        <v>58</v>
      </c>
    </row>
    <row r="66" spans="1:159" ht="17.25" thickBot="1" x14ac:dyDescent="0.3">
      <c r="A66" s="226">
        <v>45946</v>
      </c>
      <c r="B66" s="227" t="s">
        <v>193</v>
      </c>
      <c r="C66" s="227" t="s">
        <v>213</v>
      </c>
      <c r="D66" s="228">
        <v>3150</v>
      </c>
      <c r="E66" s="228">
        <v>12</v>
      </c>
      <c r="F66" s="228">
        <v>179.38</v>
      </c>
      <c r="G66" s="228">
        <v>177.52</v>
      </c>
      <c r="H66" s="228">
        <v>1.86</v>
      </c>
      <c r="I66" s="229">
        <v>1.0500000000000001E-2</v>
      </c>
      <c r="J66" s="228">
        <v>179.17</v>
      </c>
      <c r="K66" s="228">
        <v>177.37</v>
      </c>
      <c r="L66" s="228">
        <v>1.8</v>
      </c>
      <c r="M66" s="229">
        <v>1.01E-2</v>
      </c>
      <c r="N66" s="228">
        <v>179.38</v>
      </c>
      <c r="O66" s="228">
        <v>177.52</v>
      </c>
      <c r="P66" s="228">
        <v>1.86</v>
      </c>
      <c r="Q66" s="229">
        <v>1.0500000000000001E-2</v>
      </c>
      <c r="R66" s="228">
        <v>180.41</v>
      </c>
      <c r="S66" s="228">
        <v>178.59</v>
      </c>
      <c r="T66" s="228">
        <v>1.82</v>
      </c>
      <c r="U66" s="229">
        <v>1.0200000000000001E-2</v>
      </c>
      <c r="V66" s="228">
        <v>181.51</v>
      </c>
      <c r="W66" s="228">
        <v>179.81</v>
      </c>
      <c r="X66" s="228">
        <v>1.7</v>
      </c>
      <c r="Y66" s="229">
        <v>9.4999999999999998E-3</v>
      </c>
      <c r="Z66" s="228">
        <v>0.21</v>
      </c>
      <c r="AA66" s="228">
        <v>0.15</v>
      </c>
      <c r="AB66" s="228">
        <v>0.06</v>
      </c>
      <c r="AC66" s="229">
        <v>1.1999999999999999E-3</v>
      </c>
      <c r="AD66" s="228">
        <v>0.21</v>
      </c>
      <c r="AE66" s="228">
        <v>0.15</v>
      </c>
      <c r="AF66" s="228">
        <v>0.06</v>
      </c>
      <c r="AG66" s="229">
        <v>1.1999999999999999E-3</v>
      </c>
      <c r="AH66" s="228">
        <v>1.24</v>
      </c>
      <c r="AI66" s="228">
        <v>1.22</v>
      </c>
      <c r="AJ66" s="228">
        <v>0.02</v>
      </c>
      <c r="AK66" s="229">
        <v>6.8999999999999999E-3</v>
      </c>
      <c r="AL66" s="228">
        <v>2.34</v>
      </c>
      <c r="AM66" s="228">
        <v>2.44</v>
      </c>
      <c r="AN66" s="228">
        <v>-0.1</v>
      </c>
      <c r="AO66" s="229">
        <v>1.3100000000000001E-2</v>
      </c>
      <c r="AP66" s="228">
        <v>179.38</v>
      </c>
      <c r="AQ66" s="228">
        <v>180.25</v>
      </c>
      <c r="AR66" s="228">
        <v>0</v>
      </c>
      <c r="AS66" s="228">
        <v>279</v>
      </c>
      <c r="AT66" s="228">
        <v>292</v>
      </c>
      <c r="AU66" s="228">
        <v>-12</v>
      </c>
      <c r="AV66" s="229">
        <v>-4.2799999999999998E-2</v>
      </c>
      <c r="AW66" s="228">
        <v>250</v>
      </c>
      <c r="AX66" s="228">
        <v>266</v>
      </c>
      <c r="AY66" s="228">
        <v>-15</v>
      </c>
      <c r="AZ66" s="229">
        <v>-5.8299999999999998E-2</v>
      </c>
      <c r="BA66" s="228">
        <v>24</v>
      </c>
      <c r="BB66" s="228">
        <v>19</v>
      </c>
      <c r="BC66" s="228">
        <v>5</v>
      </c>
      <c r="BD66" s="229">
        <v>0.27510000000000001</v>
      </c>
      <c r="BE66" s="228">
        <v>5</v>
      </c>
      <c r="BF66" s="228">
        <v>7</v>
      </c>
      <c r="BG66" s="228">
        <v>-2</v>
      </c>
      <c r="BH66" s="229">
        <v>-0.3226</v>
      </c>
      <c r="BI66" s="228">
        <v>685</v>
      </c>
      <c r="BJ66" s="228">
        <v>631</v>
      </c>
      <c r="BK66" s="228">
        <v>54</v>
      </c>
      <c r="BL66" s="229">
        <v>8.5099999999999995E-2</v>
      </c>
      <c r="BM66" s="228">
        <v>378</v>
      </c>
      <c r="BN66" s="228">
        <v>299</v>
      </c>
      <c r="BO66" s="228">
        <v>78</v>
      </c>
      <c r="BP66" s="229">
        <v>0.26219999999999999</v>
      </c>
      <c r="BQ66" s="230">
        <v>1342</v>
      </c>
      <c r="BR66" s="230">
        <v>1222</v>
      </c>
      <c r="BS66" s="228">
        <v>120</v>
      </c>
      <c r="BT66" s="229">
        <v>9.7900000000000001E-2</v>
      </c>
      <c r="BU66" s="230">
        <v>12958198</v>
      </c>
      <c r="BV66" s="230">
        <v>10695058</v>
      </c>
      <c r="BW66" s="230">
        <v>2263140</v>
      </c>
      <c r="BX66" s="229">
        <v>0.21160000000000001</v>
      </c>
      <c r="BY66" s="230">
        <v>1723</v>
      </c>
      <c r="BZ66" s="230">
        <v>1758</v>
      </c>
      <c r="CA66" s="228">
        <v>-35</v>
      </c>
      <c r="CB66" s="229">
        <v>-1.9699999999999999E-2</v>
      </c>
      <c r="CC66" s="230">
        <v>1609</v>
      </c>
      <c r="CD66" s="230">
        <v>1643</v>
      </c>
      <c r="CE66" s="228">
        <v>-35</v>
      </c>
      <c r="CF66" s="229">
        <v>-2.12E-2</v>
      </c>
      <c r="CG66" s="228">
        <v>104</v>
      </c>
      <c r="CH66" s="228">
        <v>105</v>
      </c>
      <c r="CI66" s="228">
        <v>-1</v>
      </c>
      <c r="CJ66" s="229">
        <v>-7.4999999999999997E-3</v>
      </c>
      <c r="CK66" s="228">
        <v>10</v>
      </c>
      <c r="CL66" s="228">
        <v>9</v>
      </c>
      <c r="CM66" s="228">
        <v>1</v>
      </c>
      <c r="CN66" s="229">
        <v>0.1012</v>
      </c>
      <c r="CO66" s="228">
        <v>737</v>
      </c>
      <c r="CP66" s="228">
        <v>774</v>
      </c>
      <c r="CQ66" s="228">
        <v>-37</v>
      </c>
      <c r="CR66" s="229">
        <v>-4.8099999999999997E-2</v>
      </c>
      <c r="CS66" s="228">
        <v>449</v>
      </c>
      <c r="CT66" s="228">
        <v>456</v>
      </c>
      <c r="CU66" s="228">
        <v>-8</v>
      </c>
      <c r="CV66" s="229">
        <v>-1.6500000000000001E-2</v>
      </c>
      <c r="CW66" s="230">
        <v>2909</v>
      </c>
      <c r="CX66" s="230">
        <v>2988</v>
      </c>
      <c r="CY66" s="228">
        <v>-79</v>
      </c>
      <c r="CZ66" s="229">
        <v>-2.6599999999999999E-2</v>
      </c>
      <c r="DA66" s="228">
        <v>24.5</v>
      </c>
      <c r="DB66" s="228">
        <v>25.82</v>
      </c>
      <c r="DC66" s="228">
        <v>-1.32</v>
      </c>
      <c r="DD66" s="228">
        <v>-1.32</v>
      </c>
      <c r="DE66" s="228">
        <v>36.450000000000003</v>
      </c>
      <c r="DF66" s="228">
        <v>36.520000000000003</v>
      </c>
      <c r="DG66" s="228">
        <v>-11.95</v>
      </c>
      <c r="DH66" s="228">
        <v>-7.0000000000000007E-2</v>
      </c>
      <c r="DI66" s="228">
        <v>24.38</v>
      </c>
      <c r="DJ66" s="228">
        <v>25.72</v>
      </c>
      <c r="DK66" s="228">
        <v>-1.34</v>
      </c>
      <c r="DL66" s="228">
        <v>-1.34</v>
      </c>
      <c r="DM66" s="228">
        <v>24.7</v>
      </c>
      <c r="DN66" s="228">
        <v>26.04</v>
      </c>
      <c r="DO66" s="228">
        <v>-1.34</v>
      </c>
      <c r="DP66" s="228">
        <v>-1.34</v>
      </c>
      <c r="DQ66" s="228">
        <v>0.61</v>
      </c>
      <c r="DR66" s="228">
        <v>0.59</v>
      </c>
      <c r="DS66" s="228">
        <v>0.02</v>
      </c>
      <c r="DT66" s="229">
        <v>3.39E-2</v>
      </c>
      <c r="DU66" s="228">
        <v>180</v>
      </c>
      <c r="DV66" s="228">
        <v>180</v>
      </c>
      <c r="DW66" s="228">
        <v>0.55000000000000004</v>
      </c>
      <c r="DX66" s="228">
        <v>0.47</v>
      </c>
      <c r="DY66" s="228">
        <v>0.08</v>
      </c>
      <c r="DZ66" s="229">
        <v>0.17019999999999999</v>
      </c>
      <c r="EA66" s="229">
        <v>6.6500000000000004E-2</v>
      </c>
      <c r="EB66" s="230">
        <v>6375600</v>
      </c>
      <c r="EC66" s="229">
        <v>5.7000000000000002E-3</v>
      </c>
      <c r="ED66" s="229">
        <v>6.6500000000000004E-2</v>
      </c>
      <c r="EE66" s="228">
        <v>0.87</v>
      </c>
      <c r="EF66" s="229">
        <v>4.8999999999999998E-3</v>
      </c>
      <c r="EG66" s="230">
        <v>8172212</v>
      </c>
      <c r="EH66" s="230">
        <v>7068559</v>
      </c>
      <c r="EI66" s="229">
        <v>0.15609999999999999</v>
      </c>
      <c r="EJ66" s="229">
        <v>0.63070000000000004</v>
      </c>
      <c r="EK66" s="228">
        <v>710.14</v>
      </c>
      <c r="EL66" s="228">
        <v>374.18</v>
      </c>
      <c r="EM66" s="228">
        <v>279.36</v>
      </c>
      <c r="EN66" s="228">
        <v>52.64</v>
      </c>
      <c r="EO66" s="231">
        <v>1363.68</v>
      </c>
      <c r="EP66" s="231">
        <v>1235.8</v>
      </c>
      <c r="EQ66" s="228">
        <v>127.88</v>
      </c>
      <c r="ER66" s="229">
        <v>0.10349999999999999</v>
      </c>
      <c r="ES66" s="228">
        <v>762.68</v>
      </c>
      <c r="ET66" s="228">
        <v>449.35</v>
      </c>
      <c r="EU66" s="231">
        <v>1723.78</v>
      </c>
      <c r="EV66" s="231">
        <v>402429848</v>
      </c>
      <c r="EW66" s="231">
        <v>2935.8</v>
      </c>
      <c r="EX66" s="231">
        <v>2996.23</v>
      </c>
      <c r="EY66" s="228">
        <v>-60.43</v>
      </c>
      <c r="EZ66" s="229">
        <v>-2.0199999999999999E-2</v>
      </c>
      <c r="FA66" s="229">
        <v>0.40289999999999998</v>
      </c>
      <c r="FB66" s="227" t="s">
        <v>556</v>
      </c>
      <c r="FC66">
        <f t="shared" si="0"/>
        <v>114</v>
      </c>
    </row>
    <row r="67" spans="1:159" ht="17.25" thickBot="1" x14ac:dyDescent="0.3">
      <c r="A67" s="226">
        <v>45946</v>
      </c>
      <c r="B67" s="227" t="s">
        <v>170</v>
      </c>
      <c r="C67" s="227" t="s">
        <v>214</v>
      </c>
      <c r="D67" s="228">
        <v>375</v>
      </c>
      <c r="E67" s="228">
        <v>12</v>
      </c>
      <c r="F67" s="231">
        <v>1872.6</v>
      </c>
      <c r="G67" s="231">
        <v>1897.8</v>
      </c>
      <c r="H67" s="228">
        <v>-25.2</v>
      </c>
      <c r="I67" s="229">
        <v>-1.3299999999999999E-2</v>
      </c>
      <c r="J67" s="231">
        <v>1864.4</v>
      </c>
      <c r="K67" s="231">
        <v>1894.2</v>
      </c>
      <c r="L67" s="228">
        <v>-29.8</v>
      </c>
      <c r="M67" s="229">
        <v>-1.5699999999999999E-2</v>
      </c>
      <c r="N67" s="231">
        <v>1872.6</v>
      </c>
      <c r="O67" s="231">
        <v>1897.8</v>
      </c>
      <c r="P67" s="228">
        <v>-25.2</v>
      </c>
      <c r="Q67" s="229">
        <v>-1.3299999999999999E-2</v>
      </c>
      <c r="R67" s="231">
        <v>1881.5</v>
      </c>
      <c r="S67" s="231">
        <v>1908.2</v>
      </c>
      <c r="T67" s="228">
        <v>-26.7</v>
      </c>
      <c r="U67" s="229">
        <v>-1.4E-2</v>
      </c>
      <c r="V67" s="231">
        <v>1896.2</v>
      </c>
      <c r="W67" s="231">
        <v>1920</v>
      </c>
      <c r="X67" s="228">
        <v>-23.8</v>
      </c>
      <c r="Y67" s="229">
        <v>-1.24E-2</v>
      </c>
      <c r="Z67" s="228">
        <v>8.1999999999999993</v>
      </c>
      <c r="AA67" s="228">
        <v>3.6</v>
      </c>
      <c r="AB67" s="228">
        <v>4.5999999999999996</v>
      </c>
      <c r="AC67" s="229">
        <v>4.4000000000000003E-3</v>
      </c>
      <c r="AD67" s="228">
        <v>8.1999999999999993</v>
      </c>
      <c r="AE67" s="228">
        <v>3.6</v>
      </c>
      <c r="AF67" s="228">
        <v>4.5999999999999996</v>
      </c>
      <c r="AG67" s="229">
        <v>4.4000000000000003E-3</v>
      </c>
      <c r="AH67" s="228">
        <v>17.100000000000001</v>
      </c>
      <c r="AI67" s="228">
        <v>14</v>
      </c>
      <c r="AJ67" s="228">
        <v>3.1</v>
      </c>
      <c r="AK67" s="229">
        <v>9.1999999999999998E-3</v>
      </c>
      <c r="AL67" s="228">
        <v>31.8</v>
      </c>
      <c r="AM67" s="228">
        <v>25.8</v>
      </c>
      <c r="AN67" s="228">
        <v>6</v>
      </c>
      <c r="AO67" s="229">
        <v>1.7100000000000001E-2</v>
      </c>
      <c r="AP67" s="231">
        <v>1876.44</v>
      </c>
      <c r="AQ67" s="231">
        <v>1886.59</v>
      </c>
      <c r="AR67" s="228">
        <v>0</v>
      </c>
      <c r="AS67" s="228">
        <v>252</v>
      </c>
      <c r="AT67" s="228">
        <v>121</v>
      </c>
      <c r="AU67" s="228">
        <v>132</v>
      </c>
      <c r="AV67" s="229">
        <v>1.0901000000000001</v>
      </c>
      <c r="AW67" s="228">
        <v>196</v>
      </c>
      <c r="AX67" s="228">
        <v>108</v>
      </c>
      <c r="AY67" s="228">
        <v>87</v>
      </c>
      <c r="AZ67" s="229">
        <v>0.80449999999999999</v>
      </c>
      <c r="BA67" s="228">
        <v>55</v>
      </c>
      <c r="BB67" s="228">
        <v>11</v>
      </c>
      <c r="BC67" s="228">
        <v>44</v>
      </c>
      <c r="BD67" s="229">
        <v>3.9068000000000001</v>
      </c>
      <c r="BE67" s="228">
        <v>1</v>
      </c>
      <c r="BF67" s="228">
        <v>1</v>
      </c>
      <c r="BG67" s="228">
        <v>0</v>
      </c>
      <c r="BH67" s="229">
        <v>0.21429999999999999</v>
      </c>
      <c r="BI67" s="228">
        <v>451</v>
      </c>
      <c r="BJ67" s="228">
        <v>353</v>
      </c>
      <c r="BK67" s="228">
        <v>97</v>
      </c>
      <c r="BL67" s="229">
        <v>0.27500000000000002</v>
      </c>
      <c r="BM67" s="228">
        <v>201</v>
      </c>
      <c r="BN67" s="228">
        <v>166</v>
      </c>
      <c r="BO67" s="228">
        <v>35</v>
      </c>
      <c r="BP67" s="229">
        <v>0.21190000000000001</v>
      </c>
      <c r="BQ67" s="228">
        <v>904</v>
      </c>
      <c r="BR67" s="228">
        <v>640</v>
      </c>
      <c r="BS67" s="228">
        <v>264</v>
      </c>
      <c r="BT67" s="229">
        <v>0.41239999999999999</v>
      </c>
      <c r="BU67" s="230">
        <v>1342487</v>
      </c>
      <c r="BV67" s="230">
        <v>666308</v>
      </c>
      <c r="BW67" s="230">
        <v>676179</v>
      </c>
      <c r="BX67" s="229">
        <v>1.0147999999999999</v>
      </c>
      <c r="BY67" s="230">
        <v>1497</v>
      </c>
      <c r="BZ67" s="230">
        <v>1475</v>
      </c>
      <c r="CA67" s="228">
        <v>22</v>
      </c>
      <c r="CB67" s="229">
        <v>1.47E-2</v>
      </c>
      <c r="CC67" s="230">
        <v>1442</v>
      </c>
      <c r="CD67" s="230">
        <v>1448</v>
      </c>
      <c r="CE67" s="228">
        <v>-6</v>
      </c>
      <c r="CF67" s="229">
        <v>-4.4999999999999997E-3</v>
      </c>
      <c r="CG67" s="228">
        <v>51</v>
      </c>
      <c r="CH67" s="228">
        <v>24</v>
      </c>
      <c r="CI67" s="228">
        <v>28</v>
      </c>
      <c r="CJ67" s="229">
        <v>1.1720999999999999</v>
      </c>
      <c r="CK67" s="228">
        <v>3</v>
      </c>
      <c r="CL67" s="228">
        <v>3</v>
      </c>
      <c r="CM67" s="228">
        <v>0</v>
      </c>
      <c r="CN67" s="229">
        <v>0.15790000000000001</v>
      </c>
      <c r="CO67" s="228">
        <v>487</v>
      </c>
      <c r="CP67" s="228">
        <v>446</v>
      </c>
      <c r="CQ67" s="228">
        <v>41</v>
      </c>
      <c r="CR67" s="229">
        <v>9.0999999999999998E-2</v>
      </c>
      <c r="CS67" s="228">
        <v>231</v>
      </c>
      <c r="CT67" s="228">
        <v>237</v>
      </c>
      <c r="CU67" s="228">
        <v>-6</v>
      </c>
      <c r="CV67" s="229">
        <v>-2.4899999999999999E-2</v>
      </c>
      <c r="CW67" s="230">
        <v>2214</v>
      </c>
      <c r="CX67" s="230">
        <v>2157</v>
      </c>
      <c r="CY67" s="228">
        <v>56</v>
      </c>
      <c r="CZ67" s="229">
        <v>2.6100000000000002E-2</v>
      </c>
      <c r="DA67" s="228">
        <v>27.88</v>
      </c>
      <c r="DB67" s="228">
        <v>27.84</v>
      </c>
      <c r="DC67" s="228">
        <v>0.04</v>
      </c>
      <c r="DD67" s="228">
        <v>0.04</v>
      </c>
      <c r="DE67" s="228">
        <v>38.229999999999997</v>
      </c>
      <c r="DF67" s="228">
        <v>38.26</v>
      </c>
      <c r="DG67" s="228">
        <v>-10.35</v>
      </c>
      <c r="DH67" s="228">
        <v>-0.03</v>
      </c>
      <c r="DI67" s="228">
        <v>28.95</v>
      </c>
      <c r="DJ67" s="228">
        <v>28.45</v>
      </c>
      <c r="DK67" s="228">
        <v>0.5</v>
      </c>
      <c r="DL67" s="228">
        <v>0.5</v>
      </c>
      <c r="DM67" s="228">
        <v>25.5</v>
      </c>
      <c r="DN67" s="228">
        <v>26.54</v>
      </c>
      <c r="DO67" s="228">
        <v>-1.04</v>
      </c>
      <c r="DP67" s="228">
        <v>-1.04</v>
      </c>
      <c r="DQ67" s="228">
        <v>0.47</v>
      </c>
      <c r="DR67" s="228">
        <v>0.53</v>
      </c>
      <c r="DS67" s="228">
        <v>-0.06</v>
      </c>
      <c r="DT67" s="229">
        <v>-0.1132</v>
      </c>
      <c r="DU67" s="231">
        <v>2000</v>
      </c>
      <c r="DV67" s="231">
        <v>1860</v>
      </c>
      <c r="DW67" s="228">
        <v>0.45</v>
      </c>
      <c r="DX67" s="228">
        <v>0.47</v>
      </c>
      <c r="DY67" s="228">
        <v>-0.02</v>
      </c>
      <c r="DZ67" s="229">
        <v>-4.2599999999999999E-2</v>
      </c>
      <c r="EA67" s="229">
        <v>3.6400000000000002E-2</v>
      </c>
      <c r="EB67" s="230">
        <v>140625</v>
      </c>
      <c r="EC67" s="229">
        <v>4.7999999999999996E-3</v>
      </c>
      <c r="ED67" s="229">
        <v>3.6400000000000002E-2</v>
      </c>
      <c r="EE67" s="228">
        <v>10.15</v>
      </c>
      <c r="EF67" s="229">
        <v>5.4000000000000003E-3</v>
      </c>
      <c r="EG67" s="230">
        <v>999886</v>
      </c>
      <c r="EH67" s="230">
        <v>508113</v>
      </c>
      <c r="EI67" s="229">
        <v>0.96779999999999999</v>
      </c>
      <c r="EJ67" s="229">
        <v>0.74480000000000002</v>
      </c>
      <c r="EK67" s="228">
        <v>477.83</v>
      </c>
      <c r="EL67" s="228">
        <v>203.14</v>
      </c>
      <c r="EM67" s="228">
        <v>253.28</v>
      </c>
      <c r="EN67" s="228">
        <v>24.21</v>
      </c>
      <c r="EO67" s="228">
        <v>934.25</v>
      </c>
      <c r="EP67" s="228">
        <v>668.83</v>
      </c>
      <c r="EQ67" s="228">
        <v>265.42</v>
      </c>
      <c r="ER67" s="229">
        <v>0.39679999999999999</v>
      </c>
      <c r="ES67" s="228">
        <v>528.66999999999996</v>
      </c>
      <c r="ET67" s="228">
        <v>233.01</v>
      </c>
      <c r="EU67" s="231">
        <v>1496.79</v>
      </c>
      <c r="EV67" s="231">
        <v>22585180</v>
      </c>
      <c r="EW67" s="231">
        <v>2258.48</v>
      </c>
      <c r="EX67" s="231">
        <v>2222.85</v>
      </c>
      <c r="EY67" s="228">
        <v>35.630000000000003</v>
      </c>
      <c r="EZ67" s="229">
        <v>1.6E-2</v>
      </c>
      <c r="FA67" s="229">
        <v>0.52339999999999998</v>
      </c>
      <c r="FB67" s="227" t="s">
        <v>567</v>
      </c>
      <c r="FC67">
        <f t="shared" ref="FC67:FC130" si="1">BY67-CC67</f>
        <v>55</v>
      </c>
    </row>
    <row r="68" spans="1:159" ht="17.25" thickBot="1" x14ac:dyDescent="0.3">
      <c r="A68" s="226">
        <v>45946</v>
      </c>
      <c r="B68" s="227" t="s">
        <v>215</v>
      </c>
      <c r="C68" s="227" t="s">
        <v>631</v>
      </c>
      <c r="D68" s="228">
        <v>6975</v>
      </c>
      <c r="E68" s="228">
        <v>12</v>
      </c>
      <c r="F68" s="228">
        <v>90.97</v>
      </c>
      <c r="G68" s="228">
        <v>90.32</v>
      </c>
      <c r="H68" s="228">
        <v>0.65</v>
      </c>
      <c r="I68" s="229">
        <v>7.1999999999999998E-3</v>
      </c>
      <c r="J68" s="228">
        <v>90.87</v>
      </c>
      <c r="K68" s="228">
        <v>90.16</v>
      </c>
      <c r="L68" s="228">
        <v>0.71</v>
      </c>
      <c r="M68" s="229">
        <v>7.9000000000000008E-3</v>
      </c>
      <c r="N68" s="228">
        <v>90.97</v>
      </c>
      <c r="O68" s="228">
        <v>90.32</v>
      </c>
      <c r="P68" s="228">
        <v>0.65</v>
      </c>
      <c r="Q68" s="229">
        <v>7.1999999999999998E-3</v>
      </c>
      <c r="R68" s="228">
        <v>91.55</v>
      </c>
      <c r="S68" s="228">
        <v>90.8</v>
      </c>
      <c r="T68" s="228">
        <v>0.75</v>
      </c>
      <c r="U68" s="229">
        <v>8.3000000000000001E-3</v>
      </c>
      <c r="V68" s="228">
        <v>91.98</v>
      </c>
      <c r="W68" s="228">
        <v>91.47</v>
      </c>
      <c r="X68" s="228">
        <v>0.51</v>
      </c>
      <c r="Y68" s="229">
        <v>5.5999999999999999E-3</v>
      </c>
      <c r="Z68" s="228">
        <v>0.1</v>
      </c>
      <c r="AA68" s="228">
        <v>0.16</v>
      </c>
      <c r="AB68" s="228">
        <v>-0.06</v>
      </c>
      <c r="AC68" s="229">
        <v>1.1000000000000001E-3</v>
      </c>
      <c r="AD68" s="228">
        <v>0.1</v>
      </c>
      <c r="AE68" s="228">
        <v>0.16</v>
      </c>
      <c r="AF68" s="228">
        <v>-0.06</v>
      </c>
      <c r="AG68" s="229">
        <v>1.1000000000000001E-3</v>
      </c>
      <c r="AH68" s="228">
        <v>0.68</v>
      </c>
      <c r="AI68" s="228">
        <v>0.64</v>
      </c>
      <c r="AJ68" s="228">
        <v>0.04</v>
      </c>
      <c r="AK68" s="229">
        <v>7.4999999999999997E-3</v>
      </c>
      <c r="AL68" s="228">
        <v>1.1100000000000001</v>
      </c>
      <c r="AM68" s="228">
        <v>1.31</v>
      </c>
      <c r="AN68" s="228">
        <v>-0.2</v>
      </c>
      <c r="AO68" s="229">
        <v>1.2200000000000001E-2</v>
      </c>
      <c r="AP68" s="228">
        <v>90.96</v>
      </c>
      <c r="AQ68" s="228">
        <v>91.47</v>
      </c>
      <c r="AR68" s="228">
        <v>0</v>
      </c>
      <c r="AS68" s="228">
        <v>185</v>
      </c>
      <c r="AT68" s="228">
        <v>115</v>
      </c>
      <c r="AU68" s="228">
        <v>70</v>
      </c>
      <c r="AV68" s="229">
        <v>0.61209999999999998</v>
      </c>
      <c r="AW68" s="228">
        <v>157</v>
      </c>
      <c r="AX68" s="228">
        <v>97</v>
      </c>
      <c r="AY68" s="228">
        <v>60</v>
      </c>
      <c r="AZ68" s="229">
        <v>0.61280000000000001</v>
      </c>
      <c r="BA68" s="228">
        <v>27</v>
      </c>
      <c r="BB68" s="228">
        <v>16</v>
      </c>
      <c r="BC68" s="228">
        <v>11</v>
      </c>
      <c r="BD68" s="229">
        <v>0.66539999999999999</v>
      </c>
      <c r="BE68" s="228">
        <v>1</v>
      </c>
      <c r="BF68" s="228">
        <v>1</v>
      </c>
      <c r="BG68" s="228">
        <v>0</v>
      </c>
      <c r="BH68" s="229">
        <v>-0.3125</v>
      </c>
      <c r="BI68" s="228">
        <v>429</v>
      </c>
      <c r="BJ68" s="228">
        <v>323</v>
      </c>
      <c r="BK68" s="228">
        <v>106</v>
      </c>
      <c r="BL68" s="229">
        <v>0.32969999999999999</v>
      </c>
      <c r="BM68" s="228">
        <v>229</v>
      </c>
      <c r="BN68" s="228">
        <v>124</v>
      </c>
      <c r="BO68" s="228">
        <v>105</v>
      </c>
      <c r="BP68" s="229">
        <v>0.85050000000000003</v>
      </c>
      <c r="BQ68" s="228">
        <v>843</v>
      </c>
      <c r="BR68" s="228">
        <v>561</v>
      </c>
      <c r="BS68" s="228">
        <v>282</v>
      </c>
      <c r="BT68" s="229">
        <v>0.50239999999999996</v>
      </c>
      <c r="BU68" s="230">
        <v>6688742</v>
      </c>
      <c r="BV68" s="230">
        <v>4646050</v>
      </c>
      <c r="BW68" s="230">
        <v>2042692</v>
      </c>
      <c r="BX68" s="229">
        <v>0.43969999999999998</v>
      </c>
      <c r="BY68" s="230">
        <v>2021</v>
      </c>
      <c r="BZ68" s="230">
        <v>2023</v>
      </c>
      <c r="CA68" s="228">
        <v>-2</v>
      </c>
      <c r="CB68" s="229">
        <v>-8.0000000000000004E-4</v>
      </c>
      <c r="CC68" s="230">
        <v>1868</v>
      </c>
      <c r="CD68" s="230">
        <v>1879</v>
      </c>
      <c r="CE68" s="228">
        <v>-11</v>
      </c>
      <c r="CF68" s="229">
        <v>-5.7000000000000002E-3</v>
      </c>
      <c r="CG68" s="228">
        <v>150</v>
      </c>
      <c r="CH68" s="228">
        <v>140</v>
      </c>
      <c r="CI68" s="228">
        <v>9</v>
      </c>
      <c r="CJ68" s="229">
        <v>6.7500000000000004E-2</v>
      </c>
      <c r="CK68" s="228">
        <v>4</v>
      </c>
      <c r="CL68" s="228">
        <v>4</v>
      </c>
      <c r="CM68" s="228">
        <v>0</v>
      </c>
      <c r="CN68" s="229">
        <v>-8.2000000000000003E-2</v>
      </c>
      <c r="CO68" s="228">
        <v>723</v>
      </c>
      <c r="CP68" s="228">
        <v>705</v>
      </c>
      <c r="CQ68" s="228">
        <v>18</v>
      </c>
      <c r="CR68" s="229">
        <v>2.5899999999999999E-2</v>
      </c>
      <c r="CS68" s="228">
        <v>358</v>
      </c>
      <c r="CT68" s="228">
        <v>336</v>
      </c>
      <c r="CU68" s="228">
        <v>22</v>
      </c>
      <c r="CV68" s="229">
        <v>6.6100000000000006E-2</v>
      </c>
      <c r="CW68" s="230">
        <v>3103</v>
      </c>
      <c r="CX68" s="230">
        <v>3064</v>
      </c>
      <c r="CY68" s="228">
        <v>39</v>
      </c>
      <c r="CZ68" s="229">
        <v>1.2699999999999999E-2</v>
      </c>
      <c r="DA68" s="228">
        <v>26.48</v>
      </c>
      <c r="DB68" s="228">
        <v>27.31</v>
      </c>
      <c r="DC68" s="228">
        <v>-0.83</v>
      </c>
      <c r="DD68" s="228">
        <v>-0.83</v>
      </c>
      <c r="DE68" s="228">
        <v>37.340000000000003</v>
      </c>
      <c r="DF68" s="228">
        <v>37.42</v>
      </c>
      <c r="DG68" s="228">
        <v>-10.86</v>
      </c>
      <c r="DH68" s="228">
        <v>-0.08</v>
      </c>
      <c r="DI68" s="228">
        <v>25.66</v>
      </c>
      <c r="DJ68" s="228">
        <v>27.53</v>
      </c>
      <c r="DK68" s="228">
        <v>-1.87</v>
      </c>
      <c r="DL68" s="228">
        <v>-1.87</v>
      </c>
      <c r="DM68" s="228">
        <v>28.01</v>
      </c>
      <c r="DN68" s="228">
        <v>26.73</v>
      </c>
      <c r="DO68" s="228">
        <v>1.28</v>
      </c>
      <c r="DP68" s="228">
        <v>1.28</v>
      </c>
      <c r="DQ68" s="228">
        <v>0.5</v>
      </c>
      <c r="DR68" s="228">
        <v>0.48</v>
      </c>
      <c r="DS68" s="228">
        <v>0.02</v>
      </c>
      <c r="DT68" s="229">
        <v>4.1700000000000001E-2</v>
      </c>
      <c r="DU68" s="228">
        <v>95</v>
      </c>
      <c r="DV68" s="228">
        <v>85</v>
      </c>
      <c r="DW68" s="228">
        <v>0.53</v>
      </c>
      <c r="DX68" s="228">
        <v>0.38</v>
      </c>
      <c r="DY68" s="228">
        <v>0.15</v>
      </c>
      <c r="DZ68" s="229">
        <v>0.3947</v>
      </c>
      <c r="EA68" s="229">
        <v>7.5700000000000003E-2</v>
      </c>
      <c r="EB68" s="230">
        <v>15826275</v>
      </c>
      <c r="EC68" s="229">
        <v>6.4000000000000003E-3</v>
      </c>
      <c r="ED68" s="229">
        <v>7.5700000000000003E-2</v>
      </c>
      <c r="EE68" s="228">
        <v>0.51</v>
      </c>
      <c r="EF68" s="229">
        <v>5.5999999999999999E-3</v>
      </c>
      <c r="EG68" s="230">
        <v>3845369</v>
      </c>
      <c r="EH68" s="230">
        <v>2717220</v>
      </c>
      <c r="EI68" s="229">
        <v>0.41520000000000001</v>
      </c>
      <c r="EJ68" s="229">
        <v>0.57489999999999997</v>
      </c>
      <c r="EK68" s="228">
        <v>445.29</v>
      </c>
      <c r="EL68" s="228">
        <v>225.26</v>
      </c>
      <c r="EM68" s="228">
        <v>184.98</v>
      </c>
      <c r="EN68" s="228">
        <v>29.5</v>
      </c>
      <c r="EO68" s="228">
        <v>855.53</v>
      </c>
      <c r="EP68" s="228">
        <v>569.1</v>
      </c>
      <c r="EQ68" s="228">
        <v>286.43</v>
      </c>
      <c r="ER68" s="229">
        <v>0.50329999999999997</v>
      </c>
      <c r="ES68" s="228">
        <v>747.37</v>
      </c>
      <c r="ET68" s="228">
        <v>341.54</v>
      </c>
      <c r="EU68" s="231">
        <v>2022.31</v>
      </c>
      <c r="EV68" s="231">
        <v>534704421</v>
      </c>
      <c r="EW68" s="231">
        <v>3111.21</v>
      </c>
      <c r="EX68" s="231">
        <v>3058.73</v>
      </c>
      <c r="EY68" s="228">
        <v>52.48</v>
      </c>
      <c r="EZ68" s="229">
        <v>1.72E-2</v>
      </c>
      <c r="FA68" s="229">
        <v>0.63790000000000002</v>
      </c>
      <c r="FB68" s="227" t="s">
        <v>556</v>
      </c>
      <c r="FC68">
        <f t="shared" si="1"/>
        <v>153</v>
      </c>
    </row>
    <row r="69" spans="1:159" ht="17.25" thickBot="1" x14ac:dyDescent="0.3">
      <c r="A69" s="226">
        <v>45946</v>
      </c>
      <c r="B69" s="227" t="s">
        <v>168</v>
      </c>
      <c r="C69" s="227" t="s">
        <v>217</v>
      </c>
      <c r="D69" s="228">
        <v>500</v>
      </c>
      <c r="E69" s="228">
        <v>12</v>
      </c>
      <c r="F69" s="231">
        <v>1122.9000000000001</v>
      </c>
      <c r="G69" s="231">
        <v>1113</v>
      </c>
      <c r="H69" s="228">
        <v>9.9</v>
      </c>
      <c r="I69" s="229">
        <v>8.8999999999999999E-3</v>
      </c>
      <c r="J69" s="231">
        <v>1120.0999999999999</v>
      </c>
      <c r="K69" s="231">
        <v>1110.5999999999999</v>
      </c>
      <c r="L69" s="228">
        <v>9.5</v>
      </c>
      <c r="M69" s="229">
        <v>8.6E-3</v>
      </c>
      <c r="N69" s="231">
        <v>1122.9000000000001</v>
      </c>
      <c r="O69" s="231">
        <v>1113</v>
      </c>
      <c r="P69" s="228">
        <v>9.9</v>
      </c>
      <c r="Q69" s="229">
        <v>8.8999999999999999E-3</v>
      </c>
      <c r="R69" s="231">
        <v>1114.2</v>
      </c>
      <c r="S69" s="231">
        <v>1104</v>
      </c>
      <c r="T69" s="228">
        <v>10.199999999999999</v>
      </c>
      <c r="U69" s="229">
        <v>9.1999999999999998E-3</v>
      </c>
      <c r="V69" s="231">
        <v>1111.4000000000001</v>
      </c>
      <c r="W69" s="231">
        <v>1097</v>
      </c>
      <c r="X69" s="228">
        <v>14.4</v>
      </c>
      <c r="Y69" s="229">
        <v>1.3100000000000001E-2</v>
      </c>
      <c r="Z69" s="228">
        <v>2.8</v>
      </c>
      <c r="AA69" s="228">
        <v>2.4</v>
      </c>
      <c r="AB69" s="228">
        <v>0.4</v>
      </c>
      <c r="AC69" s="229">
        <v>2.5000000000000001E-3</v>
      </c>
      <c r="AD69" s="228">
        <v>2.8</v>
      </c>
      <c r="AE69" s="228">
        <v>2.4</v>
      </c>
      <c r="AF69" s="228">
        <v>0.4</v>
      </c>
      <c r="AG69" s="229">
        <v>2.5000000000000001E-3</v>
      </c>
      <c r="AH69" s="228">
        <v>-5.9</v>
      </c>
      <c r="AI69" s="228">
        <v>-6.6</v>
      </c>
      <c r="AJ69" s="228">
        <v>0.7</v>
      </c>
      <c r="AK69" s="229">
        <v>-5.3E-3</v>
      </c>
      <c r="AL69" s="228">
        <v>-8.6999999999999993</v>
      </c>
      <c r="AM69" s="228">
        <v>-13.6</v>
      </c>
      <c r="AN69" s="228">
        <v>4.9000000000000004</v>
      </c>
      <c r="AO69" s="229">
        <v>-7.7999999999999996E-3</v>
      </c>
      <c r="AP69" s="231">
        <v>1119.0899999999999</v>
      </c>
      <c r="AQ69" s="231">
        <v>1109.94</v>
      </c>
      <c r="AR69" s="228">
        <v>0</v>
      </c>
      <c r="AS69" s="228">
        <v>193</v>
      </c>
      <c r="AT69" s="228">
        <v>127</v>
      </c>
      <c r="AU69" s="228">
        <v>67</v>
      </c>
      <c r="AV69" s="229">
        <v>0.52480000000000004</v>
      </c>
      <c r="AW69" s="228">
        <v>161</v>
      </c>
      <c r="AX69" s="228">
        <v>108</v>
      </c>
      <c r="AY69" s="228">
        <v>52</v>
      </c>
      <c r="AZ69" s="229">
        <v>0.48270000000000002</v>
      </c>
      <c r="BA69" s="228">
        <v>31</v>
      </c>
      <c r="BB69" s="228">
        <v>18</v>
      </c>
      <c r="BC69" s="228">
        <v>13</v>
      </c>
      <c r="BD69" s="229">
        <v>0.74060000000000004</v>
      </c>
      <c r="BE69" s="228">
        <v>1</v>
      </c>
      <c r="BF69" s="228">
        <v>1</v>
      </c>
      <c r="BG69" s="228">
        <v>1</v>
      </c>
      <c r="BH69" s="229">
        <v>1.8889</v>
      </c>
      <c r="BI69" s="228">
        <v>567</v>
      </c>
      <c r="BJ69" s="228">
        <v>249</v>
      </c>
      <c r="BK69" s="228">
        <v>318</v>
      </c>
      <c r="BL69" s="229">
        <v>1.2788999999999999</v>
      </c>
      <c r="BM69" s="228">
        <v>116</v>
      </c>
      <c r="BN69" s="228">
        <v>89</v>
      </c>
      <c r="BO69" s="228">
        <v>27</v>
      </c>
      <c r="BP69" s="229">
        <v>0.30159999999999998</v>
      </c>
      <c r="BQ69" s="228">
        <v>876</v>
      </c>
      <c r="BR69" s="228">
        <v>465</v>
      </c>
      <c r="BS69" s="228">
        <v>412</v>
      </c>
      <c r="BT69" s="229">
        <v>0.88560000000000005</v>
      </c>
      <c r="BU69" s="230">
        <v>1562812</v>
      </c>
      <c r="BV69" s="230">
        <v>827277</v>
      </c>
      <c r="BW69" s="230">
        <v>735535</v>
      </c>
      <c r="BX69" s="229">
        <v>0.8891</v>
      </c>
      <c r="BY69" s="230">
        <v>1400</v>
      </c>
      <c r="BZ69" s="230">
        <v>1371</v>
      </c>
      <c r="CA69" s="228">
        <v>29</v>
      </c>
      <c r="CB69" s="229">
        <v>2.12E-2</v>
      </c>
      <c r="CC69" s="230">
        <v>1323</v>
      </c>
      <c r="CD69" s="230">
        <v>1303</v>
      </c>
      <c r="CE69" s="228">
        <v>20</v>
      </c>
      <c r="CF69" s="229">
        <v>1.4999999999999999E-2</v>
      </c>
      <c r="CG69" s="228">
        <v>73</v>
      </c>
      <c r="CH69" s="228">
        <v>64</v>
      </c>
      <c r="CI69" s="228">
        <v>8</v>
      </c>
      <c r="CJ69" s="229">
        <v>0.1321</v>
      </c>
      <c r="CK69" s="228">
        <v>4</v>
      </c>
      <c r="CL69" s="228">
        <v>3</v>
      </c>
      <c r="CM69" s="228">
        <v>1</v>
      </c>
      <c r="CN69" s="229">
        <v>0.3654</v>
      </c>
      <c r="CO69" s="228">
        <v>531</v>
      </c>
      <c r="CP69" s="228">
        <v>476</v>
      </c>
      <c r="CQ69" s="228">
        <v>55</v>
      </c>
      <c r="CR69" s="229">
        <v>0.1153</v>
      </c>
      <c r="CS69" s="228">
        <v>240</v>
      </c>
      <c r="CT69" s="228">
        <v>240</v>
      </c>
      <c r="CU69" s="228">
        <v>0</v>
      </c>
      <c r="CV69" s="229">
        <v>-8.9999999999999998E-4</v>
      </c>
      <c r="CW69" s="230">
        <v>2171</v>
      </c>
      <c r="CX69" s="230">
        <v>2087</v>
      </c>
      <c r="CY69" s="228">
        <v>84</v>
      </c>
      <c r="CZ69" s="229">
        <v>4.0099999999999997E-2</v>
      </c>
      <c r="DA69" s="228">
        <v>26.58</v>
      </c>
      <c r="DB69" s="228">
        <v>24.85</v>
      </c>
      <c r="DC69" s="228">
        <v>1.73</v>
      </c>
      <c r="DD69" s="228">
        <v>1.73</v>
      </c>
      <c r="DE69" s="228">
        <v>29.91</v>
      </c>
      <c r="DF69" s="228">
        <v>29.96</v>
      </c>
      <c r="DG69" s="228">
        <v>-3.33</v>
      </c>
      <c r="DH69" s="228">
        <v>-0.05</v>
      </c>
      <c r="DI69" s="228">
        <v>26.86</v>
      </c>
      <c r="DJ69" s="228">
        <v>25.01</v>
      </c>
      <c r="DK69" s="228">
        <v>1.85</v>
      </c>
      <c r="DL69" s="228">
        <v>1.85</v>
      </c>
      <c r="DM69" s="228">
        <v>25.23</v>
      </c>
      <c r="DN69" s="228">
        <v>24.4</v>
      </c>
      <c r="DO69" s="228">
        <v>0.83</v>
      </c>
      <c r="DP69" s="228">
        <v>0.83</v>
      </c>
      <c r="DQ69" s="228">
        <v>0.45</v>
      </c>
      <c r="DR69" s="228">
        <v>0.5</v>
      </c>
      <c r="DS69" s="228">
        <v>-0.05</v>
      </c>
      <c r="DT69" s="229">
        <v>-0.1</v>
      </c>
      <c r="DU69" s="231">
        <v>1200</v>
      </c>
      <c r="DV69" s="231">
        <v>1100</v>
      </c>
      <c r="DW69" s="228">
        <v>0.2</v>
      </c>
      <c r="DX69" s="228">
        <v>0.36</v>
      </c>
      <c r="DY69" s="228">
        <v>-0.16</v>
      </c>
      <c r="DZ69" s="229">
        <v>-0.44440000000000002</v>
      </c>
      <c r="EA69" s="229">
        <v>5.4800000000000001E-2</v>
      </c>
      <c r="EB69" s="230">
        <v>597500</v>
      </c>
      <c r="EC69" s="229">
        <v>-7.7000000000000002E-3</v>
      </c>
      <c r="ED69" s="229">
        <v>5.4800000000000001E-2</v>
      </c>
      <c r="EE69" s="228">
        <v>-9.15</v>
      </c>
      <c r="EF69" s="229">
        <v>-8.2000000000000007E-3</v>
      </c>
      <c r="EG69" s="230">
        <v>1036470</v>
      </c>
      <c r="EH69" s="230">
        <v>508988</v>
      </c>
      <c r="EI69" s="229">
        <v>1.0363</v>
      </c>
      <c r="EJ69" s="229">
        <v>0.66320000000000001</v>
      </c>
      <c r="EK69" s="228">
        <v>594.17999999999995</v>
      </c>
      <c r="EL69" s="228">
        <v>115.23</v>
      </c>
      <c r="EM69" s="228">
        <v>192.55</v>
      </c>
      <c r="EN69" s="228">
        <v>28.34</v>
      </c>
      <c r="EO69" s="228">
        <v>901.95</v>
      </c>
      <c r="EP69" s="228">
        <v>470.65</v>
      </c>
      <c r="EQ69" s="228">
        <v>431.3</v>
      </c>
      <c r="ER69" s="229">
        <v>0.91639999999999999</v>
      </c>
      <c r="ES69" s="228">
        <v>565.14</v>
      </c>
      <c r="ET69" s="228">
        <v>235.26</v>
      </c>
      <c r="EU69" s="231">
        <v>1399.03</v>
      </c>
      <c r="EV69" s="231">
        <v>58001204</v>
      </c>
      <c r="EW69" s="231">
        <v>2199.44</v>
      </c>
      <c r="EX69" s="231">
        <v>2100.42</v>
      </c>
      <c r="EY69" s="228">
        <v>99.02</v>
      </c>
      <c r="EZ69" s="229">
        <v>4.7100000000000003E-2</v>
      </c>
      <c r="FA69" s="229">
        <v>0.33329999999999999</v>
      </c>
      <c r="FB69" s="227" t="s">
        <v>555</v>
      </c>
      <c r="FC69">
        <f t="shared" si="1"/>
        <v>77</v>
      </c>
    </row>
    <row r="70" spans="1:159" ht="17.25" thickBot="1" x14ac:dyDescent="0.3">
      <c r="A70" s="226">
        <v>45946</v>
      </c>
      <c r="B70" s="227" t="s">
        <v>206</v>
      </c>
      <c r="C70" s="227" t="s">
        <v>218</v>
      </c>
      <c r="D70" s="228">
        <v>275</v>
      </c>
      <c r="E70" s="228">
        <v>12</v>
      </c>
      <c r="F70" s="231">
        <v>2208</v>
      </c>
      <c r="G70" s="231">
        <v>2140.4</v>
      </c>
      <c r="H70" s="228">
        <v>67.599999999999994</v>
      </c>
      <c r="I70" s="229">
        <v>3.1600000000000003E-2</v>
      </c>
      <c r="J70" s="231">
        <v>2205.3000000000002</v>
      </c>
      <c r="K70" s="231">
        <v>2135.6</v>
      </c>
      <c r="L70" s="228">
        <v>69.7</v>
      </c>
      <c r="M70" s="229">
        <v>3.2599999999999997E-2</v>
      </c>
      <c r="N70" s="231">
        <v>2208</v>
      </c>
      <c r="O70" s="231">
        <v>2140.4</v>
      </c>
      <c r="P70" s="228">
        <v>67.599999999999994</v>
      </c>
      <c r="Q70" s="229">
        <v>3.1600000000000003E-2</v>
      </c>
      <c r="R70" s="231">
        <v>2218.4</v>
      </c>
      <c r="S70" s="231">
        <v>2151</v>
      </c>
      <c r="T70" s="228">
        <v>67.400000000000006</v>
      </c>
      <c r="U70" s="229">
        <v>3.1300000000000001E-2</v>
      </c>
      <c r="V70" s="231">
        <v>2231.5</v>
      </c>
      <c r="W70" s="231">
        <v>2165.1999999999998</v>
      </c>
      <c r="X70" s="228">
        <v>66.3</v>
      </c>
      <c r="Y70" s="229">
        <v>3.0599999999999999E-2</v>
      </c>
      <c r="Z70" s="228">
        <v>2.7</v>
      </c>
      <c r="AA70" s="228">
        <v>4.8</v>
      </c>
      <c r="AB70" s="228">
        <v>-2.1</v>
      </c>
      <c r="AC70" s="229">
        <v>1.1999999999999999E-3</v>
      </c>
      <c r="AD70" s="228">
        <v>2.7</v>
      </c>
      <c r="AE70" s="228">
        <v>4.8</v>
      </c>
      <c r="AF70" s="228">
        <v>-2.1</v>
      </c>
      <c r="AG70" s="229">
        <v>1.1999999999999999E-3</v>
      </c>
      <c r="AH70" s="228">
        <v>13.1</v>
      </c>
      <c r="AI70" s="228">
        <v>15.4</v>
      </c>
      <c r="AJ70" s="228">
        <v>-2.2999999999999998</v>
      </c>
      <c r="AK70" s="229">
        <v>5.8999999999999999E-3</v>
      </c>
      <c r="AL70" s="228">
        <v>26.2</v>
      </c>
      <c r="AM70" s="228">
        <v>29.6</v>
      </c>
      <c r="AN70" s="228">
        <v>-3.4</v>
      </c>
      <c r="AO70" s="229">
        <v>1.1900000000000001E-2</v>
      </c>
      <c r="AP70" s="231">
        <v>2191.75</v>
      </c>
      <c r="AQ70" s="231">
        <v>2206.19</v>
      </c>
      <c r="AR70" s="228">
        <v>0</v>
      </c>
      <c r="AS70" s="228">
        <v>574</v>
      </c>
      <c r="AT70" s="228">
        <v>511</v>
      </c>
      <c r="AU70" s="228">
        <v>63</v>
      </c>
      <c r="AV70" s="229">
        <v>0.1236</v>
      </c>
      <c r="AW70" s="228">
        <v>488</v>
      </c>
      <c r="AX70" s="228">
        <v>469</v>
      </c>
      <c r="AY70" s="228">
        <v>19</v>
      </c>
      <c r="AZ70" s="229">
        <v>4.0800000000000003E-2</v>
      </c>
      <c r="BA70" s="228">
        <v>76</v>
      </c>
      <c r="BB70" s="228">
        <v>34</v>
      </c>
      <c r="BC70" s="228">
        <v>42</v>
      </c>
      <c r="BD70" s="229">
        <v>1.2591000000000001</v>
      </c>
      <c r="BE70" s="228">
        <v>10</v>
      </c>
      <c r="BF70" s="228">
        <v>8</v>
      </c>
      <c r="BG70" s="228">
        <v>2</v>
      </c>
      <c r="BH70" s="229">
        <v>0.21579999999999999</v>
      </c>
      <c r="BI70" s="230">
        <v>2222</v>
      </c>
      <c r="BJ70" s="230">
        <v>2418</v>
      </c>
      <c r="BK70" s="228">
        <v>-195</v>
      </c>
      <c r="BL70" s="229">
        <v>-8.0799999999999997E-2</v>
      </c>
      <c r="BM70" s="230">
        <v>1040</v>
      </c>
      <c r="BN70" s="228">
        <v>908</v>
      </c>
      <c r="BO70" s="228">
        <v>131</v>
      </c>
      <c r="BP70" s="229">
        <v>0.14460000000000001</v>
      </c>
      <c r="BQ70" s="230">
        <v>3836</v>
      </c>
      <c r="BR70" s="230">
        <v>3837</v>
      </c>
      <c r="BS70" s="228">
        <v>-1</v>
      </c>
      <c r="BT70" s="229">
        <v>-2.0000000000000001E-4</v>
      </c>
      <c r="BU70" s="230">
        <v>1337154</v>
      </c>
      <c r="BV70" s="230">
        <v>1083031</v>
      </c>
      <c r="BW70" s="230">
        <v>254123</v>
      </c>
      <c r="BX70" s="229">
        <v>0.2346</v>
      </c>
      <c r="BY70" s="230">
        <v>1999</v>
      </c>
      <c r="BZ70" s="230">
        <v>2055</v>
      </c>
      <c r="CA70" s="228">
        <v>-56</v>
      </c>
      <c r="CB70" s="229">
        <v>-2.7300000000000001E-2</v>
      </c>
      <c r="CC70" s="230">
        <v>1913</v>
      </c>
      <c r="CD70" s="230">
        <v>1996</v>
      </c>
      <c r="CE70" s="228">
        <v>-83</v>
      </c>
      <c r="CF70" s="229">
        <v>-4.1799999999999997E-2</v>
      </c>
      <c r="CG70" s="228">
        <v>77</v>
      </c>
      <c r="CH70" s="228">
        <v>53</v>
      </c>
      <c r="CI70" s="228">
        <v>24</v>
      </c>
      <c r="CJ70" s="229">
        <v>0.45040000000000002</v>
      </c>
      <c r="CK70" s="228">
        <v>9</v>
      </c>
      <c r="CL70" s="228">
        <v>6</v>
      </c>
      <c r="CM70" s="228">
        <v>3</v>
      </c>
      <c r="CN70" s="229">
        <v>0.60440000000000005</v>
      </c>
      <c r="CO70" s="228">
        <v>659</v>
      </c>
      <c r="CP70" s="228">
        <v>676</v>
      </c>
      <c r="CQ70" s="228">
        <v>-16</v>
      </c>
      <c r="CR70" s="229">
        <v>-2.4299999999999999E-2</v>
      </c>
      <c r="CS70" s="228">
        <v>488</v>
      </c>
      <c r="CT70" s="228">
        <v>439</v>
      </c>
      <c r="CU70" s="228">
        <v>48</v>
      </c>
      <c r="CV70" s="229">
        <v>0.10970000000000001</v>
      </c>
      <c r="CW70" s="230">
        <v>3146</v>
      </c>
      <c r="CX70" s="230">
        <v>3170</v>
      </c>
      <c r="CY70" s="228">
        <v>-24</v>
      </c>
      <c r="CZ70" s="229">
        <v>-7.7000000000000002E-3</v>
      </c>
      <c r="DA70" s="228">
        <v>29.57</v>
      </c>
      <c r="DB70" s="228">
        <v>30.71</v>
      </c>
      <c r="DC70" s="228">
        <v>-1.1399999999999999</v>
      </c>
      <c r="DD70" s="228">
        <v>-1.1399999999999999</v>
      </c>
      <c r="DE70" s="228">
        <v>44.42</v>
      </c>
      <c r="DF70" s="228">
        <v>44.34</v>
      </c>
      <c r="DG70" s="228">
        <v>-14.85</v>
      </c>
      <c r="DH70" s="228">
        <v>0.08</v>
      </c>
      <c r="DI70" s="228">
        <v>28.85</v>
      </c>
      <c r="DJ70" s="228">
        <v>30.48</v>
      </c>
      <c r="DK70" s="228">
        <v>-1.63</v>
      </c>
      <c r="DL70" s="228">
        <v>-1.63</v>
      </c>
      <c r="DM70" s="228">
        <v>31.12</v>
      </c>
      <c r="DN70" s="228">
        <v>31.3</v>
      </c>
      <c r="DO70" s="228">
        <v>-0.18</v>
      </c>
      <c r="DP70" s="228">
        <v>-0.18</v>
      </c>
      <c r="DQ70" s="228">
        <v>0.74</v>
      </c>
      <c r="DR70" s="228">
        <v>0.65</v>
      </c>
      <c r="DS70" s="228">
        <v>0.09</v>
      </c>
      <c r="DT70" s="229">
        <v>0.13850000000000001</v>
      </c>
      <c r="DU70" s="231">
        <v>2200</v>
      </c>
      <c r="DV70" s="231">
        <v>2000</v>
      </c>
      <c r="DW70" s="228">
        <v>0.47</v>
      </c>
      <c r="DX70" s="228">
        <v>0.38</v>
      </c>
      <c r="DY70" s="228">
        <v>0.09</v>
      </c>
      <c r="DZ70" s="229">
        <v>0.23680000000000001</v>
      </c>
      <c r="EA70" s="229">
        <v>4.3099999999999999E-2</v>
      </c>
      <c r="EB70" s="230">
        <v>266200</v>
      </c>
      <c r="EC70" s="229">
        <v>4.7000000000000002E-3</v>
      </c>
      <c r="ED70" s="229">
        <v>4.3099999999999999E-2</v>
      </c>
      <c r="EE70" s="228">
        <v>14.44</v>
      </c>
      <c r="EF70" s="229">
        <v>6.6E-3</v>
      </c>
      <c r="EG70" s="230">
        <v>687541</v>
      </c>
      <c r="EH70" s="230">
        <v>370529</v>
      </c>
      <c r="EI70" s="229">
        <v>0.85560000000000003</v>
      </c>
      <c r="EJ70" s="229">
        <v>0.51419999999999999</v>
      </c>
      <c r="EK70" s="231">
        <v>2276.35</v>
      </c>
      <c r="EL70" s="231">
        <v>1006.05</v>
      </c>
      <c r="EM70" s="228">
        <v>570.54999999999995</v>
      </c>
      <c r="EN70" s="228">
        <v>59.49</v>
      </c>
      <c r="EO70" s="231">
        <v>3852.95</v>
      </c>
      <c r="EP70" s="231">
        <v>3764.25</v>
      </c>
      <c r="EQ70" s="228">
        <v>88.7</v>
      </c>
      <c r="ER70" s="229">
        <v>2.3599999999999999E-2</v>
      </c>
      <c r="ES70" s="228">
        <v>661.89</v>
      </c>
      <c r="ET70" s="228">
        <v>451.63</v>
      </c>
      <c r="EU70" s="231">
        <v>1999.6</v>
      </c>
      <c r="EV70" s="231">
        <v>24082879</v>
      </c>
      <c r="EW70" s="231">
        <v>3113.13</v>
      </c>
      <c r="EX70" s="231">
        <v>3065.9</v>
      </c>
      <c r="EY70" s="228">
        <v>47.23</v>
      </c>
      <c r="EZ70" s="229">
        <v>1.54E-2</v>
      </c>
      <c r="FA70" s="229">
        <v>0.5917</v>
      </c>
      <c r="FB70" s="227" t="s">
        <v>556</v>
      </c>
      <c r="FC70">
        <f t="shared" si="1"/>
        <v>86</v>
      </c>
    </row>
    <row r="71" spans="1:159" ht="17.25" thickBot="1" x14ac:dyDescent="0.3">
      <c r="A71" s="226">
        <v>45946</v>
      </c>
      <c r="B71" s="227" t="s">
        <v>157</v>
      </c>
      <c r="C71" s="227" t="s">
        <v>219</v>
      </c>
      <c r="D71" s="228">
        <v>250</v>
      </c>
      <c r="E71" s="228">
        <v>12</v>
      </c>
      <c r="F71" s="231">
        <v>2868.7</v>
      </c>
      <c r="G71" s="231">
        <v>2829</v>
      </c>
      <c r="H71" s="228">
        <v>39.700000000000003</v>
      </c>
      <c r="I71" s="229">
        <v>1.4E-2</v>
      </c>
      <c r="J71" s="231">
        <v>2859.8</v>
      </c>
      <c r="K71" s="231">
        <v>2816.8</v>
      </c>
      <c r="L71" s="228">
        <v>43</v>
      </c>
      <c r="M71" s="229">
        <v>1.5299999999999999E-2</v>
      </c>
      <c r="N71" s="231">
        <v>2868.7</v>
      </c>
      <c r="O71" s="231">
        <v>2829</v>
      </c>
      <c r="P71" s="228">
        <v>39.700000000000003</v>
      </c>
      <c r="Q71" s="229">
        <v>1.4E-2</v>
      </c>
      <c r="R71" s="231">
        <v>2883.8</v>
      </c>
      <c r="S71" s="231">
        <v>2843.8</v>
      </c>
      <c r="T71" s="228">
        <v>40</v>
      </c>
      <c r="U71" s="229">
        <v>1.41E-2</v>
      </c>
      <c r="V71" s="231">
        <v>2905</v>
      </c>
      <c r="W71" s="231">
        <v>2862.7</v>
      </c>
      <c r="X71" s="228">
        <v>42.3</v>
      </c>
      <c r="Y71" s="229">
        <v>1.4800000000000001E-2</v>
      </c>
      <c r="Z71" s="228">
        <v>8.9</v>
      </c>
      <c r="AA71" s="228">
        <v>12.2</v>
      </c>
      <c r="AB71" s="228">
        <v>-3.3</v>
      </c>
      <c r="AC71" s="229">
        <v>3.0999999999999999E-3</v>
      </c>
      <c r="AD71" s="228">
        <v>8.9</v>
      </c>
      <c r="AE71" s="228">
        <v>12.2</v>
      </c>
      <c r="AF71" s="228">
        <v>-3.3</v>
      </c>
      <c r="AG71" s="229">
        <v>3.0999999999999999E-3</v>
      </c>
      <c r="AH71" s="228">
        <v>24</v>
      </c>
      <c r="AI71" s="228">
        <v>27</v>
      </c>
      <c r="AJ71" s="228">
        <v>-3</v>
      </c>
      <c r="AK71" s="229">
        <v>8.3999999999999995E-3</v>
      </c>
      <c r="AL71" s="228">
        <v>45.2</v>
      </c>
      <c r="AM71" s="228">
        <v>45.9</v>
      </c>
      <c r="AN71" s="228">
        <v>-0.7</v>
      </c>
      <c r="AO71" s="229">
        <v>1.5800000000000002E-2</v>
      </c>
      <c r="AP71" s="231">
        <v>2862.32</v>
      </c>
      <c r="AQ71" s="231">
        <v>2875.34</v>
      </c>
      <c r="AR71" s="228">
        <v>0</v>
      </c>
      <c r="AS71" s="228">
        <v>427</v>
      </c>
      <c r="AT71" s="228">
        <v>223</v>
      </c>
      <c r="AU71" s="228">
        <v>203</v>
      </c>
      <c r="AV71" s="229">
        <v>0.91100000000000003</v>
      </c>
      <c r="AW71" s="228">
        <v>396</v>
      </c>
      <c r="AX71" s="228">
        <v>184</v>
      </c>
      <c r="AY71" s="228">
        <v>212</v>
      </c>
      <c r="AZ71" s="229">
        <v>1.1548</v>
      </c>
      <c r="BA71" s="228">
        <v>29</v>
      </c>
      <c r="BB71" s="228">
        <v>38</v>
      </c>
      <c r="BC71" s="228">
        <v>-9</v>
      </c>
      <c r="BD71" s="229">
        <v>-0.2364</v>
      </c>
      <c r="BE71" s="228">
        <v>1</v>
      </c>
      <c r="BF71" s="228">
        <v>1</v>
      </c>
      <c r="BG71" s="228">
        <v>0</v>
      </c>
      <c r="BH71" s="229">
        <v>0</v>
      </c>
      <c r="BI71" s="230">
        <v>1075</v>
      </c>
      <c r="BJ71" s="228">
        <v>477</v>
      </c>
      <c r="BK71" s="228">
        <v>598</v>
      </c>
      <c r="BL71" s="229">
        <v>1.2538</v>
      </c>
      <c r="BM71" s="228">
        <v>502</v>
      </c>
      <c r="BN71" s="228">
        <v>212</v>
      </c>
      <c r="BO71" s="228">
        <v>290</v>
      </c>
      <c r="BP71" s="229">
        <v>1.3682000000000001</v>
      </c>
      <c r="BQ71" s="230">
        <v>2004</v>
      </c>
      <c r="BR71" s="228">
        <v>912</v>
      </c>
      <c r="BS71" s="230">
        <v>1092</v>
      </c>
      <c r="BT71" s="229">
        <v>1.1964999999999999</v>
      </c>
      <c r="BU71" s="230">
        <v>561347</v>
      </c>
      <c r="BV71" s="230">
        <v>485687</v>
      </c>
      <c r="BW71" s="230">
        <v>75660</v>
      </c>
      <c r="BX71" s="229">
        <v>0.15579999999999999</v>
      </c>
      <c r="BY71" s="230">
        <v>4231</v>
      </c>
      <c r="BZ71" s="230">
        <v>4171</v>
      </c>
      <c r="CA71" s="228">
        <v>60</v>
      </c>
      <c r="CB71" s="229">
        <v>1.4500000000000001E-2</v>
      </c>
      <c r="CC71" s="230">
        <v>4169</v>
      </c>
      <c r="CD71" s="230">
        <v>4120</v>
      </c>
      <c r="CE71" s="228">
        <v>49</v>
      </c>
      <c r="CF71" s="229">
        <v>1.1900000000000001E-2</v>
      </c>
      <c r="CG71" s="228">
        <v>58</v>
      </c>
      <c r="CH71" s="228">
        <v>47</v>
      </c>
      <c r="CI71" s="228">
        <v>11</v>
      </c>
      <c r="CJ71" s="229">
        <v>0.2344</v>
      </c>
      <c r="CK71" s="228">
        <v>4</v>
      </c>
      <c r="CL71" s="228">
        <v>3</v>
      </c>
      <c r="CM71" s="228">
        <v>0</v>
      </c>
      <c r="CN71" s="229">
        <v>8.5099999999999995E-2</v>
      </c>
      <c r="CO71" s="228">
        <v>444</v>
      </c>
      <c r="CP71" s="228">
        <v>478</v>
      </c>
      <c r="CQ71" s="228">
        <v>-34</v>
      </c>
      <c r="CR71" s="229">
        <v>-7.0599999999999996E-2</v>
      </c>
      <c r="CS71" s="228">
        <v>306</v>
      </c>
      <c r="CT71" s="228">
        <v>304</v>
      </c>
      <c r="CU71" s="228">
        <v>3</v>
      </c>
      <c r="CV71" s="229">
        <v>9.7000000000000003E-3</v>
      </c>
      <c r="CW71" s="230">
        <v>4982</v>
      </c>
      <c r="CX71" s="230">
        <v>4952</v>
      </c>
      <c r="CY71" s="228">
        <v>30</v>
      </c>
      <c r="CZ71" s="229">
        <v>6.0000000000000001E-3</v>
      </c>
      <c r="DA71" s="228">
        <v>18.690000000000001</v>
      </c>
      <c r="DB71" s="228">
        <v>19.47</v>
      </c>
      <c r="DC71" s="228">
        <v>-0.78</v>
      </c>
      <c r="DD71" s="228">
        <v>-0.78</v>
      </c>
      <c r="DE71" s="228">
        <v>25.54</v>
      </c>
      <c r="DF71" s="228">
        <v>25.52</v>
      </c>
      <c r="DG71" s="228">
        <v>-6.85</v>
      </c>
      <c r="DH71" s="228">
        <v>0.02</v>
      </c>
      <c r="DI71" s="228">
        <v>18.64</v>
      </c>
      <c r="DJ71" s="228">
        <v>19.68</v>
      </c>
      <c r="DK71" s="228">
        <v>-1.04</v>
      </c>
      <c r="DL71" s="228">
        <v>-1.04</v>
      </c>
      <c r="DM71" s="228">
        <v>18.79</v>
      </c>
      <c r="DN71" s="228">
        <v>18.98</v>
      </c>
      <c r="DO71" s="228">
        <v>-0.19</v>
      </c>
      <c r="DP71" s="228">
        <v>-0.19</v>
      </c>
      <c r="DQ71" s="228">
        <v>0.69</v>
      </c>
      <c r="DR71" s="228">
        <v>0.64</v>
      </c>
      <c r="DS71" s="228">
        <v>0.05</v>
      </c>
      <c r="DT71" s="229">
        <v>7.8100000000000003E-2</v>
      </c>
      <c r="DU71" s="231">
        <v>2900</v>
      </c>
      <c r="DV71" s="231">
        <v>2700</v>
      </c>
      <c r="DW71" s="228">
        <v>0.47</v>
      </c>
      <c r="DX71" s="228">
        <v>0.44</v>
      </c>
      <c r="DY71" s="228">
        <v>0.03</v>
      </c>
      <c r="DZ71" s="229">
        <v>6.8199999999999997E-2</v>
      </c>
      <c r="EA71" s="229">
        <v>1.46E-2</v>
      </c>
      <c r="EB71" s="230">
        <v>176000</v>
      </c>
      <c r="EC71" s="229">
        <v>5.3E-3</v>
      </c>
      <c r="ED71" s="229">
        <v>1.46E-2</v>
      </c>
      <c r="EE71" s="228">
        <v>13.02</v>
      </c>
      <c r="EF71" s="229">
        <v>4.4999999999999997E-3</v>
      </c>
      <c r="EG71" s="230">
        <v>341959</v>
      </c>
      <c r="EH71" s="230">
        <v>319625</v>
      </c>
      <c r="EI71" s="229">
        <v>6.9900000000000004E-2</v>
      </c>
      <c r="EJ71" s="229">
        <v>0.60919999999999996</v>
      </c>
      <c r="EK71" s="231">
        <v>1092.32</v>
      </c>
      <c r="EL71" s="228">
        <v>494.8</v>
      </c>
      <c r="EM71" s="228">
        <v>425.7</v>
      </c>
      <c r="EN71" s="228">
        <v>25.56</v>
      </c>
      <c r="EO71" s="231">
        <v>2012.82</v>
      </c>
      <c r="EP71" s="228">
        <v>911.59</v>
      </c>
      <c r="EQ71" s="231">
        <v>1101.23</v>
      </c>
      <c r="ER71" s="229">
        <v>1.208</v>
      </c>
      <c r="ES71" s="228">
        <v>454.91</v>
      </c>
      <c r="ET71" s="228">
        <v>292.47000000000003</v>
      </c>
      <c r="EU71" s="231">
        <v>4231.6099999999997</v>
      </c>
      <c r="EV71" s="231">
        <v>38514157</v>
      </c>
      <c r="EW71" s="231">
        <v>4978.99</v>
      </c>
      <c r="EX71" s="231">
        <v>4889.45</v>
      </c>
      <c r="EY71" s="228">
        <v>89.54</v>
      </c>
      <c r="EZ71" s="229">
        <v>1.83E-2</v>
      </c>
      <c r="FA71" s="229">
        <v>0.45090000000000002</v>
      </c>
      <c r="FB71" s="227" t="s">
        <v>555</v>
      </c>
      <c r="FC71">
        <f t="shared" si="1"/>
        <v>62</v>
      </c>
    </row>
    <row r="72" spans="1:159" ht="17.25" thickBot="1" x14ac:dyDescent="0.3">
      <c r="A72" s="226">
        <v>45946</v>
      </c>
      <c r="B72" s="227" t="s">
        <v>184</v>
      </c>
      <c r="C72" s="227" t="s">
        <v>513</v>
      </c>
      <c r="D72" s="228">
        <v>150</v>
      </c>
      <c r="E72" s="228">
        <v>12</v>
      </c>
      <c r="F72" s="231">
        <v>4879.8</v>
      </c>
      <c r="G72" s="231">
        <v>4866.2</v>
      </c>
      <c r="H72" s="228">
        <v>13.6</v>
      </c>
      <c r="I72" s="229">
        <v>2.8E-3</v>
      </c>
      <c r="J72" s="231">
        <v>4861.3</v>
      </c>
      <c r="K72" s="231">
        <v>4845.2</v>
      </c>
      <c r="L72" s="228">
        <v>16.100000000000001</v>
      </c>
      <c r="M72" s="229">
        <v>3.3E-3</v>
      </c>
      <c r="N72" s="231">
        <v>4879.8</v>
      </c>
      <c r="O72" s="231">
        <v>4866.2</v>
      </c>
      <c r="P72" s="228">
        <v>13.6</v>
      </c>
      <c r="Q72" s="229">
        <v>2.8E-3</v>
      </c>
      <c r="R72" s="231">
        <v>4904.6000000000004</v>
      </c>
      <c r="S72" s="231">
        <v>4891.5</v>
      </c>
      <c r="T72" s="228">
        <v>13.1</v>
      </c>
      <c r="U72" s="229">
        <v>2.7000000000000001E-3</v>
      </c>
      <c r="V72" s="231">
        <v>4932.8</v>
      </c>
      <c r="W72" s="231">
        <v>4919.3</v>
      </c>
      <c r="X72" s="228">
        <v>13.5</v>
      </c>
      <c r="Y72" s="229">
        <v>2.7000000000000001E-3</v>
      </c>
      <c r="Z72" s="228">
        <v>18.5</v>
      </c>
      <c r="AA72" s="228">
        <v>21</v>
      </c>
      <c r="AB72" s="228">
        <v>-2.5</v>
      </c>
      <c r="AC72" s="229">
        <v>3.8E-3</v>
      </c>
      <c r="AD72" s="228">
        <v>18.5</v>
      </c>
      <c r="AE72" s="228">
        <v>21</v>
      </c>
      <c r="AF72" s="228">
        <v>-2.5</v>
      </c>
      <c r="AG72" s="229">
        <v>3.8E-3</v>
      </c>
      <c r="AH72" s="228">
        <v>43.3</v>
      </c>
      <c r="AI72" s="228">
        <v>46.3</v>
      </c>
      <c r="AJ72" s="228">
        <v>-3</v>
      </c>
      <c r="AK72" s="229">
        <v>8.8999999999999999E-3</v>
      </c>
      <c r="AL72" s="228">
        <v>71.5</v>
      </c>
      <c r="AM72" s="228">
        <v>74.099999999999994</v>
      </c>
      <c r="AN72" s="228">
        <v>-2.6</v>
      </c>
      <c r="AO72" s="229">
        <v>1.47E-2</v>
      </c>
      <c r="AP72" s="231">
        <v>4877.46</v>
      </c>
      <c r="AQ72" s="231">
        <v>4902.33</v>
      </c>
      <c r="AR72" s="228">
        <v>0</v>
      </c>
      <c r="AS72" s="228">
        <v>583</v>
      </c>
      <c r="AT72" s="228">
        <v>908</v>
      </c>
      <c r="AU72" s="228">
        <v>-326</v>
      </c>
      <c r="AV72" s="229">
        <v>-0.35859999999999997</v>
      </c>
      <c r="AW72" s="228">
        <v>464</v>
      </c>
      <c r="AX72" s="228">
        <v>771</v>
      </c>
      <c r="AY72" s="228">
        <v>-307</v>
      </c>
      <c r="AZ72" s="229">
        <v>-0.39810000000000001</v>
      </c>
      <c r="BA72" s="228">
        <v>105</v>
      </c>
      <c r="BB72" s="228">
        <v>115</v>
      </c>
      <c r="BC72" s="228">
        <v>-10</v>
      </c>
      <c r="BD72" s="229">
        <v>-8.7999999999999995E-2</v>
      </c>
      <c r="BE72" s="228">
        <v>14</v>
      </c>
      <c r="BF72" s="228">
        <v>23</v>
      </c>
      <c r="BG72" s="228">
        <v>-9</v>
      </c>
      <c r="BH72" s="229">
        <v>-0.38219999999999998</v>
      </c>
      <c r="BI72" s="230">
        <v>2299</v>
      </c>
      <c r="BJ72" s="230">
        <v>4170</v>
      </c>
      <c r="BK72" s="230">
        <v>-1871</v>
      </c>
      <c r="BL72" s="229">
        <v>-0.44869999999999999</v>
      </c>
      <c r="BM72" s="228">
        <v>983</v>
      </c>
      <c r="BN72" s="230">
        <v>1808</v>
      </c>
      <c r="BO72" s="228">
        <v>-825</v>
      </c>
      <c r="BP72" s="229">
        <v>-0.45610000000000001</v>
      </c>
      <c r="BQ72" s="230">
        <v>3865</v>
      </c>
      <c r="BR72" s="230">
        <v>6886</v>
      </c>
      <c r="BS72" s="230">
        <v>-3021</v>
      </c>
      <c r="BT72" s="229">
        <v>-0.43869999999999998</v>
      </c>
      <c r="BU72" s="230">
        <v>792435</v>
      </c>
      <c r="BV72" s="230">
        <v>1075789</v>
      </c>
      <c r="BW72" s="230">
        <v>-283354</v>
      </c>
      <c r="BX72" s="229">
        <v>-0.26340000000000002</v>
      </c>
      <c r="BY72" s="230">
        <v>4609</v>
      </c>
      <c r="BZ72" s="230">
        <v>4580</v>
      </c>
      <c r="CA72" s="228">
        <v>30</v>
      </c>
      <c r="CB72" s="229">
        <v>6.4999999999999997E-3</v>
      </c>
      <c r="CC72" s="230">
        <v>4228</v>
      </c>
      <c r="CD72" s="230">
        <v>4237</v>
      </c>
      <c r="CE72" s="228">
        <v>-9</v>
      </c>
      <c r="CF72" s="229">
        <v>-2E-3</v>
      </c>
      <c r="CG72" s="228">
        <v>348</v>
      </c>
      <c r="CH72" s="228">
        <v>315</v>
      </c>
      <c r="CI72" s="228">
        <v>33</v>
      </c>
      <c r="CJ72" s="229">
        <v>0.1053</v>
      </c>
      <c r="CK72" s="228">
        <v>33</v>
      </c>
      <c r="CL72" s="228">
        <v>28</v>
      </c>
      <c r="CM72" s="228">
        <v>5</v>
      </c>
      <c r="CN72" s="229">
        <v>0.1802</v>
      </c>
      <c r="CO72" s="230">
        <v>2264</v>
      </c>
      <c r="CP72" s="230">
        <v>2213</v>
      </c>
      <c r="CQ72" s="228">
        <v>51</v>
      </c>
      <c r="CR72" s="229">
        <v>2.3300000000000001E-2</v>
      </c>
      <c r="CS72" s="230">
        <v>1307</v>
      </c>
      <c r="CT72" s="230">
        <v>1324</v>
      </c>
      <c r="CU72" s="228">
        <v>-17</v>
      </c>
      <c r="CV72" s="229">
        <v>-1.26E-2</v>
      </c>
      <c r="CW72" s="230">
        <v>8180</v>
      </c>
      <c r="CX72" s="230">
        <v>8116</v>
      </c>
      <c r="CY72" s="228">
        <v>64</v>
      </c>
      <c r="CZ72" s="229">
        <v>7.9000000000000008E-3</v>
      </c>
      <c r="DA72" s="228">
        <v>25.8</v>
      </c>
      <c r="DB72" s="228">
        <v>26.06</v>
      </c>
      <c r="DC72" s="228">
        <v>-0.26</v>
      </c>
      <c r="DD72" s="228">
        <v>-0.26</v>
      </c>
      <c r="DE72" s="228">
        <v>39.840000000000003</v>
      </c>
      <c r="DF72" s="228">
        <v>39.94</v>
      </c>
      <c r="DG72" s="228">
        <v>-14.04</v>
      </c>
      <c r="DH72" s="228">
        <v>-0.1</v>
      </c>
      <c r="DI72" s="228">
        <v>25.81</v>
      </c>
      <c r="DJ72" s="228">
        <v>26.16</v>
      </c>
      <c r="DK72" s="228">
        <v>-0.35</v>
      </c>
      <c r="DL72" s="228">
        <v>-0.35</v>
      </c>
      <c r="DM72" s="228">
        <v>25.77</v>
      </c>
      <c r="DN72" s="228">
        <v>25.83</v>
      </c>
      <c r="DO72" s="228">
        <v>-0.06</v>
      </c>
      <c r="DP72" s="228">
        <v>-0.06</v>
      </c>
      <c r="DQ72" s="228">
        <v>0.57999999999999996</v>
      </c>
      <c r="DR72" s="228">
        <v>0.6</v>
      </c>
      <c r="DS72" s="228">
        <v>-0.02</v>
      </c>
      <c r="DT72" s="229">
        <v>-3.3300000000000003E-2</v>
      </c>
      <c r="DU72" s="231">
        <v>5000</v>
      </c>
      <c r="DV72" s="231">
        <v>4800</v>
      </c>
      <c r="DW72" s="228">
        <v>0.43</v>
      </c>
      <c r="DX72" s="228">
        <v>0.43</v>
      </c>
      <c r="DY72" s="228">
        <v>0</v>
      </c>
      <c r="DZ72" s="229">
        <v>0</v>
      </c>
      <c r="EA72" s="229">
        <v>8.2699999999999996E-2</v>
      </c>
      <c r="EB72" s="230">
        <v>702750</v>
      </c>
      <c r="EC72" s="229">
        <v>5.1000000000000004E-3</v>
      </c>
      <c r="ED72" s="229">
        <v>8.2699999999999996E-2</v>
      </c>
      <c r="EE72" s="228">
        <v>24.87</v>
      </c>
      <c r="EF72" s="229">
        <v>5.1000000000000004E-3</v>
      </c>
      <c r="EG72" s="230">
        <v>455222</v>
      </c>
      <c r="EH72" s="230">
        <v>552576</v>
      </c>
      <c r="EI72" s="229">
        <v>-0.1762</v>
      </c>
      <c r="EJ72" s="229">
        <v>0.57450000000000001</v>
      </c>
      <c r="EK72" s="231">
        <v>2373.8000000000002</v>
      </c>
      <c r="EL72" s="228">
        <v>967.04</v>
      </c>
      <c r="EM72" s="228">
        <v>583.13</v>
      </c>
      <c r="EN72" s="228">
        <v>98.48</v>
      </c>
      <c r="EO72" s="231">
        <v>3923.97</v>
      </c>
      <c r="EP72" s="231">
        <v>6957.79</v>
      </c>
      <c r="EQ72" s="231">
        <v>-3033.82</v>
      </c>
      <c r="ER72" s="229">
        <v>-0.436</v>
      </c>
      <c r="ES72" s="231">
        <v>2326.5</v>
      </c>
      <c r="ET72" s="231">
        <v>1260.8599999999999</v>
      </c>
      <c r="EU72" s="231">
        <v>4611.34</v>
      </c>
      <c r="EV72" s="231">
        <v>28450886</v>
      </c>
      <c r="EW72" s="231">
        <v>8198.7000000000007</v>
      </c>
      <c r="EX72" s="231">
        <v>8116.08</v>
      </c>
      <c r="EY72" s="228">
        <v>82.62</v>
      </c>
      <c r="EZ72" s="229">
        <v>1.0200000000000001E-2</v>
      </c>
      <c r="FA72" s="229">
        <v>0.58919999999999995</v>
      </c>
      <c r="FB72" s="227" t="s">
        <v>555</v>
      </c>
      <c r="FC72">
        <f t="shared" si="1"/>
        <v>381</v>
      </c>
    </row>
    <row r="73" spans="1:159" ht="17.25" thickBot="1" x14ac:dyDescent="0.3">
      <c r="A73" s="226">
        <v>45946</v>
      </c>
      <c r="B73" s="227" t="s">
        <v>184</v>
      </c>
      <c r="C73" s="227" t="s">
        <v>220</v>
      </c>
      <c r="D73" s="228">
        <v>500</v>
      </c>
      <c r="E73" s="228">
        <v>12</v>
      </c>
      <c r="F73" s="231">
        <v>1481.7</v>
      </c>
      <c r="G73" s="231">
        <v>1470.6</v>
      </c>
      <c r="H73" s="228">
        <v>11.1</v>
      </c>
      <c r="I73" s="229">
        <v>7.4999999999999997E-3</v>
      </c>
      <c r="J73" s="231">
        <v>1475.8</v>
      </c>
      <c r="K73" s="231">
        <v>1464.2</v>
      </c>
      <c r="L73" s="228">
        <v>11.6</v>
      </c>
      <c r="M73" s="229">
        <v>7.9000000000000008E-3</v>
      </c>
      <c r="N73" s="231">
        <v>1481.7</v>
      </c>
      <c r="O73" s="231">
        <v>1470.6</v>
      </c>
      <c r="P73" s="228">
        <v>11.1</v>
      </c>
      <c r="Q73" s="229">
        <v>7.4999999999999997E-3</v>
      </c>
      <c r="R73" s="231">
        <v>1489.1</v>
      </c>
      <c r="S73" s="231">
        <v>1477.8</v>
      </c>
      <c r="T73" s="228">
        <v>11.3</v>
      </c>
      <c r="U73" s="229">
        <v>7.6E-3</v>
      </c>
      <c r="V73" s="231">
        <v>1499.2</v>
      </c>
      <c r="W73" s="231">
        <v>1486.2</v>
      </c>
      <c r="X73" s="228">
        <v>13</v>
      </c>
      <c r="Y73" s="229">
        <v>8.6999999999999994E-3</v>
      </c>
      <c r="Z73" s="228">
        <v>5.9</v>
      </c>
      <c r="AA73" s="228">
        <v>6.4</v>
      </c>
      <c r="AB73" s="228">
        <v>-0.5</v>
      </c>
      <c r="AC73" s="229">
        <v>4.0000000000000001E-3</v>
      </c>
      <c r="AD73" s="228">
        <v>5.9</v>
      </c>
      <c r="AE73" s="228">
        <v>6.4</v>
      </c>
      <c r="AF73" s="228">
        <v>-0.5</v>
      </c>
      <c r="AG73" s="229">
        <v>4.0000000000000001E-3</v>
      </c>
      <c r="AH73" s="228">
        <v>13.3</v>
      </c>
      <c r="AI73" s="228">
        <v>13.6</v>
      </c>
      <c r="AJ73" s="228">
        <v>-0.3</v>
      </c>
      <c r="AK73" s="229">
        <v>8.9999999999999993E-3</v>
      </c>
      <c r="AL73" s="228">
        <v>23.4</v>
      </c>
      <c r="AM73" s="228">
        <v>22</v>
      </c>
      <c r="AN73" s="228">
        <v>1.4</v>
      </c>
      <c r="AO73" s="229">
        <v>1.5900000000000001E-2</v>
      </c>
      <c r="AP73" s="231">
        <v>1474.29</v>
      </c>
      <c r="AQ73" s="231">
        <v>1482</v>
      </c>
      <c r="AR73" s="228">
        <v>0</v>
      </c>
      <c r="AS73" s="228">
        <v>338</v>
      </c>
      <c r="AT73" s="228">
        <v>193</v>
      </c>
      <c r="AU73" s="228">
        <v>145</v>
      </c>
      <c r="AV73" s="229">
        <v>0.74819999999999998</v>
      </c>
      <c r="AW73" s="228">
        <v>289</v>
      </c>
      <c r="AX73" s="228">
        <v>165</v>
      </c>
      <c r="AY73" s="228">
        <v>124</v>
      </c>
      <c r="AZ73" s="229">
        <v>0.75270000000000004</v>
      </c>
      <c r="BA73" s="228">
        <v>46</v>
      </c>
      <c r="BB73" s="228">
        <v>26</v>
      </c>
      <c r="BC73" s="228">
        <v>20</v>
      </c>
      <c r="BD73" s="229">
        <v>0.76270000000000004</v>
      </c>
      <c r="BE73" s="228">
        <v>2</v>
      </c>
      <c r="BF73" s="228">
        <v>2</v>
      </c>
      <c r="BG73" s="228">
        <v>0</v>
      </c>
      <c r="BH73" s="229">
        <v>0.1852</v>
      </c>
      <c r="BI73" s="228">
        <v>653</v>
      </c>
      <c r="BJ73" s="228">
        <v>425</v>
      </c>
      <c r="BK73" s="228">
        <v>228</v>
      </c>
      <c r="BL73" s="229">
        <v>0.53549999999999998</v>
      </c>
      <c r="BM73" s="228">
        <v>220</v>
      </c>
      <c r="BN73" s="228">
        <v>167</v>
      </c>
      <c r="BO73" s="228">
        <v>54</v>
      </c>
      <c r="BP73" s="229">
        <v>0.32329999999999998</v>
      </c>
      <c r="BQ73" s="230">
        <v>1212</v>
      </c>
      <c r="BR73" s="228">
        <v>785</v>
      </c>
      <c r="BS73" s="228">
        <v>426</v>
      </c>
      <c r="BT73" s="229">
        <v>0.54279999999999995</v>
      </c>
      <c r="BU73" s="230">
        <v>1375459</v>
      </c>
      <c r="BV73" s="230">
        <v>799288</v>
      </c>
      <c r="BW73" s="230">
        <v>576171</v>
      </c>
      <c r="BX73" s="229">
        <v>0.72089999999999999</v>
      </c>
      <c r="BY73" s="230">
        <v>1683</v>
      </c>
      <c r="BZ73" s="230">
        <v>1679</v>
      </c>
      <c r="CA73" s="228">
        <v>5</v>
      </c>
      <c r="CB73" s="229">
        <v>2.8E-3</v>
      </c>
      <c r="CC73" s="230">
        <v>1601</v>
      </c>
      <c r="CD73" s="230">
        <v>1609</v>
      </c>
      <c r="CE73" s="228">
        <v>-7</v>
      </c>
      <c r="CF73" s="229">
        <v>-4.5999999999999999E-3</v>
      </c>
      <c r="CG73" s="228">
        <v>74</v>
      </c>
      <c r="CH73" s="228">
        <v>63</v>
      </c>
      <c r="CI73" s="228">
        <v>12</v>
      </c>
      <c r="CJ73" s="229">
        <v>0.18540000000000001</v>
      </c>
      <c r="CK73" s="228">
        <v>8</v>
      </c>
      <c r="CL73" s="228">
        <v>7</v>
      </c>
      <c r="CM73" s="228">
        <v>0</v>
      </c>
      <c r="CN73" s="229">
        <v>6.1899999999999997E-2</v>
      </c>
      <c r="CO73" s="228">
        <v>538</v>
      </c>
      <c r="CP73" s="228">
        <v>558</v>
      </c>
      <c r="CQ73" s="228">
        <v>-20</v>
      </c>
      <c r="CR73" s="229">
        <v>-3.61E-2</v>
      </c>
      <c r="CS73" s="228">
        <v>315</v>
      </c>
      <c r="CT73" s="228">
        <v>310</v>
      </c>
      <c r="CU73" s="228">
        <v>5</v>
      </c>
      <c r="CV73" s="229">
        <v>1.7399999999999999E-2</v>
      </c>
      <c r="CW73" s="230">
        <v>2537</v>
      </c>
      <c r="CX73" s="230">
        <v>2547</v>
      </c>
      <c r="CY73" s="228">
        <v>-10</v>
      </c>
      <c r="CZ73" s="229">
        <v>-3.8999999999999998E-3</v>
      </c>
      <c r="DA73" s="228">
        <v>28.64</v>
      </c>
      <c r="DB73" s="228">
        <v>29.13</v>
      </c>
      <c r="DC73" s="228">
        <v>-0.49</v>
      </c>
      <c r="DD73" s="228">
        <v>-0.49</v>
      </c>
      <c r="DE73" s="228">
        <v>28.59</v>
      </c>
      <c r="DF73" s="228">
        <v>28.64</v>
      </c>
      <c r="DG73" s="228">
        <v>0.05</v>
      </c>
      <c r="DH73" s="228">
        <v>-0.05</v>
      </c>
      <c r="DI73" s="228">
        <v>28.69</v>
      </c>
      <c r="DJ73" s="228">
        <v>29.08</v>
      </c>
      <c r="DK73" s="228">
        <v>-0.39</v>
      </c>
      <c r="DL73" s="228">
        <v>-0.39</v>
      </c>
      <c r="DM73" s="228">
        <v>28.49</v>
      </c>
      <c r="DN73" s="228">
        <v>29.24</v>
      </c>
      <c r="DO73" s="228">
        <v>-0.75</v>
      </c>
      <c r="DP73" s="228">
        <v>-0.75</v>
      </c>
      <c r="DQ73" s="228">
        <v>0.59</v>
      </c>
      <c r="DR73" s="228">
        <v>0.56000000000000005</v>
      </c>
      <c r="DS73" s="228">
        <v>0.03</v>
      </c>
      <c r="DT73" s="229">
        <v>5.3600000000000002E-2</v>
      </c>
      <c r="DU73" s="231">
        <v>1600</v>
      </c>
      <c r="DV73" s="231">
        <v>1500</v>
      </c>
      <c r="DW73" s="228">
        <v>0.34</v>
      </c>
      <c r="DX73" s="228">
        <v>0.39</v>
      </c>
      <c r="DY73" s="228">
        <v>-0.05</v>
      </c>
      <c r="DZ73" s="229">
        <v>-0.12820000000000001</v>
      </c>
      <c r="EA73" s="229">
        <v>4.87E-2</v>
      </c>
      <c r="EB73" s="230">
        <v>472000</v>
      </c>
      <c r="EC73" s="229">
        <v>5.0000000000000001E-3</v>
      </c>
      <c r="ED73" s="229">
        <v>4.87E-2</v>
      </c>
      <c r="EE73" s="228">
        <v>7.71</v>
      </c>
      <c r="EF73" s="229">
        <v>5.1999999999999998E-3</v>
      </c>
      <c r="EG73" s="230">
        <v>960020</v>
      </c>
      <c r="EH73" s="230">
        <v>577468</v>
      </c>
      <c r="EI73" s="229">
        <v>0.66249999999999998</v>
      </c>
      <c r="EJ73" s="229">
        <v>0.69799999999999995</v>
      </c>
      <c r="EK73" s="228">
        <v>676.6</v>
      </c>
      <c r="EL73" s="228">
        <v>216.72</v>
      </c>
      <c r="EM73" s="228">
        <v>336.47</v>
      </c>
      <c r="EN73" s="228">
        <v>40.479999999999997</v>
      </c>
      <c r="EO73" s="231">
        <v>1229.78</v>
      </c>
      <c r="EP73" s="228">
        <v>792.38</v>
      </c>
      <c r="EQ73" s="228">
        <v>437.4</v>
      </c>
      <c r="ER73" s="229">
        <v>0.55200000000000005</v>
      </c>
      <c r="ES73" s="228">
        <v>567.14</v>
      </c>
      <c r="ET73" s="228">
        <v>311.37</v>
      </c>
      <c r="EU73" s="231">
        <v>1683.82</v>
      </c>
      <c r="EV73" s="231">
        <v>38133766</v>
      </c>
      <c r="EW73" s="231">
        <v>2562.33</v>
      </c>
      <c r="EX73" s="231">
        <v>2560.1799999999998</v>
      </c>
      <c r="EY73" s="228">
        <v>2.15</v>
      </c>
      <c r="EZ73" s="229">
        <v>8.0000000000000004E-4</v>
      </c>
      <c r="FA73" s="229">
        <v>0.44900000000000001</v>
      </c>
      <c r="FB73" s="227" t="s">
        <v>555</v>
      </c>
      <c r="FC73">
        <f t="shared" si="1"/>
        <v>82</v>
      </c>
    </row>
    <row r="74" spans="1:159" ht="17.25" thickBot="1" x14ac:dyDescent="0.3">
      <c r="A74" s="226">
        <v>45946</v>
      </c>
      <c r="B74" s="227" t="s">
        <v>221</v>
      </c>
      <c r="C74" s="227" t="s">
        <v>222</v>
      </c>
      <c r="D74" s="228">
        <v>350</v>
      </c>
      <c r="E74" s="228">
        <v>12</v>
      </c>
      <c r="F74" s="231">
        <v>1504.6</v>
      </c>
      <c r="G74" s="231">
        <v>1488.1</v>
      </c>
      <c r="H74" s="228">
        <v>16.5</v>
      </c>
      <c r="I74" s="229">
        <v>1.11E-2</v>
      </c>
      <c r="J74" s="231">
        <v>1515</v>
      </c>
      <c r="K74" s="231">
        <v>1495.7</v>
      </c>
      <c r="L74" s="228">
        <v>19.3</v>
      </c>
      <c r="M74" s="229">
        <v>1.29E-2</v>
      </c>
      <c r="N74" s="231">
        <v>1504.6</v>
      </c>
      <c r="O74" s="231">
        <v>1488.1</v>
      </c>
      <c r="P74" s="228">
        <v>16.5</v>
      </c>
      <c r="Q74" s="229">
        <v>1.11E-2</v>
      </c>
      <c r="R74" s="231">
        <v>1512.8</v>
      </c>
      <c r="S74" s="231">
        <v>1496.7</v>
      </c>
      <c r="T74" s="228">
        <v>16.100000000000001</v>
      </c>
      <c r="U74" s="229">
        <v>1.0800000000000001E-2</v>
      </c>
      <c r="V74" s="231">
        <v>1521.9</v>
      </c>
      <c r="W74" s="231">
        <v>1506</v>
      </c>
      <c r="X74" s="228">
        <v>15.9</v>
      </c>
      <c r="Y74" s="229">
        <v>1.06E-2</v>
      </c>
      <c r="Z74" s="228">
        <v>-10.4</v>
      </c>
      <c r="AA74" s="228">
        <v>-7.6</v>
      </c>
      <c r="AB74" s="228">
        <v>-2.8</v>
      </c>
      <c r="AC74" s="229">
        <v>-6.8999999999999999E-3</v>
      </c>
      <c r="AD74" s="228">
        <v>-10.4</v>
      </c>
      <c r="AE74" s="228">
        <v>-7.6</v>
      </c>
      <c r="AF74" s="228">
        <v>-2.8</v>
      </c>
      <c r="AG74" s="229">
        <v>-6.8999999999999999E-3</v>
      </c>
      <c r="AH74" s="228">
        <v>-2.2000000000000002</v>
      </c>
      <c r="AI74" s="228">
        <v>1</v>
      </c>
      <c r="AJ74" s="228">
        <v>-3.2</v>
      </c>
      <c r="AK74" s="229">
        <v>-1.5E-3</v>
      </c>
      <c r="AL74" s="228">
        <v>6.9</v>
      </c>
      <c r="AM74" s="228">
        <v>10.3</v>
      </c>
      <c r="AN74" s="228">
        <v>-3.4</v>
      </c>
      <c r="AO74" s="229">
        <v>4.5999999999999999E-3</v>
      </c>
      <c r="AP74" s="231">
        <v>1501.82</v>
      </c>
      <c r="AQ74" s="231">
        <v>1510.4</v>
      </c>
      <c r="AR74" s="228">
        <v>0</v>
      </c>
      <c r="AS74" s="228">
        <v>529</v>
      </c>
      <c r="AT74" s="228">
        <v>499</v>
      </c>
      <c r="AU74" s="228">
        <v>30</v>
      </c>
      <c r="AV74" s="229">
        <v>5.96E-2</v>
      </c>
      <c r="AW74" s="228">
        <v>473</v>
      </c>
      <c r="AX74" s="228">
        <v>447</v>
      </c>
      <c r="AY74" s="228">
        <v>25</v>
      </c>
      <c r="AZ74" s="229">
        <v>5.6500000000000002E-2</v>
      </c>
      <c r="BA74" s="228">
        <v>52</v>
      </c>
      <c r="BB74" s="228">
        <v>49</v>
      </c>
      <c r="BC74" s="228">
        <v>3</v>
      </c>
      <c r="BD74" s="229">
        <v>5.3800000000000001E-2</v>
      </c>
      <c r="BE74" s="228">
        <v>5</v>
      </c>
      <c r="BF74" s="228">
        <v>3</v>
      </c>
      <c r="BG74" s="228">
        <v>2</v>
      </c>
      <c r="BH74" s="229">
        <v>0.60340000000000005</v>
      </c>
      <c r="BI74" s="230">
        <v>2393</v>
      </c>
      <c r="BJ74" s="230">
        <v>3081</v>
      </c>
      <c r="BK74" s="228">
        <v>-689</v>
      </c>
      <c r="BL74" s="229">
        <v>-0.2235</v>
      </c>
      <c r="BM74" s="230">
        <v>1355</v>
      </c>
      <c r="BN74" s="230">
        <v>1638</v>
      </c>
      <c r="BO74" s="228">
        <v>-283</v>
      </c>
      <c r="BP74" s="229">
        <v>-0.17269999999999999</v>
      </c>
      <c r="BQ74" s="230">
        <v>4277</v>
      </c>
      <c r="BR74" s="230">
        <v>5218</v>
      </c>
      <c r="BS74" s="228">
        <v>-942</v>
      </c>
      <c r="BT74" s="229">
        <v>-0.18049999999999999</v>
      </c>
      <c r="BU74" s="230">
        <v>2172519</v>
      </c>
      <c r="BV74" s="230">
        <v>2018123</v>
      </c>
      <c r="BW74" s="230">
        <v>154396</v>
      </c>
      <c r="BX74" s="229">
        <v>7.6499999999999999E-2</v>
      </c>
      <c r="BY74" s="230">
        <v>2714</v>
      </c>
      <c r="BZ74" s="230">
        <v>2844</v>
      </c>
      <c r="CA74" s="228">
        <v>-130</v>
      </c>
      <c r="CB74" s="229">
        <v>-4.5699999999999998E-2</v>
      </c>
      <c r="CC74" s="230">
        <v>2562</v>
      </c>
      <c r="CD74" s="230">
        <v>2706</v>
      </c>
      <c r="CE74" s="228">
        <v>-144</v>
      </c>
      <c r="CF74" s="229">
        <v>-5.3400000000000003E-2</v>
      </c>
      <c r="CG74" s="228">
        <v>138</v>
      </c>
      <c r="CH74" s="228">
        <v>123</v>
      </c>
      <c r="CI74" s="228">
        <v>15</v>
      </c>
      <c r="CJ74" s="229">
        <v>0.1215</v>
      </c>
      <c r="CK74" s="228">
        <v>14</v>
      </c>
      <c r="CL74" s="228">
        <v>15</v>
      </c>
      <c r="CM74" s="228">
        <v>0</v>
      </c>
      <c r="CN74" s="229">
        <v>-2.1700000000000001E-2</v>
      </c>
      <c r="CO74" s="230">
        <v>1477</v>
      </c>
      <c r="CP74" s="230">
        <v>1935</v>
      </c>
      <c r="CQ74" s="228">
        <v>-458</v>
      </c>
      <c r="CR74" s="229">
        <v>-0.23669999999999999</v>
      </c>
      <c r="CS74" s="228">
        <v>878</v>
      </c>
      <c r="CT74" s="230">
        <v>1019</v>
      </c>
      <c r="CU74" s="228">
        <v>-142</v>
      </c>
      <c r="CV74" s="229">
        <v>-0.1389</v>
      </c>
      <c r="CW74" s="230">
        <v>5068</v>
      </c>
      <c r="CX74" s="230">
        <v>5798</v>
      </c>
      <c r="CY74" s="228">
        <v>-729</v>
      </c>
      <c r="CZ74" s="229">
        <v>-0.1258</v>
      </c>
      <c r="DA74" s="228">
        <v>21.67</v>
      </c>
      <c r="DB74" s="228">
        <v>22.42</v>
      </c>
      <c r="DC74" s="228">
        <v>-0.75</v>
      </c>
      <c r="DD74" s="228">
        <v>-0.75</v>
      </c>
      <c r="DE74" s="228">
        <v>28.93</v>
      </c>
      <c r="DF74" s="228">
        <v>28.95</v>
      </c>
      <c r="DG74" s="228">
        <v>-7.26</v>
      </c>
      <c r="DH74" s="228">
        <v>-0.02</v>
      </c>
      <c r="DI74" s="228">
        <v>21.28</v>
      </c>
      <c r="DJ74" s="228">
        <v>22.19</v>
      </c>
      <c r="DK74" s="228">
        <v>-0.91</v>
      </c>
      <c r="DL74" s="228">
        <v>-0.91</v>
      </c>
      <c r="DM74" s="228">
        <v>22.37</v>
      </c>
      <c r="DN74" s="228">
        <v>22.84</v>
      </c>
      <c r="DO74" s="228">
        <v>-0.47</v>
      </c>
      <c r="DP74" s="228">
        <v>-0.47</v>
      </c>
      <c r="DQ74" s="228">
        <v>0.59</v>
      </c>
      <c r="DR74" s="228">
        <v>0.53</v>
      </c>
      <c r="DS74" s="228">
        <v>0.06</v>
      </c>
      <c r="DT74" s="229">
        <v>0.1132</v>
      </c>
      <c r="DU74" s="231">
        <v>1600</v>
      </c>
      <c r="DV74" s="231">
        <v>1400</v>
      </c>
      <c r="DW74" s="228">
        <v>0.56999999999999995</v>
      </c>
      <c r="DX74" s="228">
        <v>0.53</v>
      </c>
      <c r="DY74" s="228">
        <v>0.04</v>
      </c>
      <c r="DZ74" s="229">
        <v>7.5499999999999998E-2</v>
      </c>
      <c r="EA74" s="229">
        <v>5.6000000000000001E-2</v>
      </c>
      <c r="EB74" s="230">
        <v>912450</v>
      </c>
      <c r="EC74" s="229">
        <v>5.4000000000000003E-3</v>
      </c>
      <c r="ED74" s="229">
        <v>5.6000000000000001E-2</v>
      </c>
      <c r="EE74" s="228">
        <v>8.58</v>
      </c>
      <c r="EF74" s="229">
        <v>5.7000000000000002E-3</v>
      </c>
      <c r="EG74" s="230">
        <v>1349810</v>
      </c>
      <c r="EH74" s="230">
        <v>1165178</v>
      </c>
      <c r="EI74" s="229">
        <v>0.1585</v>
      </c>
      <c r="EJ74" s="229">
        <v>0.62129999999999996</v>
      </c>
      <c r="EK74" s="231">
        <v>2463.12</v>
      </c>
      <c r="EL74" s="231">
        <v>1329.72</v>
      </c>
      <c r="EM74" s="228">
        <v>528.46</v>
      </c>
      <c r="EN74" s="228">
        <v>182.3</v>
      </c>
      <c r="EO74" s="231">
        <v>4321.3100000000004</v>
      </c>
      <c r="EP74" s="231">
        <v>5256.29</v>
      </c>
      <c r="EQ74" s="228">
        <v>-934.98</v>
      </c>
      <c r="ER74" s="229">
        <v>-0.1779</v>
      </c>
      <c r="ES74" s="231">
        <v>1519.08</v>
      </c>
      <c r="ET74" s="228">
        <v>825.18</v>
      </c>
      <c r="EU74" s="231">
        <v>2714.64</v>
      </c>
      <c r="EV74" s="231">
        <v>145993539</v>
      </c>
      <c r="EW74" s="231">
        <v>5058.8999999999996</v>
      </c>
      <c r="EX74" s="231">
        <v>5753.88</v>
      </c>
      <c r="EY74" s="228">
        <v>-694.98</v>
      </c>
      <c r="EZ74" s="229">
        <v>-0.1208</v>
      </c>
      <c r="FA74" s="229">
        <v>0.23069999999999999</v>
      </c>
      <c r="FB74" s="227" t="s">
        <v>556</v>
      </c>
      <c r="FC74">
        <f t="shared" si="1"/>
        <v>152</v>
      </c>
    </row>
    <row r="75" spans="1:159" ht="17.25" thickBot="1" x14ac:dyDescent="0.3">
      <c r="A75" s="226">
        <v>45946</v>
      </c>
      <c r="B75" s="227" t="s">
        <v>175</v>
      </c>
      <c r="C75" s="227" t="s">
        <v>475</v>
      </c>
      <c r="D75" s="228">
        <v>150</v>
      </c>
      <c r="E75" s="228">
        <v>12</v>
      </c>
      <c r="F75" s="231">
        <v>5815.5</v>
      </c>
      <c r="G75" s="231">
        <v>5786</v>
      </c>
      <c r="H75" s="228">
        <v>29.5</v>
      </c>
      <c r="I75" s="229">
        <v>5.1000000000000004E-3</v>
      </c>
      <c r="J75" s="231">
        <v>5803.5</v>
      </c>
      <c r="K75" s="231">
        <v>5764</v>
      </c>
      <c r="L75" s="228">
        <v>39.5</v>
      </c>
      <c r="M75" s="229">
        <v>6.8999999999999999E-3</v>
      </c>
      <c r="N75" s="231">
        <v>5815.5</v>
      </c>
      <c r="O75" s="231">
        <v>5786</v>
      </c>
      <c r="P75" s="228">
        <v>29.5</v>
      </c>
      <c r="Q75" s="229">
        <v>5.1000000000000004E-3</v>
      </c>
      <c r="R75" s="231">
        <v>5843</v>
      </c>
      <c r="S75" s="231">
        <v>5812</v>
      </c>
      <c r="T75" s="228">
        <v>31</v>
      </c>
      <c r="U75" s="229">
        <v>5.3E-3</v>
      </c>
      <c r="V75" s="231">
        <v>5869.5</v>
      </c>
      <c r="W75" s="231">
        <v>5832</v>
      </c>
      <c r="X75" s="228">
        <v>37.5</v>
      </c>
      <c r="Y75" s="229">
        <v>6.4000000000000003E-3</v>
      </c>
      <c r="Z75" s="228">
        <v>12</v>
      </c>
      <c r="AA75" s="228">
        <v>22</v>
      </c>
      <c r="AB75" s="228">
        <v>-10</v>
      </c>
      <c r="AC75" s="229">
        <v>2.0999999999999999E-3</v>
      </c>
      <c r="AD75" s="228">
        <v>12</v>
      </c>
      <c r="AE75" s="228">
        <v>22</v>
      </c>
      <c r="AF75" s="228">
        <v>-10</v>
      </c>
      <c r="AG75" s="229">
        <v>2.0999999999999999E-3</v>
      </c>
      <c r="AH75" s="228">
        <v>39.5</v>
      </c>
      <c r="AI75" s="228">
        <v>48</v>
      </c>
      <c r="AJ75" s="228">
        <v>-8.5</v>
      </c>
      <c r="AK75" s="229">
        <v>6.7999999999999996E-3</v>
      </c>
      <c r="AL75" s="228">
        <v>66</v>
      </c>
      <c r="AM75" s="228">
        <v>68</v>
      </c>
      <c r="AN75" s="228">
        <v>-2</v>
      </c>
      <c r="AO75" s="229">
        <v>1.14E-2</v>
      </c>
      <c r="AP75" s="231">
        <v>5774.22</v>
      </c>
      <c r="AQ75" s="231">
        <v>5798.01</v>
      </c>
      <c r="AR75" s="228">
        <v>0</v>
      </c>
      <c r="AS75" s="230">
        <v>1413</v>
      </c>
      <c r="AT75" s="230">
        <v>1288</v>
      </c>
      <c r="AU75" s="228">
        <v>125</v>
      </c>
      <c r="AV75" s="229">
        <v>9.74E-2</v>
      </c>
      <c r="AW75" s="230">
        <v>1285</v>
      </c>
      <c r="AX75" s="230">
        <v>1203</v>
      </c>
      <c r="AY75" s="228">
        <v>83</v>
      </c>
      <c r="AZ75" s="229">
        <v>6.88E-2</v>
      </c>
      <c r="BA75" s="228">
        <v>115</v>
      </c>
      <c r="BB75" s="228">
        <v>81</v>
      </c>
      <c r="BC75" s="228">
        <v>34</v>
      </c>
      <c r="BD75" s="229">
        <v>0.4209</v>
      </c>
      <c r="BE75" s="228">
        <v>13</v>
      </c>
      <c r="BF75" s="228">
        <v>4</v>
      </c>
      <c r="BG75" s="228">
        <v>9</v>
      </c>
      <c r="BH75" s="229">
        <v>2.2000000000000002</v>
      </c>
      <c r="BI75" s="230">
        <v>17713</v>
      </c>
      <c r="BJ75" s="230">
        <v>9604</v>
      </c>
      <c r="BK75" s="230">
        <v>8109</v>
      </c>
      <c r="BL75" s="229">
        <v>0.84430000000000005</v>
      </c>
      <c r="BM75" s="230">
        <v>7167</v>
      </c>
      <c r="BN75" s="230">
        <v>2924</v>
      </c>
      <c r="BO75" s="230">
        <v>4243</v>
      </c>
      <c r="BP75" s="229">
        <v>1.4513</v>
      </c>
      <c r="BQ75" s="230">
        <v>26293</v>
      </c>
      <c r="BR75" s="230">
        <v>13816</v>
      </c>
      <c r="BS75" s="230">
        <v>12478</v>
      </c>
      <c r="BT75" s="229">
        <v>0.9032</v>
      </c>
      <c r="BU75" s="230">
        <v>1664055</v>
      </c>
      <c r="BV75" s="230">
        <v>1246333</v>
      </c>
      <c r="BW75" s="230">
        <v>417722</v>
      </c>
      <c r="BX75" s="229">
        <v>0.3352</v>
      </c>
      <c r="BY75" s="230">
        <v>1356</v>
      </c>
      <c r="BZ75" s="230">
        <v>1482</v>
      </c>
      <c r="CA75" s="228">
        <v>-125</v>
      </c>
      <c r="CB75" s="229">
        <v>-8.4599999999999995E-2</v>
      </c>
      <c r="CC75" s="230">
        <v>1312</v>
      </c>
      <c r="CD75" s="230">
        <v>1446</v>
      </c>
      <c r="CE75" s="228">
        <v>-135</v>
      </c>
      <c r="CF75" s="229">
        <v>-9.2999999999999999E-2</v>
      </c>
      <c r="CG75" s="228">
        <v>40</v>
      </c>
      <c r="CH75" s="228">
        <v>32</v>
      </c>
      <c r="CI75" s="228">
        <v>7</v>
      </c>
      <c r="CJ75" s="229">
        <v>0.22969999999999999</v>
      </c>
      <c r="CK75" s="228">
        <v>5</v>
      </c>
      <c r="CL75" s="228">
        <v>3</v>
      </c>
      <c r="CM75" s="228">
        <v>2</v>
      </c>
      <c r="CN75" s="229">
        <v>0.54049999999999998</v>
      </c>
      <c r="CO75" s="230">
        <v>1391</v>
      </c>
      <c r="CP75" s="230">
        <v>1373</v>
      </c>
      <c r="CQ75" s="228">
        <v>18</v>
      </c>
      <c r="CR75" s="229">
        <v>1.3299999999999999E-2</v>
      </c>
      <c r="CS75" s="228">
        <v>757</v>
      </c>
      <c r="CT75" s="228">
        <v>649</v>
      </c>
      <c r="CU75" s="228">
        <v>108</v>
      </c>
      <c r="CV75" s="229">
        <v>0.16639999999999999</v>
      </c>
      <c r="CW75" s="230">
        <v>3505</v>
      </c>
      <c r="CX75" s="230">
        <v>3504</v>
      </c>
      <c r="CY75" s="228">
        <v>1</v>
      </c>
      <c r="CZ75" s="229">
        <v>2.0000000000000001E-4</v>
      </c>
      <c r="DA75" s="228">
        <v>23.6</v>
      </c>
      <c r="DB75" s="228">
        <v>28.68</v>
      </c>
      <c r="DC75" s="228">
        <v>-5.08</v>
      </c>
      <c r="DD75" s="228">
        <v>-5.08</v>
      </c>
      <c r="DE75" s="228">
        <v>35.07</v>
      </c>
      <c r="DF75" s="228">
        <v>35.15</v>
      </c>
      <c r="DG75" s="228">
        <v>-11.47</v>
      </c>
      <c r="DH75" s="228">
        <v>-0.08</v>
      </c>
      <c r="DI75" s="228">
        <v>23.15</v>
      </c>
      <c r="DJ75" s="228">
        <v>28.41</v>
      </c>
      <c r="DK75" s="228">
        <v>-5.26</v>
      </c>
      <c r="DL75" s="228">
        <v>-5.26</v>
      </c>
      <c r="DM75" s="228">
        <v>24.71</v>
      </c>
      <c r="DN75" s="228">
        <v>29.58</v>
      </c>
      <c r="DO75" s="228">
        <v>-4.87</v>
      </c>
      <c r="DP75" s="228">
        <v>-4.87</v>
      </c>
      <c r="DQ75" s="228">
        <v>0.54</v>
      </c>
      <c r="DR75" s="228">
        <v>0.47</v>
      </c>
      <c r="DS75" s="228">
        <v>7.0000000000000007E-2</v>
      </c>
      <c r="DT75" s="229">
        <v>0.1489</v>
      </c>
      <c r="DU75" s="231">
        <v>6000</v>
      </c>
      <c r="DV75" s="231">
        <v>5500</v>
      </c>
      <c r="DW75" s="228">
        <v>0.4</v>
      </c>
      <c r="DX75" s="228">
        <v>0.3</v>
      </c>
      <c r="DY75" s="228">
        <v>0.1</v>
      </c>
      <c r="DZ75" s="229">
        <v>0.33329999999999999</v>
      </c>
      <c r="EA75" s="229">
        <v>3.2899999999999999E-2</v>
      </c>
      <c r="EB75" s="230">
        <v>61050</v>
      </c>
      <c r="EC75" s="229">
        <v>4.7000000000000002E-3</v>
      </c>
      <c r="ED75" s="229">
        <v>3.2899999999999999E-2</v>
      </c>
      <c r="EE75" s="228">
        <v>23.79</v>
      </c>
      <c r="EF75" s="229">
        <v>4.1000000000000003E-3</v>
      </c>
      <c r="EG75" s="230">
        <v>584840</v>
      </c>
      <c r="EH75" s="230">
        <v>490067</v>
      </c>
      <c r="EI75" s="229">
        <v>0.19339999999999999</v>
      </c>
      <c r="EJ75" s="229">
        <v>0.35149999999999998</v>
      </c>
      <c r="EK75" s="231">
        <v>18296.73</v>
      </c>
      <c r="EL75" s="231">
        <v>6980.21</v>
      </c>
      <c r="EM75" s="231">
        <v>1403.64</v>
      </c>
      <c r="EN75" s="228">
        <v>58.8</v>
      </c>
      <c r="EO75" s="231">
        <v>26680.57</v>
      </c>
      <c r="EP75" s="231">
        <v>13958.67</v>
      </c>
      <c r="EQ75" s="231">
        <v>12721.9</v>
      </c>
      <c r="ER75" s="229">
        <v>0.91139999999999999</v>
      </c>
      <c r="ES75" s="231">
        <v>1428.48</v>
      </c>
      <c r="ET75" s="228">
        <v>720.72</v>
      </c>
      <c r="EU75" s="231">
        <v>1356.7</v>
      </c>
      <c r="EV75" s="231">
        <v>15259458</v>
      </c>
      <c r="EW75" s="231">
        <v>3505.9</v>
      </c>
      <c r="EX75" s="231">
        <v>3490.37</v>
      </c>
      <c r="EY75" s="228">
        <v>15.53</v>
      </c>
      <c r="EZ75" s="229">
        <v>4.4000000000000003E-3</v>
      </c>
      <c r="FA75" s="229">
        <v>0.39489999999999997</v>
      </c>
      <c r="FB75" s="227" t="s">
        <v>556</v>
      </c>
      <c r="FC75">
        <f t="shared" si="1"/>
        <v>44</v>
      </c>
    </row>
    <row r="76" spans="1:159" ht="17.25" thickBot="1" x14ac:dyDescent="0.3">
      <c r="A76" s="226">
        <v>45946</v>
      </c>
      <c r="B76" s="227" t="s">
        <v>172</v>
      </c>
      <c r="C76" s="227" t="s">
        <v>224</v>
      </c>
      <c r="D76" s="228">
        <v>1100</v>
      </c>
      <c r="E76" s="228">
        <v>12</v>
      </c>
      <c r="F76" s="228">
        <v>995.65</v>
      </c>
      <c r="G76" s="228">
        <v>982.45</v>
      </c>
      <c r="H76" s="228">
        <v>13.2</v>
      </c>
      <c r="I76" s="229">
        <v>1.34E-2</v>
      </c>
      <c r="J76" s="228">
        <v>994.35</v>
      </c>
      <c r="K76" s="228">
        <v>978.25</v>
      </c>
      <c r="L76" s="228">
        <v>16.100000000000001</v>
      </c>
      <c r="M76" s="229">
        <v>1.6500000000000001E-2</v>
      </c>
      <c r="N76" s="228">
        <v>995.65</v>
      </c>
      <c r="O76" s="228">
        <v>982.45</v>
      </c>
      <c r="P76" s="228">
        <v>13.2</v>
      </c>
      <c r="Q76" s="229">
        <v>1.34E-2</v>
      </c>
      <c r="R76" s="231">
        <v>1001.1</v>
      </c>
      <c r="S76" s="228">
        <v>987.85</v>
      </c>
      <c r="T76" s="228">
        <v>13.25</v>
      </c>
      <c r="U76" s="229">
        <v>1.34E-2</v>
      </c>
      <c r="V76" s="231">
        <v>1007.35</v>
      </c>
      <c r="W76" s="228">
        <v>993.7</v>
      </c>
      <c r="X76" s="228">
        <v>13.65</v>
      </c>
      <c r="Y76" s="229">
        <v>1.37E-2</v>
      </c>
      <c r="Z76" s="228">
        <v>1.3</v>
      </c>
      <c r="AA76" s="228">
        <v>4.2</v>
      </c>
      <c r="AB76" s="228">
        <v>-2.9</v>
      </c>
      <c r="AC76" s="229">
        <v>1.2999999999999999E-3</v>
      </c>
      <c r="AD76" s="228">
        <v>1.3</v>
      </c>
      <c r="AE76" s="228">
        <v>4.2</v>
      </c>
      <c r="AF76" s="228">
        <v>-2.9</v>
      </c>
      <c r="AG76" s="229">
        <v>1.2999999999999999E-3</v>
      </c>
      <c r="AH76" s="228">
        <v>6.75</v>
      </c>
      <c r="AI76" s="228">
        <v>9.6</v>
      </c>
      <c r="AJ76" s="228">
        <v>-2.85</v>
      </c>
      <c r="AK76" s="229">
        <v>6.7999999999999996E-3</v>
      </c>
      <c r="AL76" s="228">
        <v>13</v>
      </c>
      <c r="AM76" s="228">
        <v>15.45</v>
      </c>
      <c r="AN76" s="228">
        <v>-2.4500000000000002</v>
      </c>
      <c r="AO76" s="229">
        <v>1.3100000000000001E-2</v>
      </c>
      <c r="AP76" s="228">
        <v>990.9</v>
      </c>
      <c r="AQ76" s="228">
        <v>995.84</v>
      </c>
      <c r="AR76" s="228">
        <v>0</v>
      </c>
      <c r="AS76" s="230">
        <v>3104</v>
      </c>
      <c r="AT76" s="230">
        <v>2028</v>
      </c>
      <c r="AU76" s="230">
        <v>1077</v>
      </c>
      <c r="AV76" s="229">
        <v>0.53100000000000003</v>
      </c>
      <c r="AW76" s="230">
        <v>2764</v>
      </c>
      <c r="AX76" s="230">
        <v>1694</v>
      </c>
      <c r="AY76" s="230">
        <v>1070</v>
      </c>
      <c r="AZ76" s="229">
        <v>0.63170000000000004</v>
      </c>
      <c r="BA76" s="228">
        <v>320</v>
      </c>
      <c r="BB76" s="228">
        <v>323</v>
      </c>
      <c r="BC76" s="228">
        <v>-3</v>
      </c>
      <c r="BD76" s="229">
        <v>-8.5000000000000006E-3</v>
      </c>
      <c r="BE76" s="228">
        <v>21</v>
      </c>
      <c r="BF76" s="228">
        <v>11</v>
      </c>
      <c r="BG76" s="228">
        <v>9</v>
      </c>
      <c r="BH76" s="229">
        <v>0.83499999999999996</v>
      </c>
      <c r="BI76" s="230">
        <v>5767</v>
      </c>
      <c r="BJ76" s="230">
        <v>4972</v>
      </c>
      <c r="BK76" s="228">
        <v>794</v>
      </c>
      <c r="BL76" s="229">
        <v>0.1598</v>
      </c>
      <c r="BM76" s="230">
        <v>3621</v>
      </c>
      <c r="BN76" s="230">
        <v>2766</v>
      </c>
      <c r="BO76" s="228">
        <v>854</v>
      </c>
      <c r="BP76" s="229">
        <v>0.30880000000000002</v>
      </c>
      <c r="BQ76" s="230">
        <v>12492</v>
      </c>
      <c r="BR76" s="230">
        <v>9767</v>
      </c>
      <c r="BS76" s="230">
        <v>2725</v>
      </c>
      <c r="BT76" s="229">
        <v>0.27900000000000003</v>
      </c>
      <c r="BU76" s="230">
        <v>24405373</v>
      </c>
      <c r="BV76" s="230">
        <v>23956072</v>
      </c>
      <c r="BW76" s="230">
        <v>449301</v>
      </c>
      <c r="BX76" s="229">
        <v>1.8800000000000001E-2</v>
      </c>
      <c r="BY76" s="230">
        <v>20631</v>
      </c>
      <c r="BZ76" s="230">
        <v>20664</v>
      </c>
      <c r="CA76" s="228">
        <v>-33</v>
      </c>
      <c r="CB76" s="229">
        <v>-1.6000000000000001E-3</v>
      </c>
      <c r="CC76" s="230">
        <v>19516</v>
      </c>
      <c r="CD76" s="230">
        <v>19671</v>
      </c>
      <c r="CE76" s="228">
        <v>-155</v>
      </c>
      <c r="CF76" s="229">
        <v>-7.9000000000000008E-3</v>
      </c>
      <c r="CG76" s="228">
        <v>881</v>
      </c>
      <c r="CH76" s="228">
        <v>759</v>
      </c>
      <c r="CI76" s="228">
        <v>122</v>
      </c>
      <c r="CJ76" s="229">
        <v>0.1608</v>
      </c>
      <c r="CK76" s="228">
        <v>234</v>
      </c>
      <c r="CL76" s="228">
        <v>234</v>
      </c>
      <c r="CM76" s="228">
        <v>0</v>
      </c>
      <c r="CN76" s="229">
        <v>-5.0000000000000001E-4</v>
      </c>
      <c r="CO76" s="230">
        <v>3222</v>
      </c>
      <c r="CP76" s="230">
        <v>3533</v>
      </c>
      <c r="CQ76" s="228">
        <v>-311</v>
      </c>
      <c r="CR76" s="229">
        <v>-8.7999999999999995E-2</v>
      </c>
      <c r="CS76" s="230">
        <v>2769</v>
      </c>
      <c r="CT76" s="230">
        <v>2620</v>
      </c>
      <c r="CU76" s="228">
        <v>149</v>
      </c>
      <c r="CV76" s="229">
        <v>5.6899999999999999E-2</v>
      </c>
      <c r="CW76" s="230">
        <v>26622</v>
      </c>
      <c r="CX76" s="230">
        <v>26817</v>
      </c>
      <c r="CY76" s="228">
        <v>-195</v>
      </c>
      <c r="CZ76" s="229">
        <v>-7.3000000000000001E-3</v>
      </c>
      <c r="DA76" s="228">
        <v>21.19</v>
      </c>
      <c r="DB76" s="228">
        <v>20.74</v>
      </c>
      <c r="DC76" s="228">
        <v>0.45</v>
      </c>
      <c r="DD76" s="228">
        <v>0.45</v>
      </c>
      <c r="DE76" s="228">
        <v>21.2</v>
      </c>
      <c r="DF76" s="228">
        <v>21.14</v>
      </c>
      <c r="DG76" s="228">
        <v>-0.01</v>
      </c>
      <c r="DH76" s="228">
        <v>0.06</v>
      </c>
      <c r="DI76" s="228">
        <v>20.54</v>
      </c>
      <c r="DJ76" s="228">
        <v>20.69</v>
      </c>
      <c r="DK76" s="228">
        <v>-0.15</v>
      </c>
      <c r="DL76" s="228">
        <v>-0.15</v>
      </c>
      <c r="DM76" s="228">
        <v>22.21</v>
      </c>
      <c r="DN76" s="228">
        <v>20.83</v>
      </c>
      <c r="DO76" s="228">
        <v>1.38</v>
      </c>
      <c r="DP76" s="228">
        <v>1.38</v>
      </c>
      <c r="DQ76" s="228">
        <v>0.86</v>
      </c>
      <c r="DR76" s="228">
        <v>0.74</v>
      </c>
      <c r="DS76" s="228">
        <v>0.12</v>
      </c>
      <c r="DT76" s="229">
        <v>0.16220000000000001</v>
      </c>
      <c r="DU76" s="231">
        <v>1000</v>
      </c>
      <c r="DV76" s="228">
        <v>950</v>
      </c>
      <c r="DW76" s="228">
        <v>0.63</v>
      </c>
      <c r="DX76" s="228">
        <v>0.56000000000000005</v>
      </c>
      <c r="DY76" s="228">
        <v>7.0000000000000007E-2</v>
      </c>
      <c r="DZ76" s="229">
        <v>0.125</v>
      </c>
      <c r="EA76" s="229">
        <v>5.3999999999999999E-2</v>
      </c>
      <c r="EB76" s="230">
        <v>9969300</v>
      </c>
      <c r="EC76" s="229">
        <v>5.4999999999999997E-3</v>
      </c>
      <c r="ED76" s="229">
        <v>5.3999999999999999E-2</v>
      </c>
      <c r="EE76" s="228">
        <v>4.9400000000000004</v>
      </c>
      <c r="EF76" s="229">
        <v>5.0000000000000001E-3</v>
      </c>
      <c r="EG76" s="230">
        <v>15463391</v>
      </c>
      <c r="EH76" s="230">
        <v>16134923</v>
      </c>
      <c r="EI76" s="229">
        <v>-4.1599999999999998E-2</v>
      </c>
      <c r="EJ76" s="229">
        <v>0.63360000000000005</v>
      </c>
      <c r="EK76" s="231">
        <v>5861.09</v>
      </c>
      <c r="EL76" s="231">
        <v>3548.6</v>
      </c>
      <c r="EM76" s="231">
        <v>3091.43</v>
      </c>
      <c r="EN76" s="228">
        <v>174.89</v>
      </c>
      <c r="EO76" s="231">
        <v>12501.13</v>
      </c>
      <c r="EP76" s="231">
        <v>9743.2000000000007</v>
      </c>
      <c r="EQ76" s="231">
        <v>2757.93</v>
      </c>
      <c r="ER76" s="229">
        <v>0.28310000000000002</v>
      </c>
      <c r="ES76" s="231">
        <v>3251.13</v>
      </c>
      <c r="ET76" s="231">
        <v>2647.81</v>
      </c>
      <c r="EU76" s="231">
        <v>20638.13</v>
      </c>
      <c r="EV76" s="231">
        <v>1329733550</v>
      </c>
      <c r="EW76" s="231">
        <v>26537.07</v>
      </c>
      <c r="EX76" s="231">
        <v>26451.64</v>
      </c>
      <c r="EY76" s="228">
        <v>85.43</v>
      </c>
      <c r="EZ76" s="229">
        <v>3.2000000000000002E-3</v>
      </c>
      <c r="FA76" s="229">
        <v>0.2011</v>
      </c>
      <c r="FB76" s="227" t="s">
        <v>556</v>
      </c>
      <c r="FC76">
        <f t="shared" si="1"/>
        <v>1115</v>
      </c>
    </row>
    <row r="77" spans="1:159" ht="17.25" thickBot="1" x14ac:dyDescent="0.3">
      <c r="A77" s="226">
        <v>45946</v>
      </c>
      <c r="B77" s="227" t="s">
        <v>175</v>
      </c>
      <c r="C77" s="227" t="s">
        <v>225</v>
      </c>
      <c r="D77" s="228">
        <v>1100</v>
      </c>
      <c r="E77" s="228">
        <v>12</v>
      </c>
      <c r="F77" s="228">
        <v>743.5</v>
      </c>
      <c r="G77" s="228">
        <v>762.35</v>
      </c>
      <c r="H77" s="228">
        <v>-18.850000000000001</v>
      </c>
      <c r="I77" s="229">
        <v>-2.47E-2</v>
      </c>
      <c r="J77" s="228">
        <v>742.85</v>
      </c>
      <c r="K77" s="228">
        <v>761.15</v>
      </c>
      <c r="L77" s="228">
        <v>-18.3</v>
      </c>
      <c r="M77" s="229">
        <v>-2.4E-2</v>
      </c>
      <c r="N77" s="228">
        <v>743.5</v>
      </c>
      <c r="O77" s="228">
        <v>762.35</v>
      </c>
      <c r="P77" s="228">
        <v>-18.850000000000001</v>
      </c>
      <c r="Q77" s="229">
        <v>-2.47E-2</v>
      </c>
      <c r="R77" s="228">
        <v>747.2</v>
      </c>
      <c r="S77" s="228">
        <v>766.5</v>
      </c>
      <c r="T77" s="228">
        <v>-19.3</v>
      </c>
      <c r="U77" s="229">
        <v>-2.52E-2</v>
      </c>
      <c r="V77" s="228">
        <v>751.75</v>
      </c>
      <c r="W77" s="228">
        <v>772</v>
      </c>
      <c r="X77" s="228">
        <v>-20.25</v>
      </c>
      <c r="Y77" s="229">
        <v>-2.6200000000000001E-2</v>
      </c>
      <c r="Z77" s="228">
        <v>0.65</v>
      </c>
      <c r="AA77" s="228">
        <v>1.2</v>
      </c>
      <c r="AB77" s="228">
        <v>-0.55000000000000004</v>
      </c>
      <c r="AC77" s="229">
        <v>8.9999999999999998E-4</v>
      </c>
      <c r="AD77" s="228">
        <v>0.65</v>
      </c>
      <c r="AE77" s="228">
        <v>1.2</v>
      </c>
      <c r="AF77" s="228">
        <v>-0.55000000000000004</v>
      </c>
      <c r="AG77" s="229">
        <v>8.9999999999999998E-4</v>
      </c>
      <c r="AH77" s="228">
        <v>4.3499999999999996</v>
      </c>
      <c r="AI77" s="228">
        <v>5.35</v>
      </c>
      <c r="AJ77" s="228">
        <v>-1</v>
      </c>
      <c r="AK77" s="229">
        <v>5.8999999999999999E-3</v>
      </c>
      <c r="AL77" s="228">
        <v>8.9</v>
      </c>
      <c r="AM77" s="228">
        <v>10.85</v>
      </c>
      <c r="AN77" s="228">
        <v>-1.95</v>
      </c>
      <c r="AO77" s="229">
        <v>1.2E-2</v>
      </c>
      <c r="AP77" s="228">
        <v>741.96</v>
      </c>
      <c r="AQ77" s="228">
        <v>745.65</v>
      </c>
      <c r="AR77" s="228">
        <v>0</v>
      </c>
      <c r="AS77" s="228">
        <v>995</v>
      </c>
      <c r="AT77" s="228">
        <v>417</v>
      </c>
      <c r="AU77" s="228">
        <v>578</v>
      </c>
      <c r="AV77" s="229">
        <v>1.3864000000000001</v>
      </c>
      <c r="AW77" s="228">
        <v>837</v>
      </c>
      <c r="AX77" s="228">
        <v>384</v>
      </c>
      <c r="AY77" s="228">
        <v>453</v>
      </c>
      <c r="AZ77" s="229">
        <v>1.181</v>
      </c>
      <c r="BA77" s="228">
        <v>148</v>
      </c>
      <c r="BB77" s="228">
        <v>31</v>
      </c>
      <c r="BC77" s="228">
        <v>117</v>
      </c>
      <c r="BD77" s="229">
        <v>3.7704</v>
      </c>
      <c r="BE77" s="228">
        <v>10</v>
      </c>
      <c r="BF77" s="228">
        <v>2</v>
      </c>
      <c r="BG77" s="228">
        <v>8</v>
      </c>
      <c r="BH77" s="229">
        <v>3.5356999999999998</v>
      </c>
      <c r="BI77" s="230">
        <v>4637</v>
      </c>
      <c r="BJ77" s="230">
        <v>2372</v>
      </c>
      <c r="BK77" s="230">
        <v>2264</v>
      </c>
      <c r="BL77" s="229">
        <v>0.9546</v>
      </c>
      <c r="BM77" s="230">
        <v>1993</v>
      </c>
      <c r="BN77" s="228">
        <v>933</v>
      </c>
      <c r="BO77" s="230">
        <v>1060</v>
      </c>
      <c r="BP77" s="229">
        <v>1.1354</v>
      </c>
      <c r="BQ77" s="230">
        <v>7624</v>
      </c>
      <c r="BR77" s="230">
        <v>3722</v>
      </c>
      <c r="BS77" s="230">
        <v>3902</v>
      </c>
      <c r="BT77" s="229">
        <v>1.0483</v>
      </c>
      <c r="BU77" s="230">
        <v>10378800</v>
      </c>
      <c r="BV77" s="230">
        <v>2854660</v>
      </c>
      <c r="BW77" s="230">
        <v>7524140</v>
      </c>
      <c r="BX77" s="229">
        <v>2.6356999999999999</v>
      </c>
      <c r="BY77" s="230">
        <v>2486</v>
      </c>
      <c r="BZ77" s="230">
        <v>2340</v>
      </c>
      <c r="CA77" s="228">
        <v>146</v>
      </c>
      <c r="CB77" s="229">
        <v>6.25E-2</v>
      </c>
      <c r="CC77" s="230">
        <v>2367</v>
      </c>
      <c r="CD77" s="230">
        <v>2288</v>
      </c>
      <c r="CE77" s="228">
        <v>79</v>
      </c>
      <c r="CF77" s="229">
        <v>3.4599999999999999E-2</v>
      </c>
      <c r="CG77" s="228">
        <v>110</v>
      </c>
      <c r="CH77" s="228">
        <v>47</v>
      </c>
      <c r="CI77" s="228">
        <v>63</v>
      </c>
      <c r="CJ77" s="229">
        <v>1.349</v>
      </c>
      <c r="CK77" s="228">
        <v>9</v>
      </c>
      <c r="CL77" s="228">
        <v>5</v>
      </c>
      <c r="CM77" s="228">
        <v>4</v>
      </c>
      <c r="CN77" s="229">
        <v>0.77049999999999996</v>
      </c>
      <c r="CO77" s="230">
        <v>1262</v>
      </c>
      <c r="CP77" s="228">
        <v>954</v>
      </c>
      <c r="CQ77" s="228">
        <v>308</v>
      </c>
      <c r="CR77" s="229">
        <v>0.32290000000000002</v>
      </c>
      <c r="CS77" s="228">
        <v>579</v>
      </c>
      <c r="CT77" s="228">
        <v>512</v>
      </c>
      <c r="CU77" s="228">
        <v>67</v>
      </c>
      <c r="CV77" s="229">
        <v>0.13120000000000001</v>
      </c>
      <c r="CW77" s="230">
        <v>4328</v>
      </c>
      <c r="CX77" s="230">
        <v>3806</v>
      </c>
      <c r="CY77" s="228">
        <v>522</v>
      </c>
      <c r="CZ77" s="229">
        <v>0.13700000000000001</v>
      </c>
      <c r="DA77" s="228">
        <v>21.49</v>
      </c>
      <c r="DB77" s="228">
        <v>26.47</v>
      </c>
      <c r="DC77" s="228">
        <v>-4.9800000000000004</v>
      </c>
      <c r="DD77" s="228">
        <v>-4.9800000000000004</v>
      </c>
      <c r="DE77" s="228">
        <v>26.11</v>
      </c>
      <c r="DF77" s="228">
        <v>25.97</v>
      </c>
      <c r="DG77" s="228">
        <v>-4.62</v>
      </c>
      <c r="DH77" s="228">
        <v>0.14000000000000001</v>
      </c>
      <c r="DI77" s="228">
        <v>22.08</v>
      </c>
      <c r="DJ77" s="228">
        <v>26.66</v>
      </c>
      <c r="DK77" s="228">
        <v>-4.58</v>
      </c>
      <c r="DL77" s="228">
        <v>-4.58</v>
      </c>
      <c r="DM77" s="228">
        <v>20.13</v>
      </c>
      <c r="DN77" s="228">
        <v>25.99</v>
      </c>
      <c r="DO77" s="228">
        <v>-5.86</v>
      </c>
      <c r="DP77" s="228">
        <v>-5.86</v>
      </c>
      <c r="DQ77" s="228">
        <v>0.46</v>
      </c>
      <c r="DR77" s="228">
        <v>0.54</v>
      </c>
      <c r="DS77" s="228">
        <v>-0.08</v>
      </c>
      <c r="DT77" s="229">
        <v>-0.14810000000000001</v>
      </c>
      <c r="DU77" s="228">
        <v>800</v>
      </c>
      <c r="DV77" s="228">
        <v>740</v>
      </c>
      <c r="DW77" s="228">
        <v>0.43</v>
      </c>
      <c r="DX77" s="228">
        <v>0.39</v>
      </c>
      <c r="DY77" s="228">
        <v>0.04</v>
      </c>
      <c r="DZ77" s="229">
        <v>0.1026</v>
      </c>
      <c r="EA77" s="229">
        <v>4.7800000000000002E-2</v>
      </c>
      <c r="EB77" s="230">
        <v>697400</v>
      </c>
      <c r="EC77" s="229">
        <v>5.0000000000000001E-3</v>
      </c>
      <c r="ED77" s="229">
        <v>4.7800000000000002E-2</v>
      </c>
      <c r="EE77" s="228">
        <v>3.69</v>
      </c>
      <c r="EF77" s="229">
        <v>5.0000000000000001E-3</v>
      </c>
      <c r="EG77" s="230">
        <v>6252224</v>
      </c>
      <c r="EH77" s="230">
        <v>1646687</v>
      </c>
      <c r="EI77" s="229">
        <v>2.7968999999999999</v>
      </c>
      <c r="EJ77" s="229">
        <v>0.60240000000000005</v>
      </c>
      <c r="EK77" s="231">
        <v>4828.2</v>
      </c>
      <c r="EL77" s="231">
        <v>1983.24</v>
      </c>
      <c r="EM77" s="228">
        <v>993.78</v>
      </c>
      <c r="EN77" s="228">
        <v>37.64</v>
      </c>
      <c r="EO77" s="231">
        <v>7805.23</v>
      </c>
      <c r="EP77" s="231">
        <v>3879.12</v>
      </c>
      <c r="EQ77" s="231">
        <v>3926.11</v>
      </c>
      <c r="ER77" s="229">
        <v>1.0121</v>
      </c>
      <c r="ES77" s="231">
        <v>1337.61</v>
      </c>
      <c r="ET77" s="228">
        <v>569.91</v>
      </c>
      <c r="EU77" s="231">
        <v>2486.75</v>
      </c>
      <c r="EV77" s="231">
        <v>119296253</v>
      </c>
      <c r="EW77" s="231">
        <v>4394.2700000000004</v>
      </c>
      <c r="EX77" s="231">
        <v>3926.71</v>
      </c>
      <c r="EY77" s="228">
        <v>467.56</v>
      </c>
      <c r="EZ77" s="229">
        <v>0.1191</v>
      </c>
      <c r="FA77" s="229">
        <v>0.4879</v>
      </c>
      <c r="FB77" s="227" t="s">
        <v>567</v>
      </c>
      <c r="FC77">
        <f t="shared" si="1"/>
        <v>119</v>
      </c>
    </row>
    <row r="78" spans="1:159" ht="17.25" thickBot="1" x14ac:dyDescent="0.3">
      <c r="A78" s="226">
        <v>45946</v>
      </c>
      <c r="B78" s="227" t="s">
        <v>162</v>
      </c>
      <c r="C78" s="227" t="s">
        <v>226</v>
      </c>
      <c r="D78" s="228">
        <v>150</v>
      </c>
      <c r="E78" s="228">
        <v>12</v>
      </c>
      <c r="F78" s="231">
        <v>5591</v>
      </c>
      <c r="G78" s="231">
        <v>5549.5</v>
      </c>
      <c r="H78" s="228">
        <v>41.5</v>
      </c>
      <c r="I78" s="229">
        <v>7.4999999999999997E-3</v>
      </c>
      <c r="J78" s="231">
        <v>5579.5</v>
      </c>
      <c r="K78" s="231">
        <v>5537.5</v>
      </c>
      <c r="L78" s="228">
        <v>42</v>
      </c>
      <c r="M78" s="229">
        <v>7.6E-3</v>
      </c>
      <c r="N78" s="231">
        <v>5591</v>
      </c>
      <c r="O78" s="231">
        <v>5549.5</v>
      </c>
      <c r="P78" s="228">
        <v>41.5</v>
      </c>
      <c r="Q78" s="229">
        <v>7.4999999999999997E-3</v>
      </c>
      <c r="R78" s="231">
        <v>5609.5</v>
      </c>
      <c r="S78" s="231">
        <v>5565</v>
      </c>
      <c r="T78" s="228">
        <v>44.5</v>
      </c>
      <c r="U78" s="229">
        <v>8.0000000000000002E-3</v>
      </c>
      <c r="V78" s="231">
        <v>5627</v>
      </c>
      <c r="W78" s="231">
        <v>5580</v>
      </c>
      <c r="X78" s="228">
        <v>47</v>
      </c>
      <c r="Y78" s="229">
        <v>8.3999999999999995E-3</v>
      </c>
      <c r="Z78" s="228">
        <v>11.5</v>
      </c>
      <c r="AA78" s="228">
        <v>12</v>
      </c>
      <c r="AB78" s="228">
        <v>-0.5</v>
      </c>
      <c r="AC78" s="229">
        <v>2.0999999999999999E-3</v>
      </c>
      <c r="AD78" s="228">
        <v>11.5</v>
      </c>
      <c r="AE78" s="228">
        <v>12</v>
      </c>
      <c r="AF78" s="228">
        <v>-0.5</v>
      </c>
      <c r="AG78" s="229">
        <v>2.0999999999999999E-3</v>
      </c>
      <c r="AH78" s="228">
        <v>30</v>
      </c>
      <c r="AI78" s="228">
        <v>27.5</v>
      </c>
      <c r="AJ78" s="228">
        <v>2.5</v>
      </c>
      <c r="AK78" s="229">
        <v>5.4000000000000003E-3</v>
      </c>
      <c r="AL78" s="228">
        <v>47.5</v>
      </c>
      <c r="AM78" s="228">
        <v>42.5</v>
      </c>
      <c r="AN78" s="228">
        <v>5</v>
      </c>
      <c r="AO78" s="229">
        <v>8.5000000000000006E-3</v>
      </c>
      <c r="AP78" s="231">
        <v>5600.22</v>
      </c>
      <c r="AQ78" s="231">
        <v>5618.27</v>
      </c>
      <c r="AR78" s="228">
        <v>0</v>
      </c>
      <c r="AS78" s="228">
        <v>427</v>
      </c>
      <c r="AT78" s="228">
        <v>613</v>
      </c>
      <c r="AU78" s="228">
        <v>-186</v>
      </c>
      <c r="AV78" s="229">
        <v>-0.30359999999999998</v>
      </c>
      <c r="AW78" s="228">
        <v>378</v>
      </c>
      <c r="AX78" s="228">
        <v>565</v>
      </c>
      <c r="AY78" s="228">
        <v>-188</v>
      </c>
      <c r="AZ78" s="229">
        <v>-0.33179999999999998</v>
      </c>
      <c r="BA78" s="228">
        <v>48</v>
      </c>
      <c r="BB78" s="228">
        <v>46</v>
      </c>
      <c r="BC78" s="228">
        <v>2</v>
      </c>
      <c r="BD78" s="229">
        <v>4.3999999999999997E-2</v>
      </c>
      <c r="BE78" s="228">
        <v>1</v>
      </c>
      <c r="BF78" s="228">
        <v>2</v>
      </c>
      <c r="BG78" s="228">
        <v>-1</v>
      </c>
      <c r="BH78" s="229">
        <v>-0.29170000000000001</v>
      </c>
      <c r="BI78" s="230">
        <v>1714</v>
      </c>
      <c r="BJ78" s="230">
        <v>3032</v>
      </c>
      <c r="BK78" s="230">
        <v>-1318</v>
      </c>
      <c r="BL78" s="229">
        <v>-0.43480000000000002</v>
      </c>
      <c r="BM78" s="228">
        <v>957</v>
      </c>
      <c r="BN78" s="230">
        <v>1990</v>
      </c>
      <c r="BO78" s="230">
        <v>-1033</v>
      </c>
      <c r="BP78" s="229">
        <v>-0.51929999999999998</v>
      </c>
      <c r="BQ78" s="230">
        <v>3097</v>
      </c>
      <c r="BR78" s="230">
        <v>5635</v>
      </c>
      <c r="BS78" s="230">
        <v>-2538</v>
      </c>
      <c r="BT78" s="229">
        <v>-0.45040000000000002</v>
      </c>
      <c r="BU78" s="230">
        <v>307823</v>
      </c>
      <c r="BV78" s="230">
        <v>515359</v>
      </c>
      <c r="BW78" s="230">
        <v>-207536</v>
      </c>
      <c r="BX78" s="229">
        <v>-0.4027</v>
      </c>
      <c r="BY78" s="230">
        <v>2651</v>
      </c>
      <c r="BZ78" s="230">
        <v>2668</v>
      </c>
      <c r="CA78" s="228">
        <v>-16</v>
      </c>
      <c r="CB78" s="229">
        <v>-6.1999999999999998E-3</v>
      </c>
      <c r="CC78" s="230">
        <v>2435</v>
      </c>
      <c r="CD78" s="230">
        <v>2469</v>
      </c>
      <c r="CE78" s="228">
        <v>-33</v>
      </c>
      <c r="CF78" s="229">
        <v>-1.3599999999999999E-2</v>
      </c>
      <c r="CG78" s="228">
        <v>204</v>
      </c>
      <c r="CH78" s="228">
        <v>188</v>
      </c>
      <c r="CI78" s="228">
        <v>17</v>
      </c>
      <c r="CJ78" s="229">
        <v>8.8400000000000006E-2</v>
      </c>
      <c r="CK78" s="228">
        <v>12</v>
      </c>
      <c r="CL78" s="228">
        <v>11</v>
      </c>
      <c r="CM78" s="228">
        <v>0</v>
      </c>
      <c r="CN78" s="229">
        <v>3.6999999999999998E-2</v>
      </c>
      <c r="CO78" s="230">
        <v>1408</v>
      </c>
      <c r="CP78" s="230">
        <v>1502</v>
      </c>
      <c r="CQ78" s="228">
        <v>-95</v>
      </c>
      <c r="CR78" s="229">
        <v>-6.2899999999999998E-2</v>
      </c>
      <c r="CS78" s="228">
        <v>938</v>
      </c>
      <c r="CT78" s="228">
        <v>944</v>
      </c>
      <c r="CU78" s="228">
        <v>-6</v>
      </c>
      <c r="CV78" s="229">
        <v>-6.1000000000000004E-3</v>
      </c>
      <c r="CW78" s="230">
        <v>4997</v>
      </c>
      <c r="CX78" s="230">
        <v>5114</v>
      </c>
      <c r="CY78" s="228">
        <v>-117</v>
      </c>
      <c r="CZ78" s="229">
        <v>-2.2800000000000001E-2</v>
      </c>
      <c r="DA78" s="228">
        <v>23.79</v>
      </c>
      <c r="DB78" s="228">
        <v>25.06</v>
      </c>
      <c r="DC78" s="228">
        <v>-1.27</v>
      </c>
      <c r="DD78" s="228">
        <v>-1.27</v>
      </c>
      <c r="DE78" s="228">
        <v>30.71</v>
      </c>
      <c r="DF78" s="228">
        <v>30.78</v>
      </c>
      <c r="DG78" s="228">
        <v>-6.92</v>
      </c>
      <c r="DH78" s="228">
        <v>-7.0000000000000007E-2</v>
      </c>
      <c r="DI78" s="228">
        <v>23.46</v>
      </c>
      <c r="DJ78" s="228">
        <v>24.9</v>
      </c>
      <c r="DK78" s="228">
        <v>-1.44</v>
      </c>
      <c r="DL78" s="228">
        <v>-1.44</v>
      </c>
      <c r="DM78" s="228">
        <v>24.38</v>
      </c>
      <c r="DN78" s="228">
        <v>25.3</v>
      </c>
      <c r="DO78" s="228">
        <v>-0.92</v>
      </c>
      <c r="DP78" s="228">
        <v>-0.92</v>
      </c>
      <c r="DQ78" s="228">
        <v>0.67</v>
      </c>
      <c r="DR78" s="228">
        <v>0.63</v>
      </c>
      <c r="DS78" s="228">
        <v>0.04</v>
      </c>
      <c r="DT78" s="229">
        <v>6.3500000000000001E-2</v>
      </c>
      <c r="DU78" s="231">
        <v>5600</v>
      </c>
      <c r="DV78" s="231">
        <v>5400</v>
      </c>
      <c r="DW78" s="228">
        <v>0.56000000000000005</v>
      </c>
      <c r="DX78" s="228">
        <v>0.66</v>
      </c>
      <c r="DY78" s="228">
        <v>-0.1</v>
      </c>
      <c r="DZ78" s="229">
        <v>-0.1515</v>
      </c>
      <c r="EA78" s="229">
        <v>8.1500000000000003E-2</v>
      </c>
      <c r="EB78" s="230">
        <v>356100</v>
      </c>
      <c r="EC78" s="229">
        <v>3.3E-3</v>
      </c>
      <c r="ED78" s="229">
        <v>8.1500000000000003E-2</v>
      </c>
      <c r="EE78" s="228">
        <v>18.05</v>
      </c>
      <c r="EF78" s="229">
        <v>3.2000000000000002E-3</v>
      </c>
      <c r="EG78" s="230">
        <v>143794</v>
      </c>
      <c r="EH78" s="230">
        <v>282647</v>
      </c>
      <c r="EI78" s="229">
        <v>-0.49130000000000001</v>
      </c>
      <c r="EJ78" s="229">
        <v>0.46710000000000002</v>
      </c>
      <c r="EK78" s="231">
        <v>1768.01</v>
      </c>
      <c r="EL78" s="228">
        <v>939.66</v>
      </c>
      <c r="EM78" s="228">
        <v>427.65</v>
      </c>
      <c r="EN78" s="228">
        <v>62.1</v>
      </c>
      <c r="EO78" s="231">
        <v>3135.32</v>
      </c>
      <c r="EP78" s="231">
        <v>5683.7</v>
      </c>
      <c r="EQ78" s="231">
        <v>-2548.38</v>
      </c>
      <c r="ER78" s="229">
        <v>-0.44840000000000002</v>
      </c>
      <c r="ES78" s="231">
        <v>1450.29</v>
      </c>
      <c r="ET78" s="228">
        <v>888.02</v>
      </c>
      <c r="EU78" s="231">
        <v>2652.14</v>
      </c>
      <c r="EV78" s="231">
        <v>19579129</v>
      </c>
      <c r="EW78" s="231">
        <v>4990.46</v>
      </c>
      <c r="EX78" s="231">
        <v>5086.91</v>
      </c>
      <c r="EY78" s="228">
        <v>-96.45</v>
      </c>
      <c r="EZ78" s="229">
        <v>-1.9E-2</v>
      </c>
      <c r="FA78" s="229">
        <v>0.45650000000000002</v>
      </c>
      <c r="FB78" s="227" t="s">
        <v>556</v>
      </c>
      <c r="FC78">
        <f t="shared" si="1"/>
        <v>216</v>
      </c>
    </row>
    <row r="79" spans="1:159" ht="17.25" thickBot="1" x14ac:dyDescent="0.3">
      <c r="A79" s="226">
        <v>45946</v>
      </c>
      <c r="B79" s="227" t="s">
        <v>221</v>
      </c>
      <c r="C79" s="227" t="s">
        <v>576</v>
      </c>
      <c r="D79" s="228">
        <v>6450</v>
      </c>
      <c r="E79" s="228">
        <v>12</v>
      </c>
      <c r="F79" s="228">
        <v>77.599999999999994</v>
      </c>
      <c r="G79" s="228">
        <v>77.62</v>
      </c>
      <c r="H79" s="228">
        <v>-0.02</v>
      </c>
      <c r="I79" s="229">
        <v>-2.9999999999999997E-4</v>
      </c>
      <c r="J79" s="228">
        <v>77.319999999999993</v>
      </c>
      <c r="K79" s="228">
        <v>77.23</v>
      </c>
      <c r="L79" s="228">
        <v>0.09</v>
      </c>
      <c r="M79" s="229">
        <v>1.1999999999999999E-3</v>
      </c>
      <c r="N79" s="228">
        <v>77.599999999999994</v>
      </c>
      <c r="O79" s="228">
        <v>77.62</v>
      </c>
      <c r="P79" s="228">
        <v>-0.02</v>
      </c>
      <c r="Q79" s="229">
        <v>-2.9999999999999997E-4</v>
      </c>
      <c r="R79" s="228">
        <v>78.08</v>
      </c>
      <c r="S79" s="228">
        <v>78.03</v>
      </c>
      <c r="T79" s="228">
        <v>0.05</v>
      </c>
      <c r="U79" s="229">
        <v>5.9999999999999995E-4</v>
      </c>
      <c r="V79" s="228">
        <v>78.569999999999993</v>
      </c>
      <c r="W79" s="228">
        <v>78.48</v>
      </c>
      <c r="X79" s="228">
        <v>0.09</v>
      </c>
      <c r="Y79" s="229">
        <v>1.1000000000000001E-3</v>
      </c>
      <c r="Z79" s="228">
        <v>0.28000000000000003</v>
      </c>
      <c r="AA79" s="228">
        <v>0.39</v>
      </c>
      <c r="AB79" s="228">
        <v>-0.11</v>
      </c>
      <c r="AC79" s="229">
        <v>3.5999999999999999E-3</v>
      </c>
      <c r="AD79" s="228">
        <v>0.28000000000000003</v>
      </c>
      <c r="AE79" s="228">
        <v>0.39</v>
      </c>
      <c r="AF79" s="228">
        <v>-0.11</v>
      </c>
      <c r="AG79" s="229">
        <v>3.5999999999999999E-3</v>
      </c>
      <c r="AH79" s="228">
        <v>0.76</v>
      </c>
      <c r="AI79" s="228">
        <v>0.8</v>
      </c>
      <c r="AJ79" s="228">
        <v>-0.04</v>
      </c>
      <c r="AK79" s="229">
        <v>9.7999999999999997E-3</v>
      </c>
      <c r="AL79" s="228">
        <v>1.25</v>
      </c>
      <c r="AM79" s="228">
        <v>1.25</v>
      </c>
      <c r="AN79" s="228">
        <v>0</v>
      </c>
      <c r="AO79" s="229">
        <v>1.6199999999999999E-2</v>
      </c>
      <c r="AP79" s="228">
        <v>77.900000000000006</v>
      </c>
      <c r="AQ79" s="228">
        <v>78.28</v>
      </c>
      <c r="AR79" s="228">
        <v>0</v>
      </c>
      <c r="AS79" s="228">
        <v>201</v>
      </c>
      <c r="AT79" s="228">
        <v>236</v>
      </c>
      <c r="AU79" s="228">
        <v>-35</v>
      </c>
      <c r="AV79" s="229">
        <v>-0.14829999999999999</v>
      </c>
      <c r="AW79" s="228">
        <v>165</v>
      </c>
      <c r="AX79" s="228">
        <v>182</v>
      </c>
      <c r="AY79" s="228">
        <v>-16</v>
      </c>
      <c r="AZ79" s="229">
        <v>-8.8499999999999995E-2</v>
      </c>
      <c r="BA79" s="228">
        <v>32</v>
      </c>
      <c r="BB79" s="228">
        <v>43</v>
      </c>
      <c r="BC79" s="228">
        <v>-12</v>
      </c>
      <c r="BD79" s="229">
        <v>-0.27160000000000001</v>
      </c>
      <c r="BE79" s="228">
        <v>4</v>
      </c>
      <c r="BF79" s="228">
        <v>11</v>
      </c>
      <c r="BG79" s="228">
        <v>-7</v>
      </c>
      <c r="BH79" s="229">
        <v>-0.66510000000000002</v>
      </c>
      <c r="BI79" s="228">
        <v>215</v>
      </c>
      <c r="BJ79" s="228">
        <v>278</v>
      </c>
      <c r="BK79" s="228">
        <v>-63</v>
      </c>
      <c r="BL79" s="229">
        <v>-0.22639999999999999</v>
      </c>
      <c r="BM79" s="228">
        <v>94</v>
      </c>
      <c r="BN79" s="228">
        <v>87</v>
      </c>
      <c r="BO79" s="228">
        <v>7</v>
      </c>
      <c r="BP79" s="229">
        <v>8.4599999999999995E-2</v>
      </c>
      <c r="BQ79" s="228">
        <v>510</v>
      </c>
      <c r="BR79" s="228">
        <v>600</v>
      </c>
      <c r="BS79" s="228">
        <v>-90</v>
      </c>
      <c r="BT79" s="229">
        <v>-0.1507</v>
      </c>
      <c r="BU79" s="230">
        <v>9941393</v>
      </c>
      <c r="BV79" s="230">
        <v>15246156</v>
      </c>
      <c r="BW79" s="230">
        <v>-5304763</v>
      </c>
      <c r="BX79" s="229">
        <v>-0.34789999999999999</v>
      </c>
      <c r="BY79" s="230">
        <v>1038</v>
      </c>
      <c r="BZ79" s="230">
        <v>1032</v>
      </c>
      <c r="CA79" s="228">
        <v>6</v>
      </c>
      <c r="CB79" s="229">
        <v>6.3E-3</v>
      </c>
      <c r="CC79" s="228">
        <v>930</v>
      </c>
      <c r="CD79" s="228">
        <v>931</v>
      </c>
      <c r="CE79" s="228">
        <v>-1</v>
      </c>
      <c r="CF79" s="229">
        <v>-1.2999999999999999E-3</v>
      </c>
      <c r="CG79" s="228">
        <v>95</v>
      </c>
      <c r="CH79" s="228">
        <v>89</v>
      </c>
      <c r="CI79" s="228">
        <v>6</v>
      </c>
      <c r="CJ79" s="229">
        <v>6.6600000000000006E-2</v>
      </c>
      <c r="CK79" s="228">
        <v>14</v>
      </c>
      <c r="CL79" s="228">
        <v>12</v>
      </c>
      <c r="CM79" s="228">
        <v>2</v>
      </c>
      <c r="CN79" s="229">
        <v>0.14749999999999999</v>
      </c>
      <c r="CO79" s="228">
        <v>366</v>
      </c>
      <c r="CP79" s="228">
        <v>353</v>
      </c>
      <c r="CQ79" s="228">
        <v>13</v>
      </c>
      <c r="CR79" s="229">
        <v>3.7999999999999999E-2</v>
      </c>
      <c r="CS79" s="228">
        <v>188</v>
      </c>
      <c r="CT79" s="228">
        <v>183</v>
      </c>
      <c r="CU79" s="228">
        <v>5</v>
      </c>
      <c r="CV79" s="229">
        <v>2.6200000000000001E-2</v>
      </c>
      <c r="CW79" s="230">
        <v>1592</v>
      </c>
      <c r="CX79" s="230">
        <v>1568</v>
      </c>
      <c r="CY79" s="228">
        <v>25</v>
      </c>
      <c r="CZ79" s="229">
        <v>1.5699999999999999E-2</v>
      </c>
      <c r="DA79" s="228">
        <v>49.88</v>
      </c>
      <c r="DB79" s="228">
        <v>48.24</v>
      </c>
      <c r="DC79" s="228">
        <v>1.64</v>
      </c>
      <c r="DD79" s="228">
        <v>1.64</v>
      </c>
      <c r="DE79" s="228">
        <v>54.71</v>
      </c>
      <c r="DF79" s="228">
        <v>54.85</v>
      </c>
      <c r="DG79" s="228">
        <v>-4.83</v>
      </c>
      <c r="DH79" s="228">
        <v>-0.14000000000000001</v>
      </c>
      <c r="DI79" s="228">
        <v>50.04</v>
      </c>
      <c r="DJ79" s="228">
        <v>47.96</v>
      </c>
      <c r="DK79" s="228">
        <v>2.08</v>
      </c>
      <c r="DL79" s="228">
        <v>2.08</v>
      </c>
      <c r="DM79" s="228">
        <v>49.5</v>
      </c>
      <c r="DN79" s="228">
        <v>49.11</v>
      </c>
      <c r="DO79" s="228">
        <v>0.39</v>
      </c>
      <c r="DP79" s="228">
        <v>0.39</v>
      </c>
      <c r="DQ79" s="228">
        <v>0.51</v>
      </c>
      <c r="DR79" s="228">
        <v>0.52</v>
      </c>
      <c r="DS79" s="228">
        <v>-0.01</v>
      </c>
      <c r="DT79" s="229">
        <v>-1.9199999999999998E-2</v>
      </c>
      <c r="DU79" s="228">
        <v>80</v>
      </c>
      <c r="DV79" s="228">
        <v>75</v>
      </c>
      <c r="DW79" s="228">
        <v>0.44</v>
      </c>
      <c r="DX79" s="228">
        <v>0.31</v>
      </c>
      <c r="DY79" s="228">
        <v>0.13</v>
      </c>
      <c r="DZ79" s="229">
        <v>0.4194</v>
      </c>
      <c r="EA79" s="229">
        <v>0.1046</v>
      </c>
      <c r="EB79" s="230">
        <v>12996750</v>
      </c>
      <c r="EC79" s="229">
        <v>6.1999999999999998E-3</v>
      </c>
      <c r="ED79" s="229">
        <v>0.1046</v>
      </c>
      <c r="EE79" s="228">
        <v>0.38</v>
      </c>
      <c r="EF79" s="229">
        <v>4.8999999999999998E-3</v>
      </c>
      <c r="EG79" s="230">
        <v>3504008</v>
      </c>
      <c r="EH79" s="230">
        <v>5671001</v>
      </c>
      <c r="EI79" s="229">
        <v>-0.3821</v>
      </c>
      <c r="EJ79" s="229">
        <v>0.35249999999999998</v>
      </c>
      <c r="EK79" s="228">
        <v>225.21</v>
      </c>
      <c r="EL79" s="228">
        <v>96.95</v>
      </c>
      <c r="EM79" s="228">
        <v>201.67</v>
      </c>
      <c r="EN79" s="228">
        <v>43.11</v>
      </c>
      <c r="EO79" s="228">
        <v>523.83000000000004</v>
      </c>
      <c r="EP79" s="228">
        <v>609.75</v>
      </c>
      <c r="EQ79" s="228">
        <v>-85.92</v>
      </c>
      <c r="ER79" s="229">
        <v>-0.1409</v>
      </c>
      <c r="ES79" s="228">
        <v>374.12</v>
      </c>
      <c r="ET79" s="228">
        <v>180.52</v>
      </c>
      <c r="EU79" s="231">
        <v>1038.8399999999999</v>
      </c>
      <c r="EV79" s="231">
        <v>147979599</v>
      </c>
      <c r="EW79" s="231">
        <v>1593.48</v>
      </c>
      <c r="EX79" s="231">
        <v>1568.66</v>
      </c>
      <c r="EY79" s="228">
        <v>24.82</v>
      </c>
      <c r="EZ79" s="229">
        <v>1.5800000000000002E-2</v>
      </c>
      <c r="FA79" s="229">
        <v>1.3868</v>
      </c>
      <c r="FB79" s="227" t="s">
        <v>567</v>
      </c>
      <c r="FC79">
        <f t="shared" si="1"/>
        <v>108</v>
      </c>
    </row>
    <row r="80" spans="1:159" ht="17.25" thickBot="1" x14ac:dyDescent="0.3">
      <c r="A80" s="226">
        <v>45946</v>
      </c>
      <c r="B80" s="227" t="s">
        <v>227</v>
      </c>
      <c r="C80" s="227" t="s">
        <v>228</v>
      </c>
      <c r="D80" s="228">
        <v>1400</v>
      </c>
      <c r="E80" s="228">
        <v>12</v>
      </c>
      <c r="F80" s="228">
        <v>781.25</v>
      </c>
      <c r="G80" s="228">
        <v>767.6</v>
      </c>
      <c r="H80" s="228">
        <v>13.65</v>
      </c>
      <c r="I80" s="229">
        <v>1.78E-2</v>
      </c>
      <c r="J80" s="228">
        <v>780.1</v>
      </c>
      <c r="K80" s="228">
        <v>764.25</v>
      </c>
      <c r="L80" s="228">
        <v>15.85</v>
      </c>
      <c r="M80" s="229">
        <v>2.07E-2</v>
      </c>
      <c r="N80" s="228">
        <v>781.25</v>
      </c>
      <c r="O80" s="228">
        <v>767.6</v>
      </c>
      <c r="P80" s="228">
        <v>13.65</v>
      </c>
      <c r="Q80" s="229">
        <v>1.78E-2</v>
      </c>
      <c r="R80" s="228">
        <v>785.55</v>
      </c>
      <c r="S80" s="228">
        <v>771.35</v>
      </c>
      <c r="T80" s="228">
        <v>14.2</v>
      </c>
      <c r="U80" s="229">
        <v>1.84E-2</v>
      </c>
      <c r="V80" s="228">
        <v>789.95</v>
      </c>
      <c r="W80" s="228">
        <v>776.65</v>
      </c>
      <c r="X80" s="228">
        <v>13.3</v>
      </c>
      <c r="Y80" s="229">
        <v>1.7100000000000001E-2</v>
      </c>
      <c r="Z80" s="228">
        <v>1.1499999999999999</v>
      </c>
      <c r="AA80" s="228">
        <v>3.35</v>
      </c>
      <c r="AB80" s="228">
        <v>-2.2000000000000002</v>
      </c>
      <c r="AC80" s="229">
        <v>1.5E-3</v>
      </c>
      <c r="AD80" s="228">
        <v>1.1499999999999999</v>
      </c>
      <c r="AE80" s="228">
        <v>3.35</v>
      </c>
      <c r="AF80" s="228">
        <v>-2.2000000000000002</v>
      </c>
      <c r="AG80" s="229">
        <v>1.5E-3</v>
      </c>
      <c r="AH80" s="228">
        <v>5.45</v>
      </c>
      <c r="AI80" s="228">
        <v>7.1</v>
      </c>
      <c r="AJ80" s="228">
        <v>-1.65</v>
      </c>
      <c r="AK80" s="229">
        <v>7.0000000000000001E-3</v>
      </c>
      <c r="AL80" s="228">
        <v>9.85</v>
      </c>
      <c r="AM80" s="228">
        <v>12.4</v>
      </c>
      <c r="AN80" s="228">
        <v>-2.5499999999999998</v>
      </c>
      <c r="AO80" s="229">
        <v>1.26E-2</v>
      </c>
      <c r="AP80" s="228">
        <v>777.75</v>
      </c>
      <c r="AQ80" s="228">
        <v>782.02</v>
      </c>
      <c r="AR80" s="228">
        <v>0</v>
      </c>
      <c r="AS80" s="228">
        <v>744</v>
      </c>
      <c r="AT80" s="228">
        <v>589</v>
      </c>
      <c r="AU80" s="228">
        <v>154</v>
      </c>
      <c r="AV80" s="229">
        <v>0.26179999999999998</v>
      </c>
      <c r="AW80" s="228">
        <v>670</v>
      </c>
      <c r="AX80" s="228">
        <v>517</v>
      </c>
      <c r="AY80" s="228">
        <v>153</v>
      </c>
      <c r="AZ80" s="229">
        <v>0.2964</v>
      </c>
      <c r="BA80" s="228">
        <v>64</v>
      </c>
      <c r="BB80" s="228">
        <v>67</v>
      </c>
      <c r="BC80" s="228">
        <v>-3</v>
      </c>
      <c r="BD80" s="229">
        <v>-4.8899999999999999E-2</v>
      </c>
      <c r="BE80" s="228">
        <v>10</v>
      </c>
      <c r="BF80" s="228">
        <v>6</v>
      </c>
      <c r="BG80" s="228">
        <v>4</v>
      </c>
      <c r="BH80" s="229">
        <v>0.78849999999999998</v>
      </c>
      <c r="BI80" s="230">
        <v>2115</v>
      </c>
      <c r="BJ80" s="230">
        <v>1233</v>
      </c>
      <c r="BK80" s="228">
        <v>882</v>
      </c>
      <c r="BL80" s="229">
        <v>0.71589999999999998</v>
      </c>
      <c r="BM80" s="230">
        <v>1242</v>
      </c>
      <c r="BN80" s="228">
        <v>709</v>
      </c>
      <c r="BO80" s="228">
        <v>534</v>
      </c>
      <c r="BP80" s="229">
        <v>0.75290000000000001</v>
      </c>
      <c r="BQ80" s="230">
        <v>4101</v>
      </c>
      <c r="BR80" s="230">
        <v>2531</v>
      </c>
      <c r="BS80" s="230">
        <v>1570</v>
      </c>
      <c r="BT80" s="229">
        <v>0.62050000000000005</v>
      </c>
      <c r="BU80" s="230">
        <v>4712926</v>
      </c>
      <c r="BV80" s="230">
        <v>5973639</v>
      </c>
      <c r="BW80" s="230">
        <v>-1260713</v>
      </c>
      <c r="BX80" s="229">
        <v>-0.21099999999999999</v>
      </c>
      <c r="BY80" s="230">
        <v>5212</v>
      </c>
      <c r="BZ80" s="230">
        <v>5316</v>
      </c>
      <c r="CA80" s="228">
        <v>-104</v>
      </c>
      <c r="CB80" s="229">
        <v>-1.9599999999999999E-2</v>
      </c>
      <c r="CC80" s="230">
        <v>5054</v>
      </c>
      <c r="CD80" s="230">
        <v>5163</v>
      </c>
      <c r="CE80" s="228">
        <v>-109</v>
      </c>
      <c r="CF80" s="229">
        <v>-2.1100000000000001E-2</v>
      </c>
      <c r="CG80" s="228">
        <v>145</v>
      </c>
      <c r="CH80" s="228">
        <v>137</v>
      </c>
      <c r="CI80" s="228">
        <v>8</v>
      </c>
      <c r="CJ80" s="229">
        <v>5.4899999999999997E-2</v>
      </c>
      <c r="CK80" s="228">
        <v>13</v>
      </c>
      <c r="CL80" s="228">
        <v>16</v>
      </c>
      <c r="CM80" s="228">
        <v>-3</v>
      </c>
      <c r="CN80" s="229">
        <v>-0.17480000000000001</v>
      </c>
      <c r="CO80" s="230">
        <v>1389</v>
      </c>
      <c r="CP80" s="230">
        <v>1524</v>
      </c>
      <c r="CQ80" s="228">
        <v>-135</v>
      </c>
      <c r="CR80" s="229">
        <v>-8.8700000000000001E-2</v>
      </c>
      <c r="CS80" s="230">
        <v>1004</v>
      </c>
      <c r="CT80" s="228">
        <v>970</v>
      </c>
      <c r="CU80" s="228">
        <v>33</v>
      </c>
      <c r="CV80" s="229">
        <v>3.44E-2</v>
      </c>
      <c r="CW80" s="230">
        <v>7604</v>
      </c>
      <c r="CX80" s="230">
        <v>7810</v>
      </c>
      <c r="CY80" s="228">
        <v>-206</v>
      </c>
      <c r="CZ80" s="229">
        <v>-2.64E-2</v>
      </c>
      <c r="DA80" s="228">
        <v>22.76</v>
      </c>
      <c r="DB80" s="228">
        <v>23.68</v>
      </c>
      <c r="DC80" s="228">
        <v>-0.92</v>
      </c>
      <c r="DD80" s="228">
        <v>-0.92</v>
      </c>
      <c r="DE80" s="228">
        <v>33.11</v>
      </c>
      <c r="DF80" s="228">
        <v>33.11</v>
      </c>
      <c r="DG80" s="228">
        <v>-10.35</v>
      </c>
      <c r="DH80" s="228">
        <v>0</v>
      </c>
      <c r="DI80" s="228">
        <v>22.2</v>
      </c>
      <c r="DJ80" s="228">
        <v>23.73</v>
      </c>
      <c r="DK80" s="228">
        <v>-1.53</v>
      </c>
      <c r="DL80" s="228">
        <v>-1.53</v>
      </c>
      <c r="DM80" s="228">
        <v>23.71</v>
      </c>
      <c r="DN80" s="228">
        <v>23.58</v>
      </c>
      <c r="DO80" s="228">
        <v>0.13</v>
      </c>
      <c r="DP80" s="228">
        <v>0.13</v>
      </c>
      <c r="DQ80" s="228">
        <v>0.72</v>
      </c>
      <c r="DR80" s="228">
        <v>0.64</v>
      </c>
      <c r="DS80" s="228">
        <v>0.08</v>
      </c>
      <c r="DT80" s="229">
        <v>0.125</v>
      </c>
      <c r="DU80" s="228">
        <v>800</v>
      </c>
      <c r="DV80" s="228">
        <v>750</v>
      </c>
      <c r="DW80" s="228">
        <v>0.59</v>
      </c>
      <c r="DX80" s="228">
        <v>0.57999999999999996</v>
      </c>
      <c r="DY80" s="228">
        <v>0.01</v>
      </c>
      <c r="DZ80" s="229">
        <v>1.72E-2</v>
      </c>
      <c r="EA80" s="229">
        <v>3.0300000000000001E-2</v>
      </c>
      <c r="EB80" s="230">
        <v>1958600</v>
      </c>
      <c r="EC80" s="229">
        <v>5.4999999999999997E-3</v>
      </c>
      <c r="ED80" s="229">
        <v>3.0300000000000001E-2</v>
      </c>
      <c r="EE80" s="228">
        <v>4.2699999999999996</v>
      </c>
      <c r="EF80" s="229">
        <v>5.4999999999999997E-3</v>
      </c>
      <c r="EG80" s="230">
        <v>2795237</v>
      </c>
      <c r="EH80" s="230">
        <v>4294170</v>
      </c>
      <c r="EI80" s="229">
        <v>-0.34910000000000002</v>
      </c>
      <c r="EJ80" s="229">
        <v>0.59309999999999996</v>
      </c>
      <c r="EK80" s="231">
        <v>2163.2600000000002</v>
      </c>
      <c r="EL80" s="231">
        <v>1218.05</v>
      </c>
      <c r="EM80" s="228">
        <v>740.87</v>
      </c>
      <c r="EN80" s="228">
        <v>60.28</v>
      </c>
      <c r="EO80" s="231">
        <v>4122.18</v>
      </c>
      <c r="EP80" s="231">
        <v>2527.66</v>
      </c>
      <c r="EQ80" s="231">
        <v>1594.53</v>
      </c>
      <c r="ER80" s="229">
        <v>0.63080000000000003</v>
      </c>
      <c r="ES80" s="231">
        <v>1420.22</v>
      </c>
      <c r="ET80" s="228">
        <v>951.85</v>
      </c>
      <c r="EU80" s="231">
        <v>5212.55</v>
      </c>
      <c r="EV80" s="231">
        <v>176136372</v>
      </c>
      <c r="EW80" s="231">
        <v>7584.62</v>
      </c>
      <c r="EX80" s="231">
        <v>7695.75</v>
      </c>
      <c r="EY80" s="228">
        <v>-111.13</v>
      </c>
      <c r="EZ80" s="229">
        <v>-1.44E-2</v>
      </c>
      <c r="FA80" s="229">
        <v>0.55259999999999998</v>
      </c>
      <c r="FB80" s="227" t="s">
        <v>556</v>
      </c>
      <c r="FC80">
        <f t="shared" si="1"/>
        <v>158</v>
      </c>
    </row>
    <row r="81" spans="1:159" ht="17.25" thickBot="1" x14ac:dyDescent="0.3">
      <c r="A81" s="226">
        <v>45946</v>
      </c>
      <c r="B81" s="227" t="s">
        <v>193</v>
      </c>
      <c r="C81" s="227" t="s">
        <v>229</v>
      </c>
      <c r="D81" s="228">
        <v>2025</v>
      </c>
      <c r="E81" s="228">
        <v>12</v>
      </c>
      <c r="F81" s="228">
        <v>452.5</v>
      </c>
      <c r="G81" s="228">
        <v>450.6</v>
      </c>
      <c r="H81" s="228">
        <v>1.9</v>
      </c>
      <c r="I81" s="229">
        <v>4.1999999999999997E-3</v>
      </c>
      <c r="J81" s="228">
        <v>451.95</v>
      </c>
      <c r="K81" s="228">
        <v>448.65</v>
      </c>
      <c r="L81" s="228">
        <v>3.3</v>
      </c>
      <c r="M81" s="229">
        <v>7.4000000000000003E-3</v>
      </c>
      <c r="N81" s="228">
        <v>452.5</v>
      </c>
      <c r="O81" s="228">
        <v>450.6</v>
      </c>
      <c r="P81" s="228">
        <v>1.9</v>
      </c>
      <c r="Q81" s="229">
        <v>4.1999999999999997E-3</v>
      </c>
      <c r="R81" s="228">
        <v>454.8</v>
      </c>
      <c r="S81" s="228">
        <v>452.75</v>
      </c>
      <c r="T81" s="228">
        <v>2.0499999999999998</v>
      </c>
      <c r="U81" s="229">
        <v>4.4999999999999997E-3</v>
      </c>
      <c r="V81" s="228">
        <v>457.45</v>
      </c>
      <c r="W81" s="228">
        <v>455.7</v>
      </c>
      <c r="X81" s="228">
        <v>1.75</v>
      </c>
      <c r="Y81" s="229">
        <v>3.8E-3</v>
      </c>
      <c r="Z81" s="228">
        <v>0.55000000000000004</v>
      </c>
      <c r="AA81" s="228">
        <v>1.95</v>
      </c>
      <c r="AB81" s="228">
        <v>-1.4</v>
      </c>
      <c r="AC81" s="229">
        <v>1.1999999999999999E-3</v>
      </c>
      <c r="AD81" s="228">
        <v>0.55000000000000004</v>
      </c>
      <c r="AE81" s="228">
        <v>1.95</v>
      </c>
      <c r="AF81" s="228">
        <v>-1.4</v>
      </c>
      <c r="AG81" s="229">
        <v>1.1999999999999999E-3</v>
      </c>
      <c r="AH81" s="228">
        <v>2.85</v>
      </c>
      <c r="AI81" s="228">
        <v>4.0999999999999996</v>
      </c>
      <c r="AJ81" s="228">
        <v>-1.25</v>
      </c>
      <c r="AK81" s="229">
        <v>6.3E-3</v>
      </c>
      <c r="AL81" s="228">
        <v>5.5</v>
      </c>
      <c r="AM81" s="228">
        <v>7.05</v>
      </c>
      <c r="AN81" s="228">
        <v>-1.55</v>
      </c>
      <c r="AO81" s="229">
        <v>1.2200000000000001E-2</v>
      </c>
      <c r="AP81" s="228">
        <v>451.97</v>
      </c>
      <c r="AQ81" s="228">
        <v>453.78</v>
      </c>
      <c r="AR81" s="228">
        <v>0</v>
      </c>
      <c r="AS81" s="228">
        <v>507</v>
      </c>
      <c r="AT81" s="228">
        <v>494</v>
      </c>
      <c r="AU81" s="228">
        <v>13</v>
      </c>
      <c r="AV81" s="229">
        <v>2.6100000000000002E-2</v>
      </c>
      <c r="AW81" s="228">
        <v>460</v>
      </c>
      <c r="AX81" s="228">
        <v>436</v>
      </c>
      <c r="AY81" s="228">
        <v>24</v>
      </c>
      <c r="AZ81" s="229">
        <v>5.5300000000000002E-2</v>
      </c>
      <c r="BA81" s="228">
        <v>43</v>
      </c>
      <c r="BB81" s="228">
        <v>56</v>
      </c>
      <c r="BC81" s="228">
        <v>-14</v>
      </c>
      <c r="BD81" s="229">
        <v>-0.24030000000000001</v>
      </c>
      <c r="BE81" s="228">
        <v>5</v>
      </c>
      <c r="BF81" s="228">
        <v>2</v>
      </c>
      <c r="BG81" s="228">
        <v>2</v>
      </c>
      <c r="BH81" s="229">
        <v>1.0832999999999999</v>
      </c>
      <c r="BI81" s="230">
        <v>1430</v>
      </c>
      <c r="BJ81" s="230">
        <v>1636</v>
      </c>
      <c r="BK81" s="228">
        <v>-206</v>
      </c>
      <c r="BL81" s="229">
        <v>-0.12570000000000001</v>
      </c>
      <c r="BM81" s="228">
        <v>752</v>
      </c>
      <c r="BN81" s="228">
        <v>616</v>
      </c>
      <c r="BO81" s="228">
        <v>136</v>
      </c>
      <c r="BP81" s="229">
        <v>0.22109999999999999</v>
      </c>
      <c r="BQ81" s="230">
        <v>2689</v>
      </c>
      <c r="BR81" s="230">
        <v>2746</v>
      </c>
      <c r="BS81" s="228">
        <v>-57</v>
      </c>
      <c r="BT81" s="229">
        <v>-2.06E-2</v>
      </c>
      <c r="BU81" s="230">
        <v>5605177</v>
      </c>
      <c r="BV81" s="230">
        <v>7752168</v>
      </c>
      <c r="BW81" s="230">
        <v>-2146991</v>
      </c>
      <c r="BX81" s="229">
        <v>-0.27700000000000002</v>
      </c>
      <c r="BY81" s="230">
        <v>2370</v>
      </c>
      <c r="BZ81" s="230">
        <v>2416</v>
      </c>
      <c r="CA81" s="228">
        <v>-45</v>
      </c>
      <c r="CB81" s="229">
        <v>-1.8800000000000001E-2</v>
      </c>
      <c r="CC81" s="230">
        <v>2288</v>
      </c>
      <c r="CD81" s="230">
        <v>2339</v>
      </c>
      <c r="CE81" s="228">
        <v>-50</v>
      </c>
      <c r="CF81" s="229">
        <v>-2.1600000000000001E-2</v>
      </c>
      <c r="CG81" s="228">
        <v>75</v>
      </c>
      <c r="CH81" s="228">
        <v>69</v>
      </c>
      <c r="CI81" s="228">
        <v>5</v>
      </c>
      <c r="CJ81" s="229">
        <v>7.6600000000000001E-2</v>
      </c>
      <c r="CK81" s="228">
        <v>8</v>
      </c>
      <c r="CL81" s="228">
        <v>8</v>
      </c>
      <c r="CM81" s="228">
        <v>0</v>
      </c>
      <c r="CN81" s="229">
        <v>-3.5299999999999998E-2</v>
      </c>
      <c r="CO81" s="228">
        <v>924</v>
      </c>
      <c r="CP81" s="228">
        <v>960</v>
      </c>
      <c r="CQ81" s="228">
        <v>-36</v>
      </c>
      <c r="CR81" s="229">
        <v>-3.7900000000000003E-2</v>
      </c>
      <c r="CS81" s="228">
        <v>510</v>
      </c>
      <c r="CT81" s="228">
        <v>514</v>
      </c>
      <c r="CU81" s="228">
        <v>-4</v>
      </c>
      <c r="CV81" s="229">
        <v>-7.7999999999999996E-3</v>
      </c>
      <c r="CW81" s="230">
        <v>3804</v>
      </c>
      <c r="CX81" s="230">
        <v>3890</v>
      </c>
      <c r="CY81" s="228">
        <v>-86</v>
      </c>
      <c r="CZ81" s="229">
        <v>-2.1999999999999999E-2</v>
      </c>
      <c r="DA81" s="228">
        <v>31.82</v>
      </c>
      <c r="DB81" s="228">
        <v>32.9</v>
      </c>
      <c r="DC81" s="228">
        <v>-1.08</v>
      </c>
      <c r="DD81" s="228">
        <v>-1.08</v>
      </c>
      <c r="DE81" s="228">
        <v>40.729999999999997</v>
      </c>
      <c r="DF81" s="228">
        <v>40.83</v>
      </c>
      <c r="DG81" s="228">
        <v>-8.91</v>
      </c>
      <c r="DH81" s="228">
        <v>-0.1</v>
      </c>
      <c r="DI81" s="228">
        <v>31.7</v>
      </c>
      <c r="DJ81" s="228">
        <v>33.21</v>
      </c>
      <c r="DK81" s="228">
        <v>-1.51</v>
      </c>
      <c r="DL81" s="228">
        <v>-1.51</v>
      </c>
      <c r="DM81" s="228">
        <v>32.06</v>
      </c>
      <c r="DN81" s="228">
        <v>32.07</v>
      </c>
      <c r="DO81" s="228">
        <v>-0.01</v>
      </c>
      <c r="DP81" s="228">
        <v>-0.01</v>
      </c>
      <c r="DQ81" s="228">
        <v>0.55000000000000004</v>
      </c>
      <c r="DR81" s="228">
        <v>0.53</v>
      </c>
      <c r="DS81" s="228">
        <v>0.02</v>
      </c>
      <c r="DT81" s="229">
        <v>3.7699999999999997E-2</v>
      </c>
      <c r="DU81" s="228">
        <v>450</v>
      </c>
      <c r="DV81" s="228">
        <v>440</v>
      </c>
      <c r="DW81" s="228">
        <v>0.53</v>
      </c>
      <c r="DX81" s="228">
        <v>0.38</v>
      </c>
      <c r="DY81" s="228">
        <v>0.15</v>
      </c>
      <c r="DZ81" s="229">
        <v>0.3947</v>
      </c>
      <c r="EA81" s="229">
        <v>3.4700000000000002E-2</v>
      </c>
      <c r="EB81" s="230">
        <v>1705050</v>
      </c>
      <c r="EC81" s="229">
        <v>5.1000000000000004E-3</v>
      </c>
      <c r="ED81" s="229">
        <v>3.4700000000000002E-2</v>
      </c>
      <c r="EE81" s="228">
        <v>1.81</v>
      </c>
      <c r="EF81" s="229">
        <v>4.0000000000000001E-3</v>
      </c>
      <c r="EG81" s="230">
        <v>3050691</v>
      </c>
      <c r="EH81" s="230">
        <v>5245338</v>
      </c>
      <c r="EI81" s="229">
        <v>-0.41839999999999999</v>
      </c>
      <c r="EJ81" s="229">
        <v>0.54430000000000001</v>
      </c>
      <c r="EK81" s="231">
        <v>1491.23</v>
      </c>
      <c r="EL81" s="228">
        <v>744.96</v>
      </c>
      <c r="EM81" s="228">
        <v>506.71</v>
      </c>
      <c r="EN81" s="228">
        <v>39.94</v>
      </c>
      <c r="EO81" s="231">
        <v>2742.9</v>
      </c>
      <c r="EP81" s="231">
        <v>2810.9</v>
      </c>
      <c r="EQ81" s="228">
        <v>-68</v>
      </c>
      <c r="ER81" s="229">
        <v>-2.4199999999999999E-2</v>
      </c>
      <c r="ES81" s="228">
        <v>954.92</v>
      </c>
      <c r="ET81" s="228">
        <v>483.43</v>
      </c>
      <c r="EU81" s="231">
        <v>2370.7800000000002</v>
      </c>
      <c r="EV81" s="231">
        <v>143933168</v>
      </c>
      <c r="EW81" s="231">
        <v>3809.13</v>
      </c>
      <c r="EX81" s="231">
        <v>3888.21</v>
      </c>
      <c r="EY81" s="228">
        <v>-79.08</v>
      </c>
      <c r="EZ81" s="229">
        <v>-2.0299999999999999E-2</v>
      </c>
      <c r="FA81" s="229">
        <v>0.58409999999999995</v>
      </c>
      <c r="FB81" s="227" t="s">
        <v>556</v>
      </c>
      <c r="FC81">
        <f t="shared" si="1"/>
        <v>82</v>
      </c>
    </row>
    <row r="82" spans="1:159" ht="17.25" thickBot="1" x14ac:dyDescent="0.3">
      <c r="A82" s="226">
        <v>45946</v>
      </c>
      <c r="B82" s="227" t="s">
        <v>168</v>
      </c>
      <c r="C82" s="227" t="s">
        <v>230</v>
      </c>
      <c r="D82" s="228">
        <v>300</v>
      </c>
      <c r="E82" s="228">
        <v>12</v>
      </c>
      <c r="F82" s="231">
        <v>2562.3000000000002</v>
      </c>
      <c r="G82" s="231">
        <v>2519.5</v>
      </c>
      <c r="H82" s="228">
        <v>42.8</v>
      </c>
      <c r="I82" s="229">
        <v>1.7000000000000001E-2</v>
      </c>
      <c r="J82" s="231">
        <v>2561.5</v>
      </c>
      <c r="K82" s="231">
        <v>2519</v>
      </c>
      <c r="L82" s="228">
        <v>42.5</v>
      </c>
      <c r="M82" s="229">
        <v>1.6899999999999998E-2</v>
      </c>
      <c r="N82" s="231">
        <v>2562.3000000000002</v>
      </c>
      <c r="O82" s="231">
        <v>2519.5</v>
      </c>
      <c r="P82" s="228">
        <v>42.8</v>
      </c>
      <c r="Q82" s="229">
        <v>1.7000000000000001E-2</v>
      </c>
      <c r="R82" s="231">
        <v>2556.5</v>
      </c>
      <c r="S82" s="231">
        <v>2514.4</v>
      </c>
      <c r="T82" s="228">
        <v>42.1</v>
      </c>
      <c r="U82" s="229">
        <v>1.67E-2</v>
      </c>
      <c r="V82" s="231">
        <v>2563.5</v>
      </c>
      <c r="W82" s="231">
        <v>2524.1999999999998</v>
      </c>
      <c r="X82" s="228">
        <v>39.299999999999997</v>
      </c>
      <c r="Y82" s="229">
        <v>1.5599999999999999E-2</v>
      </c>
      <c r="Z82" s="228">
        <v>0.8</v>
      </c>
      <c r="AA82" s="228">
        <v>0.5</v>
      </c>
      <c r="AB82" s="228">
        <v>0.3</v>
      </c>
      <c r="AC82" s="229">
        <v>2.9999999999999997E-4</v>
      </c>
      <c r="AD82" s="228">
        <v>0.8</v>
      </c>
      <c r="AE82" s="228">
        <v>0.5</v>
      </c>
      <c r="AF82" s="228">
        <v>0.3</v>
      </c>
      <c r="AG82" s="229">
        <v>2.9999999999999997E-4</v>
      </c>
      <c r="AH82" s="228">
        <v>-5</v>
      </c>
      <c r="AI82" s="228">
        <v>-4.5999999999999996</v>
      </c>
      <c r="AJ82" s="228">
        <v>-0.4</v>
      </c>
      <c r="AK82" s="229">
        <v>-2E-3</v>
      </c>
      <c r="AL82" s="228">
        <v>2</v>
      </c>
      <c r="AM82" s="228">
        <v>5.2</v>
      </c>
      <c r="AN82" s="228">
        <v>-3.2</v>
      </c>
      <c r="AO82" s="229">
        <v>8.0000000000000004E-4</v>
      </c>
      <c r="AP82" s="231">
        <v>2548.08</v>
      </c>
      <c r="AQ82" s="231">
        <v>2545.13</v>
      </c>
      <c r="AR82" s="228">
        <v>0</v>
      </c>
      <c r="AS82" s="228">
        <v>674</v>
      </c>
      <c r="AT82" s="228">
        <v>338</v>
      </c>
      <c r="AU82" s="228">
        <v>336</v>
      </c>
      <c r="AV82" s="229">
        <v>0.99270000000000003</v>
      </c>
      <c r="AW82" s="228">
        <v>533</v>
      </c>
      <c r="AX82" s="228">
        <v>284</v>
      </c>
      <c r="AY82" s="228">
        <v>249</v>
      </c>
      <c r="AZ82" s="229">
        <v>0.87860000000000005</v>
      </c>
      <c r="BA82" s="228">
        <v>135</v>
      </c>
      <c r="BB82" s="228">
        <v>51</v>
      </c>
      <c r="BC82" s="228">
        <v>84</v>
      </c>
      <c r="BD82" s="229">
        <v>1.6263000000000001</v>
      </c>
      <c r="BE82" s="228">
        <v>5</v>
      </c>
      <c r="BF82" s="228">
        <v>3</v>
      </c>
      <c r="BG82" s="228">
        <v>3</v>
      </c>
      <c r="BH82" s="229">
        <v>0.91890000000000005</v>
      </c>
      <c r="BI82" s="230">
        <v>2246</v>
      </c>
      <c r="BJ82" s="230">
        <v>1102</v>
      </c>
      <c r="BK82" s="230">
        <v>1144</v>
      </c>
      <c r="BL82" s="229">
        <v>1.0382</v>
      </c>
      <c r="BM82" s="230">
        <v>1171</v>
      </c>
      <c r="BN82" s="228">
        <v>588</v>
      </c>
      <c r="BO82" s="228">
        <v>583</v>
      </c>
      <c r="BP82" s="229">
        <v>0.99180000000000001</v>
      </c>
      <c r="BQ82" s="230">
        <v>4091</v>
      </c>
      <c r="BR82" s="230">
        <v>2028</v>
      </c>
      <c r="BS82" s="230">
        <v>2063</v>
      </c>
      <c r="BT82" s="229">
        <v>1.0170999999999999</v>
      </c>
      <c r="BU82" s="230">
        <v>1562694</v>
      </c>
      <c r="BV82" s="230">
        <v>944524</v>
      </c>
      <c r="BW82" s="230">
        <v>618170</v>
      </c>
      <c r="BX82" s="229">
        <v>0.65449999999999997</v>
      </c>
      <c r="BY82" s="230">
        <v>3646</v>
      </c>
      <c r="BZ82" s="230">
        <v>3644</v>
      </c>
      <c r="CA82" s="228">
        <v>2</v>
      </c>
      <c r="CB82" s="229">
        <v>5.9999999999999995E-4</v>
      </c>
      <c r="CC82" s="230">
        <v>3406</v>
      </c>
      <c r="CD82" s="230">
        <v>3431</v>
      </c>
      <c r="CE82" s="228">
        <v>-25</v>
      </c>
      <c r="CF82" s="229">
        <v>-7.1999999999999998E-3</v>
      </c>
      <c r="CG82" s="228">
        <v>221</v>
      </c>
      <c r="CH82" s="228">
        <v>194</v>
      </c>
      <c r="CI82" s="228">
        <v>27</v>
      </c>
      <c r="CJ82" s="229">
        <v>0.13650000000000001</v>
      </c>
      <c r="CK82" s="228">
        <v>19</v>
      </c>
      <c r="CL82" s="228">
        <v>19</v>
      </c>
      <c r="CM82" s="228">
        <v>0</v>
      </c>
      <c r="CN82" s="229">
        <v>1.6500000000000001E-2</v>
      </c>
      <c r="CO82" s="230">
        <v>1324</v>
      </c>
      <c r="CP82" s="230">
        <v>1380</v>
      </c>
      <c r="CQ82" s="228">
        <v>-56</v>
      </c>
      <c r="CR82" s="229">
        <v>-4.0500000000000001E-2</v>
      </c>
      <c r="CS82" s="228">
        <v>863</v>
      </c>
      <c r="CT82" s="228">
        <v>821</v>
      </c>
      <c r="CU82" s="228">
        <v>42</v>
      </c>
      <c r="CV82" s="229">
        <v>5.0599999999999999E-2</v>
      </c>
      <c r="CW82" s="230">
        <v>5833</v>
      </c>
      <c r="CX82" s="230">
        <v>5845</v>
      </c>
      <c r="CY82" s="228">
        <v>-12</v>
      </c>
      <c r="CZ82" s="229">
        <v>-2.0999999999999999E-3</v>
      </c>
      <c r="DA82" s="228">
        <v>20.97</v>
      </c>
      <c r="DB82" s="228">
        <v>20.9</v>
      </c>
      <c r="DC82" s="228">
        <v>7.0000000000000007E-2</v>
      </c>
      <c r="DD82" s="228">
        <v>7.0000000000000007E-2</v>
      </c>
      <c r="DE82" s="228">
        <v>22.66</v>
      </c>
      <c r="DF82" s="228">
        <v>22.61</v>
      </c>
      <c r="DG82" s="228">
        <v>-1.69</v>
      </c>
      <c r="DH82" s="228">
        <v>0.05</v>
      </c>
      <c r="DI82" s="228">
        <v>20.63</v>
      </c>
      <c r="DJ82" s="228">
        <v>20.74</v>
      </c>
      <c r="DK82" s="228">
        <v>-0.11</v>
      </c>
      <c r="DL82" s="228">
        <v>-0.11</v>
      </c>
      <c r="DM82" s="228">
        <v>21.62</v>
      </c>
      <c r="DN82" s="228">
        <v>21.2</v>
      </c>
      <c r="DO82" s="228">
        <v>0.42</v>
      </c>
      <c r="DP82" s="228">
        <v>0.42</v>
      </c>
      <c r="DQ82" s="228">
        <v>0.65</v>
      </c>
      <c r="DR82" s="228">
        <v>0.59</v>
      </c>
      <c r="DS82" s="228">
        <v>0.06</v>
      </c>
      <c r="DT82" s="229">
        <v>0.1017</v>
      </c>
      <c r="DU82" s="231">
        <v>2600</v>
      </c>
      <c r="DV82" s="231">
        <v>2500</v>
      </c>
      <c r="DW82" s="228">
        <v>0.52</v>
      </c>
      <c r="DX82" s="228">
        <v>0.53</v>
      </c>
      <c r="DY82" s="228">
        <v>-0.01</v>
      </c>
      <c r="DZ82" s="229">
        <v>-1.89E-2</v>
      </c>
      <c r="EA82" s="229">
        <v>6.5799999999999997E-2</v>
      </c>
      <c r="EB82" s="230">
        <v>831300</v>
      </c>
      <c r="EC82" s="229">
        <v>-2.3E-3</v>
      </c>
      <c r="ED82" s="229">
        <v>6.5799999999999997E-2</v>
      </c>
      <c r="EE82" s="228">
        <v>-2.95</v>
      </c>
      <c r="EF82" s="229">
        <v>-1.1999999999999999E-3</v>
      </c>
      <c r="EG82" s="230">
        <v>731653</v>
      </c>
      <c r="EH82" s="230">
        <v>582417</v>
      </c>
      <c r="EI82" s="229">
        <v>0.25619999999999998</v>
      </c>
      <c r="EJ82" s="229">
        <v>0.46820000000000001</v>
      </c>
      <c r="EK82" s="231">
        <v>2287.41</v>
      </c>
      <c r="EL82" s="231">
        <v>1154.31</v>
      </c>
      <c r="EM82" s="228">
        <v>669.63</v>
      </c>
      <c r="EN82" s="228">
        <v>51.02</v>
      </c>
      <c r="EO82" s="231">
        <v>4111.3599999999997</v>
      </c>
      <c r="EP82" s="231">
        <v>2027.07</v>
      </c>
      <c r="EQ82" s="231">
        <v>2084.29</v>
      </c>
      <c r="ER82" s="229">
        <v>1.0282</v>
      </c>
      <c r="ES82" s="231">
        <v>1354.23</v>
      </c>
      <c r="ET82" s="228">
        <v>834.56</v>
      </c>
      <c r="EU82" s="231">
        <v>3645.56</v>
      </c>
      <c r="EV82" s="231">
        <v>89517840</v>
      </c>
      <c r="EW82" s="231">
        <v>5834.34</v>
      </c>
      <c r="EX82" s="231">
        <v>5785.13</v>
      </c>
      <c r="EY82" s="228">
        <v>49.21</v>
      </c>
      <c r="EZ82" s="229">
        <v>8.5000000000000006E-3</v>
      </c>
      <c r="FA82" s="229">
        <v>0.25430000000000003</v>
      </c>
      <c r="FB82" s="227" t="s">
        <v>555</v>
      </c>
      <c r="FC82">
        <f t="shared" si="1"/>
        <v>240</v>
      </c>
    </row>
    <row r="83" spans="1:159" ht="17.25" thickBot="1" x14ac:dyDescent="0.3">
      <c r="A83" s="226">
        <v>45946</v>
      </c>
      <c r="B83" s="227" t="s">
        <v>227</v>
      </c>
      <c r="C83" s="227" t="s">
        <v>669</v>
      </c>
      <c r="D83" s="228">
        <v>1225</v>
      </c>
      <c r="E83" s="228">
        <v>12</v>
      </c>
      <c r="F83" s="228">
        <v>507.95</v>
      </c>
      <c r="G83" s="228">
        <v>514.45000000000005</v>
      </c>
      <c r="H83" s="228">
        <v>-6.5</v>
      </c>
      <c r="I83" s="229">
        <v>-1.26E-2</v>
      </c>
      <c r="J83" s="228">
        <v>506.7</v>
      </c>
      <c r="K83" s="228">
        <v>513.20000000000005</v>
      </c>
      <c r="L83" s="228">
        <v>-6.5</v>
      </c>
      <c r="M83" s="229">
        <v>-1.2699999999999999E-2</v>
      </c>
      <c r="N83" s="228">
        <v>507.95</v>
      </c>
      <c r="O83" s="228">
        <v>514.45000000000005</v>
      </c>
      <c r="P83" s="228">
        <v>-6.5</v>
      </c>
      <c r="Q83" s="229">
        <v>-1.26E-2</v>
      </c>
      <c r="R83" s="228">
        <v>510.8</v>
      </c>
      <c r="S83" s="228">
        <v>517.04999999999995</v>
      </c>
      <c r="T83" s="228">
        <v>-6.25</v>
      </c>
      <c r="U83" s="229">
        <v>-1.21E-2</v>
      </c>
      <c r="V83" s="228">
        <v>514.15</v>
      </c>
      <c r="W83" s="228">
        <v>519.6</v>
      </c>
      <c r="X83" s="228">
        <v>-5.45</v>
      </c>
      <c r="Y83" s="229">
        <v>-1.0500000000000001E-2</v>
      </c>
      <c r="Z83" s="228">
        <v>1.25</v>
      </c>
      <c r="AA83" s="228">
        <v>1.25</v>
      </c>
      <c r="AB83" s="228">
        <v>0</v>
      </c>
      <c r="AC83" s="229">
        <v>2.5000000000000001E-3</v>
      </c>
      <c r="AD83" s="228">
        <v>1.25</v>
      </c>
      <c r="AE83" s="228">
        <v>1.25</v>
      </c>
      <c r="AF83" s="228">
        <v>0</v>
      </c>
      <c r="AG83" s="229">
        <v>2.5000000000000001E-3</v>
      </c>
      <c r="AH83" s="228">
        <v>4.0999999999999996</v>
      </c>
      <c r="AI83" s="228">
        <v>3.85</v>
      </c>
      <c r="AJ83" s="228">
        <v>0.25</v>
      </c>
      <c r="AK83" s="229">
        <v>8.0999999999999996E-3</v>
      </c>
      <c r="AL83" s="228">
        <v>7.45</v>
      </c>
      <c r="AM83" s="228">
        <v>6.4</v>
      </c>
      <c r="AN83" s="228">
        <v>1.05</v>
      </c>
      <c r="AO83" s="229">
        <v>1.47E-2</v>
      </c>
      <c r="AP83" s="228">
        <v>511.26</v>
      </c>
      <c r="AQ83" s="228">
        <v>513.92999999999995</v>
      </c>
      <c r="AR83" s="228">
        <v>0</v>
      </c>
      <c r="AS83" s="228">
        <v>333</v>
      </c>
      <c r="AT83" s="228">
        <v>515</v>
      </c>
      <c r="AU83" s="228">
        <v>-182</v>
      </c>
      <c r="AV83" s="229">
        <v>-0.3538</v>
      </c>
      <c r="AW83" s="228">
        <v>269</v>
      </c>
      <c r="AX83" s="228">
        <v>431</v>
      </c>
      <c r="AY83" s="228">
        <v>-162</v>
      </c>
      <c r="AZ83" s="229">
        <v>-0.3755</v>
      </c>
      <c r="BA83" s="228">
        <v>61</v>
      </c>
      <c r="BB83" s="228">
        <v>78</v>
      </c>
      <c r="BC83" s="228">
        <v>-17</v>
      </c>
      <c r="BD83" s="229">
        <v>-0.21970000000000001</v>
      </c>
      <c r="BE83" s="228">
        <v>3</v>
      </c>
      <c r="BF83" s="228">
        <v>6</v>
      </c>
      <c r="BG83" s="228">
        <v>-3</v>
      </c>
      <c r="BH83" s="229">
        <v>-0.53610000000000002</v>
      </c>
      <c r="BI83" s="230">
        <v>1187</v>
      </c>
      <c r="BJ83" s="230">
        <v>2041</v>
      </c>
      <c r="BK83" s="228">
        <v>-854</v>
      </c>
      <c r="BL83" s="229">
        <v>-0.41830000000000001</v>
      </c>
      <c r="BM83" s="228">
        <v>408</v>
      </c>
      <c r="BN83" s="228">
        <v>613</v>
      </c>
      <c r="BO83" s="228">
        <v>-205</v>
      </c>
      <c r="BP83" s="229">
        <v>-0.33389999999999997</v>
      </c>
      <c r="BQ83" s="230">
        <v>1928</v>
      </c>
      <c r="BR83" s="230">
        <v>3169</v>
      </c>
      <c r="BS83" s="230">
        <v>-1241</v>
      </c>
      <c r="BT83" s="229">
        <v>-0.39150000000000001</v>
      </c>
      <c r="BU83" s="230">
        <v>3442559</v>
      </c>
      <c r="BV83" s="230">
        <v>7115130</v>
      </c>
      <c r="BW83" s="230">
        <v>-3672571</v>
      </c>
      <c r="BX83" s="229">
        <v>-0.51619999999999999</v>
      </c>
      <c r="BY83" s="230">
        <v>1789</v>
      </c>
      <c r="BZ83" s="230">
        <v>1774</v>
      </c>
      <c r="CA83" s="228">
        <v>16</v>
      </c>
      <c r="CB83" s="229">
        <v>8.8000000000000005E-3</v>
      </c>
      <c r="CC83" s="230">
        <v>1591</v>
      </c>
      <c r="CD83" s="230">
        <v>1603</v>
      </c>
      <c r="CE83" s="228">
        <v>-12</v>
      </c>
      <c r="CF83" s="229">
        <v>-7.4999999999999997E-3</v>
      </c>
      <c r="CG83" s="228">
        <v>173</v>
      </c>
      <c r="CH83" s="228">
        <v>147</v>
      </c>
      <c r="CI83" s="228">
        <v>26</v>
      </c>
      <c r="CJ83" s="229">
        <v>0.1772</v>
      </c>
      <c r="CK83" s="228">
        <v>26</v>
      </c>
      <c r="CL83" s="228">
        <v>24</v>
      </c>
      <c r="CM83" s="228">
        <v>2</v>
      </c>
      <c r="CN83" s="229">
        <v>7.0099999999999996E-2</v>
      </c>
      <c r="CO83" s="230">
        <v>1226</v>
      </c>
      <c r="CP83" s="230">
        <v>1193</v>
      </c>
      <c r="CQ83" s="228">
        <v>33</v>
      </c>
      <c r="CR83" s="229">
        <v>2.7900000000000001E-2</v>
      </c>
      <c r="CS83" s="228">
        <v>677</v>
      </c>
      <c r="CT83" s="228">
        <v>670</v>
      </c>
      <c r="CU83" s="228">
        <v>7</v>
      </c>
      <c r="CV83" s="229">
        <v>1.0500000000000001E-2</v>
      </c>
      <c r="CW83" s="230">
        <v>3692</v>
      </c>
      <c r="CX83" s="230">
        <v>3636</v>
      </c>
      <c r="CY83" s="228">
        <v>56</v>
      </c>
      <c r="CZ83" s="229">
        <v>1.54E-2</v>
      </c>
      <c r="DA83" s="228">
        <v>36.85</v>
      </c>
      <c r="DB83" s="228">
        <v>36.53</v>
      </c>
      <c r="DC83" s="228">
        <v>0.32</v>
      </c>
      <c r="DD83" s="228">
        <v>0.32</v>
      </c>
      <c r="DE83" s="228">
        <v>44.56</v>
      </c>
      <c r="DF83" s="228">
        <v>44.64</v>
      </c>
      <c r="DG83" s="228">
        <v>-7.71</v>
      </c>
      <c r="DH83" s="228">
        <v>-0.08</v>
      </c>
      <c r="DI83" s="228">
        <v>37.229999999999997</v>
      </c>
      <c r="DJ83" s="228">
        <v>36.520000000000003</v>
      </c>
      <c r="DK83" s="228">
        <v>0.71</v>
      </c>
      <c r="DL83" s="228">
        <v>0.71</v>
      </c>
      <c r="DM83" s="228">
        <v>35.76</v>
      </c>
      <c r="DN83" s="228">
        <v>36.57</v>
      </c>
      <c r="DO83" s="228">
        <v>-0.81</v>
      </c>
      <c r="DP83" s="228">
        <v>-0.81</v>
      </c>
      <c r="DQ83" s="228">
        <v>0.55000000000000004</v>
      </c>
      <c r="DR83" s="228">
        <v>0.56000000000000005</v>
      </c>
      <c r="DS83" s="228">
        <v>-0.01</v>
      </c>
      <c r="DT83" s="229">
        <v>-1.7899999999999999E-2</v>
      </c>
      <c r="DU83" s="228">
        <v>520</v>
      </c>
      <c r="DV83" s="228">
        <v>500</v>
      </c>
      <c r="DW83" s="228">
        <v>0.34</v>
      </c>
      <c r="DX83" s="228">
        <v>0.3</v>
      </c>
      <c r="DY83" s="228">
        <v>0.04</v>
      </c>
      <c r="DZ83" s="229">
        <v>0.1333</v>
      </c>
      <c r="EA83" s="229">
        <v>0.1111</v>
      </c>
      <c r="EB83" s="230">
        <v>3367525</v>
      </c>
      <c r="EC83" s="229">
        <v>5.5999999999999999E-3</v>
      </c>
      <c r="ED83" s="229">
        <v>0.1111</v>
      </c>
      <c r="EE83" s="228">
        <v>2.67</v>
      </c>
      <c r="EF83" s="229">
        <v>5.1999999999999998E-3</v>
      </c>
      <c r="EG83" s="230">
        <v>1402166</v>
      </c>
      <c r="EH83" s="230">
        <v>2611457</v>
      </c>
      <c r="EI83" s="229">
        <v>-0.46310000000000001</v>
      </c>
      <c r="EJ83" s="229">
        <v>0.4073</v>
      </c>
      <c r="EK83" s="231">
        <v>1251.31</v>
      </c>
      <c r="EL83" s="228">
        <v>406.46</v>
      </c>
      <c r="EM83" s="228">
        <v>335.36</v>
      </c>
      <c r="EN83" s="228">
        <v>138.4</v>
      </c>
      <c r="EO83" s="231">
        <v>1993.13</v>
      </c>
      <c r="EP83" s="231">
        <v>3284.64</v>
      </c>
      <c r="EQ83" s="231">
        <v>-1291.52</v>
      </c>
      <c r="ER83" s="229">
        <v>-0.39319999999999999</v>
      </c>
      <c r="ES83" s="231">
        <v>1265.6500000000001</v>
      </c>
      <c r="ET83" s="228">
        <v>635.64</v>
      </c>
      <c r="EU83" s="231">
        <v>1790.59</v>
      </c>
      <c r="EV83" s="231">
        <v>167680340</v>
      </c>
      <c r="EW83" s="231">
        <v>3691.88</v>
      </c>
      <c r="EX83" s="231">
        <v>3657.17</v>
      </c>
      <c r="EY83" s="228">
        <v>34.71</v>
      </c>
      <c r="EZ83" s="229">
        <v>9.4999999999999998E-3</v>
      </c>
      <c r="FA83" s="229">
        <v>0.43340000000000001</v>
      </c>
      <c r="FB83" s="227" t="s">
        <v>567</v>
      </c>
      <c r="FC83">
        <f t="shared" si="1"/>
        <v>198</v>
      </c>
    </row>
    <row r="84" spans="1:159" ht="17.25" thickBot="1" x14ac:dyDescent="0.3">
      <c r="A84" s="226">
        <v>45946</v>
      </c>
      <c r="B84" s="227" t="s">
        <v>206</v>
      </c>
      <c r="C84" s="227" t="s">
        <v>608</v>
      </c>
      <c r="D84" s="228">
        <v>2775</v>
      </c>
      <c r="E84" s="228">
        <v>12</v>
      </c>
      <c r="F84" s="228">
        <v>228.89</v>
      </c>
      <c r="G84" s="228">
        <v>229.88</v>
      </c>
      <c r="H84" s="228">
        <v>-0.99</v>
      </c>
      <c r="I84" s="229">
        <v>-4.3E-3</v>
      </c>
      <c r="J84" s="228">
        <v>227.99</v>
      </c>
      <c r="K84" s="228">
        <v>228.76</v>
      </c>
      <c r="L84" s="228">
        <v>-0.77</v>
      </c>
      <c r="M84" s="229">
        <v>-3.3999999999999998E-3</v>
      </c>
      <c r="N84" s="228">
        <v>228.89</v>
      </c>
      <c r="O84" s="228">
        <v>229.88</v>
      </c>
      <c r="P84" s="228">
        <v>-0.99</v>
      </c>
      <c r="Q84" s="229">
        <v>-4.3E-3</v>
      </c>
      <c r="R84" s="228">
        <v>230.15</v>
      </c>
      <c r="S84" s="228">
        <v>230.83</v>
      </c>
      <c r="T84" s="228">
        <v>-0.68</v>
      </c>
      <c r="U84" s="229">
        <v>-2.8999999999999998E-3</v>
      </c>
      <c r="V84" s="228">
        <v>231.58</v>
      </c>
      <c r="W84" s="228">
        <v>233.41</v>
      </c>
      <c r="X84" s="228">
        <v>-1.83</v>
      </c>
      <c r="Y84" s="229">
        <v>-7.7999999999999996E-3</v>
      </c>
      <c r="Z84" s="228">
        <v>0.9</v>
      </c>
      <c r="AA84" s="228">
        <v>1.1200000000000001</v>
      </c>
      <c r="AB84" s="228">
        <v>-0.22</v>
      </c>
      <c r="AC84" s="229">
        <v>3.8999999999999998E-3</v>
      </c>
      <c r="AD84" s="228">
        <v>0.9</v>
      </c>
      <c r="AE84" s="228">
        <v>1.1200000000000001</v>
      </c>
      <c r="AF84" s="228">
        <v>-0.22</v>
      </c>
      <c r="AG84" s="229">
        <v>3.8999999999999998E-3</v>
      </c>
      <c r="AH84" s="228">
        <v>2.16</v>
      </c>
      <c r="AI84" s="228">
        <v>2.0699999999999998</v>
      </c>
      <c r="AJ84" s="228">
        <v>0.09</v>
      </c>
      <c r="AK84" s="229">
        <v>9.4999999999999998E-3</v>
      </c>
      <c r="AL84" s="228">
        <v>3.59</v>
      </c>
      <c r="AM84" s="228">
        <v>4.6500000000000004</v>
      </c>
      <c r="AN84" s="228">
        <v>-1.06</v>
      </c>
      <c r="AO84" s="229">
        <v>1.5699999999999999E-2</v>
      </c>
      <c r="AP84" s="228">
        <v>231.13</v>
      </c>
      <c r="AQ84" s="228">
        <v>232.31</v>
      </c>
      <c r="AR84" s="228">
        <v>0</v>
      </c>
      <c r="AS84" s="228">
        <v>114</v>
      </c>
      <c r="AT84" s="228">
        <v>123</v>
      </c>
      <c r="AU84" s="228">
        <v>-9</v>
      </c>
      <c r="AV84" s="229">
        <v>-7.3800000000000004E-2</v>
      </c>
      <c r="AW84" s="228">
        <v>96</v>
      </c>
      <c r="AX84" s="228">
        <v>114</v>
      </c>
      <c r="AY84" s="228">
        <v>-18</v>
      </c>
      <c r="AZ84" s="229">
        <v>-0.15679999999999999</v>
      </c>
      <c r="BA84" s="228">
        <v>17</v>
      </c>
      <c r="BB84" s="228">
        <v>8</v>
      </c>
      <c r="BC84" s="228">
        <v>9</v>
      </c>
      <c r="BD84" s="229">
        <v>1.0455000000000001</v>
      </c>
      <c r="BE84" s="228">
        <v>1</v>
      </c>
      <c r="BF84" s="228">
        <v>1</v>
      </c>
      <c r="BG84" s="228">
        <v>0</v>
      </c>
      <c r="BH84" s="229">
        <v>0</v>
      </c>
      <c r="BI84" s="228">
        <v>438</v>
      </c>
      <c r="BJ84" s="228">
        <v>321</v>
      </c>
      <c r="BK84" s="228">
        <v>116</v>
      </c>
      <c r="BL84" s="229">
        <v>0.3629</v>
      </c>
      <c r="BM84" s="228">
        <v>145</v>
      </c>
      <c r="BN84" s="228">
        <v>141</v>
      </c>
      <c r="BO84" s="228">
        <v>4</v>
      </c>
      <c r="BP84" s="229">
        <v>3.0700000000000002E-2</v>
      </c>
      <c r="BQ84" s="228">
        <v>697</v>
      </c>
      <c r="BR84" s="228">
        <v>585</v>
      </c>
      <c r="BS84" s="228">
        <v>112</v>
      </c>
      <c r="BT84" s="229">
        <v>0.191</v>
      </c>
      <c r="BU84" s="230">
        <v>2564345</v>
      </c>
      <c r="BV84" s="230">
        <v>2562232</v>
      </c>
      <c r="BW84" s="230">
        <v>2113</v>
      </c>
      <c r="BX84" s="229">
        <v>8.0000000000000004E-4</v>
      </c>
      <c r="BY84" s="228">
        <v>645</v>
      </c>
      <c r="BZ84" s="228">
        <v>635</v>
      </c>
      <c r="CA84" s="228">
        <v>10</v>
      </c>
      <c r="CB84" s="229">
        <v>1.61E-2</v>
      </c>
      <c r="CC84" s="228">
        <v>608</v>
      </c>
      <c r="CD84" s="228">
        <v>605</v>
      </c>
      <c r="CE84" s="228">
        <v>4</v>
      </c>
      <c r="CF84" s="229">
        <v>6.3E-3</v>
      </c>
      <c r="CG84" s="228">
        <v>34</v>
      </c>
      <c r="CH84" s="228">
        <v>28</v>
      </c>
      <c r="CI84" s="228">
        <v>6</v>
      </c>
      <c r="CJ84" s="229">
        <v>0.21609999999999999</v>
      </c>
      <c r="CK84" s="228">
        <v>3</v>
      </c>
      <c r="CL84" s="228">
        <v>3</v>
      </c>
      <c r="CM84" s="228">
        <v>0</v>
      </c>
      <c r="CN84" s="229">
        <v>0.16669999999999999</v>
      </c>
      <c r="CO84" s="228">
        <v>407</v>
      </c>
      <c r="CP84" s="228">
        <v>369</v>
      </c>
      <c r="CQ84" s="228">
        <v>38</v>
      </c>
      <c r="CR84" s="229">
        <v>0.10249999999999999</v>
      </c>
      <c r="CS84" s="228">
        <v>200</v>
      </c>
      <c r="CT84" s="228">
        <v>191</v>
      </c>
      <c r="CU84" s="228">
        <v>9</v>
      </c>
      <c r="CV84" s="229">
        <v>4.9299999999999997E-2</v>
      </c>
      <c r="CW84" s="230">
        <v>1253</v>
      </c>
      <c r="CX84" s="230">
        <v>1195</v>
      </c>
      <c r="CY84" s="228">
        <v>57</v>
      </c>
      <c r="CZ84" s="229">
        <v>4.8099999999999997E-2</v>
      </c>
      <c r="DA84" s="228">
        <v>31.71</v>
      </c>
      <c r="DB84" s="228">
        <v>31.15</v>
      </c>
      <c r="DC84" s="228">
        <v>0.56000000000000005</v>
      </c>
      <c r="DD84" s="228">
        <v>0.56000000000000005</v>
      </c>
      <c r="DE84" s="228">
        <v>53.49</v>
      </c>
      <c r="DF84" s="228">
        <v>53.62</v>
      </c>
      <c r="DG84" s="228">
        <v>-21.78</v>
      </c>
      <c r="DH84" s="228">
        <v>-0.13</v>
      </c>
      <c r="DI84" s="228">
        <v>32.24</v>
      </c>
      <c r="DJ84" s="228">
        <v>31.32</v>
      </c>
      <c r="DK84" s="228">
        <v>0.92</v>
      </c>
      <c r="DL84" s="228">
        <v>0.92</v>
      </c>
      <c r="DM84" s="228">
        <v>30.1</v>
      </c>
      <c r="DN84" s="228">
        <v>30.76</v>
      </c>
      <c r="DO84" s="228">
        <v>-0.66</v>
      </c>
      <c r="DP84" s="228">
        <v>-0.66</v>
      </c>
      <c r="DQ84" s="228">
        <v>0.49</v>
      </c>
      <c r="DR84" s="228">
        <v>0.52</v>
      </c>
      <c r="DS84" s="228">
        <v>-0.03</v>
      </c>
      <c r="DT84" s="229">
        <v>-5.7700000000000001E-2</v>
      </c>
      <c r="DU84" s="228">
        <v>240</v>
      </c>
      <c r="DV84" s="228">
        <v>230</v>
      </c>
      <c r="DW84" s="228">
        <v>0.33</v>
      </c>
      <c r="DX84" s="228">
        <v>0.44</v>
      </c>
      <c r="DY84" s="228">
        <v>-0.11</v>
      </c>
      <c r="DZ84" s="229">
        <v>-0.25</v>
      </c>
      <c r="EA84" s="229">
        <v>5.6899999999999999E-2</v>
      </c>
      <c r="EB84" s="230">
        <v>1323675</v>
      </c>
      <c r="EC84" s="229">
        <v>5.4999999999999997E-3</v>
      </c>
      <c r="ED84" s="229">
        <v>5.6899999999999999E-2</v>
      </c>
      <c r="EE84" s="228">
        <v>1.18</v>
      </c>
      <c r="EF84" s="229">
        <v>5.1000000000000004E-3</v>
      </c>
      <c r="EG84" s="230">
        <v>759452</v>
      </c>
      <c r="EH84" s="230">
        <v>1175149</v>
      </c>
      <c r="EI84" s="229">
        <v>-0.35370000000000001</v>
      </c>
      <c r="EJ84" s="229">
        <v>0.29620000000000002</v>
      </c>
      <c r="EK84" s="228">
        <v>460.18</v>
      </c>
      <c r="EL84" s="228">
        <v>146.08000000000001</v>
      </c>
      <c r="EM84" s="228">
        <v>115.23</v>
      </c>
      <c r="EN84" s="228">
        <v>19.47</v>
      </c>
      <c r="EO84" s="228">
        <v>721.49</v>
      </c>
      <c r="EP84" s="228">
        <v>598.44000000000005</v>
      </c>
      <c r="EQ84" s="228">
        <v>123.06</v>
      </c>
      <c r="ER84" s="229">
        <v>0.2056</v>
      </c>
      <c r="ES84" s="228">
        <v>428.81</v>
      </c>
      <c r="ET84" s="228">
        <v>196.78</v>
      </c>
      <c r="EU84" s="228">
        <v>645.36</v>
      </c>
      <c r="EV84" s="231">
        <v>75071250</v>
      </c>
      <c r="EW84" s="231">
        <v>1270.96</v>
      </c>
      <c r="EX84" s="231">
        <v>1214.56</v>
      </c>
      <c r="EY84" s="228">
        <v>56.4</v>
      </c>
      <c r="EZ84" s="229">
        <v>4.6399999999999997E-2</v>
      </c>
      <c r="FA84" s="229">
        <v>0.72889999999999999</v>
      </c>
      <c r="FB84" s="227" t="s">
        <v>567</v>
      </c>
      <c r="FC84">
        <f t="shared" si="1"/>
        <v>37</v>
      </c>
    </row>
    <row r="85" spans="1:159" ht="17.25" thickBot="1" x14ac:dyDescent="0.3">
      <c r="A85" s="226">
        <v>45946</v>
      </c>
      <c r="B85" s="227" t="s">
        <v>172</v>
      </c>
      <c r="C85" s="227" t="s">
        <v>232</v>
      </c>
      <c r="D85" s="228">
        <v>700</v>
      </c>
      <c r="E85" s="228">
        <v>12</v>
      </c>
      <c r="F85" s="231">
        <v>1419</v>
      </c>
      <c r="G85" s="231">
        <v>1401</v>
      </c>
      <c r="H85" s="228">
        <v>18</v>
      </c>
      <c r="I85" s="229">
        <v>1.2800000000000001E-2</v>
      </c>
      <c r="J85" s="231">
        <v>1417.3</v>
      </c>
      <c r="K85" s="231">
        <v>1398.4</v>
      </c>
      <c r="L85" s="228">
        <v>18.899999999999999</v>
      </c>
      <c r="M85" s="229">
        <v>1.35E-2</v>
      </c>
      <c r="N85" s="231">
        <v>1419</v>
      </c>
      <c r="O85" s="231">
        <v>1401</v>
      </c>
      <c r="P85" s="228">
        <v>18</v>
      </c>
      <c r="Q85" s="229">
        <v>1.2800000000000001E-2</v>
      </c>
      <c r="R85" s="231">
        <v>1426.7</v>
      </c>
      <c r="S85" s="231">
        <v>1408.7</v>
      </c>
      <c r="T85" s="228">
        <v>18</v>
      </c>
      <c r="U85" s="229">
        <v>1.2800000000000001E-2</v>
      </c>
      <c r="V85" s="231">
        <v>1436.8</v>
      </c>
      <c r="W85" s="231">
        <v>1416.2</v>
      </c>
      <c r="X85" s="228">
        <v>20.6</v>
      </c>
      <c r="Y85" s="229">
        <v>1.4500000000000001E-2</v>
      </c>
      <c r="Z85" s="228">
        <v>1.7</v>
      </c>
      <c r="AA85" s="228">
        <v>2.6</v>
      </c>
      <c r="AB85" s="228">
        <v>-0.9</v>
      </c>
      <c r="AC85" s="229">
        <v>1.1999999999999999E-3</v>
      </c>
      <c r="AD85" s="228">
        <v>1.7</v>
      </c>
      <c r="AE85" s="228">
        <v>2.6</v>
      </c>
      <c r="AF85" s="228">
        <v>-0.9</v>
      </c>
      <c r="AG85" s="229">
        <v>1.1999999999999999E-3</v>
      </c>
      <c r="AH85" s="228">
        <v>9.4</v>
      </c>
      <c r="AI85" s="228">
        <v>10.3</v>
      </c>
      <c r="AJ85" s="228">
        <v>-0.9</v>
      </c>
      <c r="AK85" s="229">
        <v>6.6E-3</v>
      </c>
      <c r="AL85" s="228">
        <v>19.5</v>
      </c>
      <c r="AM85" s="228">
        <v>17.8</v>
      </c>
      <c r="AN85" s="228">
        <v>1.7</v>
      </c>
      <c r="AO85" s="229">
        <v>1.38E-2</v>
      </c>
      <c r="AP85" s="231">
        <v>1413.2</v>
      </c>
      <c r="AQ85" s="231">
        <v>1419.84</v>
      </c>
      <c r="AR85" s="228">
        <v>0</v>
      </c>
      <c r="AS85" s="230">
        <v>3088</v>
      </c>
      <c r="AT85" s="230">
        <v>1695</v>
      </c>
      <c r="AU85" s="230">
        <v>1393</v>
      </c>
      <c r="AV85" s="229">
        <v>0.82210000000000005</v>
      </c>
      <c r="AW85" s="230">
        <v>2715</v>
      </c>
      <c r="AX85" s="230">
        <v>1506</v>
      </c>
      <c r="AY85" s="230">
        <v>1210</v>
      </c>
      <c r="AZ85" s="229">
        <v>0.8034</v>
      </c>
      <c r="BA85" s="228">
        <v>348</v>
      </c>
      <c r="BB85" s="228">
        <v>181</v>
      </c>
      <c r="BC85" s="228">
        <v>167</v>
      </c>
      <c r="BD85" s="229">
        <v>0.91790000000000005</v>
      </c>
      <c r="BE85" s="228">
        <v>25</v>
      </c>
      <c r="BF85" s="228">
        <v>8</v>
      </c>
      <c r="BG85" s="228">
        <v>17</v>
      </c>
      <c r="BH85" s="229">
        <v>2.1899000000000002</v>
      </c>
      <c r="BI85" s="230">
        <v>6374</v>
      </c>
      <c r="BJ85" s="230">
        <v>4334</v>
      </c>
      <c r="BK85" s="230">
        <v>2040</v>
      </c>
      <c r="BL85" s="229">
        <v>0.47060000000000002</v>
      </c>
      <c r="BM85" s="230">
        <v>3236</v>
      </c>
      <c r="BN85" s="230">
        <v>3041</v>
      </c>
      <c r="BO85" s="228">
        <v>195</v>
      </c>
      <c r="BP85" s="229">
        <v>6.4299999999999996E-2</v>
      </c>
      <c r="BQ85" s="230">
        <v>12698</v>
      </c>
      <c r="BR85" s="230">
        <v>9070</v>
      </c>
      <c r="BS85" s="230">
        <v>3628</v>
      </c>
      <c r="BT85" s="229">
        <v>0.40010000000000001</v>
      </c>
      <c r="BU85" s="230">
        <v>13615454</v>
      </c>
      <c r="BV85" s="230">
        <v>9769615</v>
      </c>
      <c r="BW85" s="230">
        <v>3845839</v>
      </c>
      <c r="BX85" s="229">
        <v>0.39369999999999999</v>
      </c>
      <c r="BY85" s="230">
        <v>15561</v>
      </c>
      <c r="BZ85" s="230">
        <v>15929</v>
      </c>
      <c r="CA85" s="228">
        <v>-368</v>
      </c>
      <c r="CB85" s="229">
        <v>-2.3099999999999999E-2</v>
      </c>
      <c r="CC85" s="230">
        <v>14527</v>
      </c>
      <c r="CD85" s="230">
        <v>15077</v>
      </c>
      <c r="CE85" s="228">
        <v>-550</v>
      </c>
      <c r="CF85" s="229">
        <v>-3.6499999999999998E-2</v>
      </c>
      <c r="CG85" s="228">
        <v>877</v>
      </c>
      <c r="CH85" s="228">
        <v>709</v>
      </c>
      <c r="CI85" s="228">
        <v>168</v>
      </c>
      <c r="CJ85" s="229">
        <v>0.2364</v>
      </c>
      <c r="CK85" s="228">
        <v>158</v>
      </c>
      <c r="CL85" s="228">
        <v>143</v>
      </c>
      <c r="CM85" s="228">
        <v>15</v>
      </c>
      <c r="CN85" s="229">
        <v>0.1013</v>
      </c>
      <c r="CO85" s="230">
        <v>3425</v>
      </c>
      <c r="CP85" s="230">
        <v>3436</v>
      </c>
      <c r="CQ85" s="228">
        <v>-11</v>
      </c>
      <c r="CR85" s="229">
        <v>-3.2000000000000002E-3</v>
      </c>
      <c r="CS85" s="230">
        <v>2765</v>
      </c>
      <c r="CT85" s="230">
        <v>2744</v>
      </c>
      <c r="CU85" s="228">
        <v>21</v>
      </c>
      <c r="CV85" s="229">
        <v>7.7000000000000002E-3</v>
      </c>
      <c r="CW85" s="230">
        <v>21751</v>
      </c>
      <c r="CX85" s="230">
        <v>22108</v>
      </c>
      <c r="CY85" s="228">
        <v>-358</v>
      </c>
      <c r="CZ85" s="229">
        <v>-1.6199999999999999E-2</v>
      </c>
      <c r="DA85" s="228">
        <v>20.89</v>
      </c>
      <c r="DB85" s="228">
        <v>20.96</v>
      </c>
      <c r="DC85" s="228">
        <v>-7.0000000000000007E-2</v>
      </c>
      <c r="DD85" s="228">
        <v>-7.0000000000000007E-2</v>
      </c>
      <c r="DE85" s="228">
        <v>20.89</v>
      </c>
      <c r="DF85" s="228">
        <v>20.86</v>
      </c>
      <c r="DG85" s="228">
        <v>0</v>
      </c>
      <c r="DH85" s="228">
        <v>0.03</v>
      </c>
      <c r="DI85" s="228">
        <v>20.43</v>
      </c>
      <c r="DJ85" s="228">
        <v>20.45</v>
      </c>
      <c r="DK85" s="228">
        <v>-0.02</v>
      </c>
      <c r="DL85" s="228">
        <v>-0.02</v>
      </c>
      <c r="DM85" s="228">
        <v>21.79</v>
      </c>
      <c r="DN85" s="228">
        <v>21.69</v>
      </c>
      <c r="DO85" s="228">
        <v>0.1</v>
      </c>
      <c r="DP85" s="228">
        <v>0.1</v>
      </c>
      <c r="DQ85" s="228">
        <v>0.81</v>
      </c>
      <c r="DR85" s="228">
        <v>0.8</v>
      </c>
      <c r="DS85" s="228">
        <v>0.01</v>
      </c>
      <c r="DT85" s="229">
        <v>1.2500000000000001E-2</v>
      </c>
      <c r="DU85" s="231">
        <v>1400</v>
      </c>
      <c r="DV85" s="231">
        <v>1400</v>
      </c>
      <c r="DW85" s="228">
        <v>0.51</v>
      </c>
      <c r="DX85" s="228">
        <v>0.7</v>
      </c>
      <c r="DY85" s="228">
        <v>-0.19</v>
      </c>
      <c r="DZ85" s="229">
        <v>-0.27139999999999997</v>
      </c>
      <c r="EA85" s="229">
        <v>6.6500000000000004E-2</v>
      </c>
      <c r="EB85" s="230">
        <v>6006000</v>
      </c>
      <c r="EC85" s="229">
        <v>5.4000000000000003E-3</v>
      </c>
      <c r="ED85" s="229">
        <v>6.6500000000000004E-2</v>
      </c>
      <c r="EE85" s="228">
        <v>6.64</v>
      </c>
      <c r="EF85" s="229">
        <v>4.7000000000000002E-3</v>
      </c>
      <c r="EG85" s="230">
        <v>8709028</v>
      </c>
      <c r="EH85" s="230">
        <v>5828465</v>
      </c>
      <c r="EI85" s="229">
        <v>0.49419999999999997</v>
      </c>
      <c r="EJ85" s="229">
        <v>0.63959999999999995</v>
      </c>
      <c r="EK85" s="231">
        <v>6502.11</v>
      </c>
      <c r="EL85" s="231">
        <v>3160.72</v>
      </c>
      <c r="EM85" s="231">
        <v>3077.68</v>
      </c>
      <c r="EN85" s="228">
        <v>156.44999999999999</v>
      </c>
      <c r="EO85" s="231">
        <v>12740.51</v>
      </c>
      <c r="EP85" s="231">
        <v>9013.36</v>
      </c>
      <c r="EQ85" s="231">
        <v>3727.15</v>
      </c>
      <c r="ER85" s="229">
        <v>0.41349999999999998</v>
      </c>
      <c r="ES85" s="231">
        <v>3435.82</v>
      </c>
      <c r="ET85" s="231">
        <v>2663.08</v>
      </c>
      <c r="EU85" s="231">
        <v>15567.77</v>
      </c>
      <c r="EV85" s="231">
        <v>579785172</v>
      </c>
      <c r="EW85" s="231">
        <v>21666.68</v>
      </c>
      <c r="EX85" s="231">
        <v>21795.64</v>
      </c>
      <c r="EY85" s="228">
        <v>-128.96</v>
      </c>
      <c r="EZ85" s="229">
        <v>-5.8999999999999999E-3</v>
      </c>
      <c r="FA85" s="229">
        <v>0.26440000000000002</v>
      </c>
      <c r="FB85" s="227" t="s">
        <v>556</v>
      </c>
      <c r="FC85">
        <f t="shared" si="1"/>
        <v>1034</v>
      </c>
    </row>
    <row r="86" spans="1:159" ht="17.25" thickBot="1" x14ac:dyDescent="0.3">
      <c r="A86" s="226">
        <v>45946</v>
      </c>
      <c r="B86" s="227" t="s">
        <v>175</v>
      </c>
      <c r="C86" s="227" t="s">
        <v>472</v>
      </c>
      <c r="D86" s="228">
        <v>325</v>
      </c>
      <c r="E86" s="228">
        <v>12</v>
      </c>
      <c r="F86" s="231">
        <v>2005.3</v>
      </c>
      <c r="G86" s="231">
        <v>2019</v>
      </c>
      <c r="H86" s="228">
        <v>-13.7</v>
      </c>
      <c r="I86" s="229">
        <v>-6.7999999999999996E-3</v>
      </c>
      <c r="J86" s="231">
        <v>2010.1</v>
      </c>
      <c r="K86" s="231">
        <v>2020.3</v>
      </c>
      <c r="L86" s="228">
        <v>-10.199999999999999</v>
      </c>
      <c r="M86" s="229">
        <v>-5.0000000000000001E-3</v>
      </c>
      <c r="N86" s="231">
        <v>2005.3</v>
      </c>
      <c r="O86" s="231">
        <v>2019</v>
      </c>
      <c r="P86" s="228">
        <v>-13.7</v>
      </c>
      <c r="Q86" s="229">
        <v>-6.7999999999999996E-3</v>
      </c>
      <c r="R86" s="231">
        <v>2016.8</v>
      </c>
      <c r="S86" s="231">
        <v>2028.8</v>
      </c>
      <c r="T86" s="228">
        <v>-12</v>
      </c>
      <c r="U86" s="229">
        <v>-5.8999999999999999E-3</v>
      </c>
      <c r="V86" s="231">
        <v>2027.8</v>
      </c>
      <c r="W86" s="231">
        <v>2037.3</v>
      </c>
      <c r="X86" s="228">
        <v>-9.5</v>
      </c>
      <c r="Y86" s="229">
        <v>-4.7000000000000002E-3</v>
      </c>
      <c r="Z86" s="228">
        <v>-4.8</v>
      </c>
      <c r="AA86" s="228">
        <v>-1.3</v>
      </c>
      <c r="AB86" s="228">
        <v>-3.5</v>
      </c>
      <c r="AC86" s="229">
        <v>-2.3999999999999998E-3</v>
      </c>
      <c r="AD86" s="228">
        <v>-4.8</v>
      </c>
      <c r="AE86" s="228">
        <v>-1.3</v>
      </c>
      <c r="AF86" s="228">
        <v>-3.5</v>
      </c>
      <c r="AG86" s="229">
        <v>-2.3999999999999998E-3</v>
      </c>
      <c r="AH86" s="228">
        <v>6.7</v>
      </c>
      <c r="AI86" s="228">
        <v>8.5</v>
      </c>
      <c r="AJ86" s="228">
        <v>-1.8</v>
      </c>
      <c r="AK86" s="229">
        <v>3.3E-3</v>
      </c>
      <c r="AL86" s="228">
        <v>17.7</v>
      </c>
      <c r="AM86" s="228">
        <v>17</v>
      </c>
      <c r="AN86" s="228">
        <v>0.7</v>
      </c>
      <c r="AO86" s="229">
        <v>8.8000000000000005E-3</v>
      </c>
      <c r="AP86" s="231">
        <v>2010.06</v>
      </c>
      <c r="AQ86" s="231">
        <v>2021.01</v>
      </c>
      <c r="AR86" s="228">
        <v>0</v>
      </c>
      <c r="AS86" s="228">
        <v>289</v>
      </c>
      <c r="AT86" s="230">
        <v>1118</v>
      </c>
      <c r="AU86" s="228">
        <v>-828</v>
      </c>
      <c r="AV86" s="229">
        <v>-0.74109999999999998</v>
      </c>
      <c r="AW86" s="228">
        <v>260</v>
      </c>
      <c r="AX86" s="230">
        <v>1033</v>
      </c>
      <c r="AY86" s="228">
        <v>-773</v>
      </c>
      <c r="AZ86" s="229">
        <v>-0.748</v>
      </c>
      <c r="BA86" s="228">
        <v>27</v>
      </c>
      <c r="BB86" s="228">
        <v>79</v>
      </c>
      <c r="BC86" s="228">
        <v>-52</v>
      </c>
      <c r="BD86" s="229">
        <v>-0.65680000000000005</v>
      </c>
      <c r="BE86" s="228">
        <v>2</v>
      </c>
      <c r="BF86" s="228">
        <v>5</v>
      </c>
      <c r="BG86" s="228">
        <v>-3</v>
      </c>
      <c r="BH86" s="229">
        <v>-0.64939999999999998</v>
      </c>
      <c r="BI86" s="230">
        <v>1640</v>
      </c>
      <c r="BJ86" s="230">
        <v>10186</v>
      </c>
      <c r="BK86" s="230">
        <v>-8545</v>
      </c>
      <c r="BL86" s="229">
        <v>-0.83899999999999997</v>
      </c>
      <c r="BM86" s="230">
        <v>1313</v>
      </c>
      <c r="BN86" s="230">
        <v>4663</v>
      </c>
      <c r="BO86" s="230">
        <v>-3350</v>
      </c>
      <c r="BP86" s="229">
        <v>-0.71850000000000003</v>
      </c>
      <c r="BQ86" s="230">
        <v>3242</v>
      </c>
      <c r="BR86" s="230">
        <v>15966</v>
      </c>
      <c r="BS86" s="230">
        <v>-12724</v>
      </c>
      <c r="BT86" s="229">
        <v>-0.79690000000000005</v>
      </c>
      <c r="BU86" s="230">
        <v>896738</v>
      </c>
      <c r="BV86" s="230">
        <v>7555694</v>
      </c>
      <c r="BW86" s="230">
        <v>-6658956</v>
      </c>
      <c r="BX86" s="229">
        <v>-0.88129999999999997</v>
      </c>
      <c r="BY86" s="230">
        <v>1217</v>
      </c>
      <c r="BZ86" s="230">
        <v>1275</v>
      </c>
      <c r="CA86" s="228">
        <v>-59</v>
      </c>
      <c r="CB86" s="229">
        <v>-4.5999999999999999E-2</v>
      </c>
      <c r="CC86" s="230">
        <v>1162</v>
      </c>
      <c r="CD86" s="230">
        <v>1227</v>
      </c>
      <c r="CE86" s="228">
        <v>-66</v>
      </c>
      <c r="CF86" s="229">
        <v>-5.3400000000000003E-2</v>
      </c>
      <c r="CG86" s="228">
        <v>52</v>
      </c>
      <c r="CH86" s="228">
        <v>45</v>
      </c>
      <c r="CI86" s="228">
        <v>7</v>
      </c>
      <c r="CJ86" s="229">
        <v>0.15110000000000001</v>
      </c>
      <c r="CK86" s="228">
        <v>3</v>
      </c>
      <c r="CL86" s="228">
        <v>3</v>
      </c>
      <c r="CM86" s="228">
        <v>0</v>
      </c>
      <c r="CN86" s="229">
        <v>2.4400000000000002E-2</v>
      </c>
      <c r="CO86" s="228">
        <v>483</v>
      </c>
      <c r="CP86" s="228">
        <v>682</v>
      </c>
      <c r="CQ86" s="228">
        <v>-199</v>
      </c>
      <c r="CR86" s="229">
        <v>-0.29160000000000003</v>
      </c>
      <c r="CS86" s="228">
        <v>728</v>
      </c>
      <c r="CT86" s="228">
        <v>841</v>
      </c>
      <c r="CU86" s="228">
        <v>-113</v>
      </c>
      <c r="CV86" s="229">
        <v>-0.13450000000000001</v>
      </c>
      <c r="CW86" s="230">
        <v>2427</v>
      </c>
      <c r="CX86" s="230">
        <v>2798</v>
      </c>
      <c r="CY86" s="228">
        <v>-371</v>
      </c>
      <c r="CZ86" s="229">
        <v>-0.13250000000000001</v>
      </c>
      <c r="DA86" s="228">
        <v>24.46</v>
      </c>
      <c r="DB86" s="228">
        <v>26.99</v>
      </c>
      <c r="DC86" s="228">
        <v>-2.5299999999999998</v>
      </c>
      <c r="DD86" s="228">
        <v>-2.5299999999999998</v>
      </c>
      <c r="DE86" s="228">
        <v>30.27</v>
      </c>
      <c r="DF86" s="228">
        <v>30.34</v>
      </c>
      <c r="DG86" s="228">
        <v>-5.81</v>
      </c>
      <c r="DH86" s="228">
        <v>-7.0000000000000007E-2</v>
      </c>
      <c r="DI86" s="228">
        <v>23.91</v>
      </c>
      <c r="DJ86" s="228">
        <v>25.97</v>
      </c>
      <c r="DK86" s="228">
        <v>-2.06</v>
      </c>
      <c r="DL86" s="228">
        <v>-2.06</v>
      </c>
      <c r="DM86" s="228">
        <v>25.14</v>
      </c>
      <c r="DN86" s="228">
        <v>29.21</v>
      </c>
      <c r="DO86" s="228">
        <v>-4.07</v>
      </c>
      <c r="DP86" s="228">
        <v>-4.07</v>
      </c>
      <c r="DQ86" s="228">
        <v>1.51</v>
      </c>
      <c r="DR86" s="228">
        <v>1.23</v>
      </c>
      <c r="DS86" s="228">
        <v>0.28000000000000003</v>
      </c>
      <c r="DT86" s="229">
        <v>0.2276</v>
      </c>
      <c r="DU86" s="231">
        <v>2000</v>
      </c>
      <c r="DV86" s="231">
        <v>1900</v>
      </c>
      <c r="DW86" s="228">
        <v>0.8</v>
      </c>
      <c r="DX86" s="228">
        <v>0.46</v>
      </c>
      <c r="DY86" s="228">
        <v>0.34</v>
      </c>
      <c r="DZ86" s="229">
        <v>0.73909999999999998</v>
      </c>
      <c r="EA86" s="229">
        <v>4.5100000000000001E-2</v>
      </c>
      <c r="EB86" s="230">
        <v>239200</v>
      </c>
      <c r="EC86" s="229">
        <v>5.7000000000000002E-3</v>
      </c>
      <c r="ED86" s="229">
        <v>4.5100000000000001E-2</v>
      </c>
      <c r="EE86" s="228">
        <v>10.95</v>
      </c>
      <c r="EF86" s="229">
        <v>5.4000000000000003E-3</v>
      </c>
      <c r="EG86" s="230">
        <v>303648</v>
      </c>
      <c r="EH86" s="230">
        <v>2076203</v>
      </c>
      <c r="EI86" s="229">
        <v>-0.85370000000000001</v>
      </c>
      <c r="EJ86" s="229">
        <v>0.33860000000000001</v>
      </c>
      <c r="EK86" s="231">
        <v>1702.49</v>
      </c>
      <c r="EL86" s="231">
        <v>1286.83</v>
      </c>
      <c r="EM86" s="228">
        <v>290.14999999999998</v>
      </c>
      <c r="EN86" s="228">
        <v>54.15</v>
      </c>
      <c r="EO86" s="231">
        <v>3279.48</v>
      </c>
      <c r="EP86" s="231">
        <v>16069.57</v>
      </c>
      <c r="EQ86" s="231">
        <v>-12790.1</v>
      </c>
      <c r="ER86" s="229">
        <v>-0.79590000000000005</v>
      </c>
      <c r="ES86" s="228">
        <v>489.79</v>
      </c>
      <c r="ET86" s="228">
        <v>691.79</v>
      </c>
      <c r="EU86" s="231">
        <v>1216.97</v>
      </c>
      <c r="EV86" s="231">
        <v>26688038</v>
      </c>
      <c r="EW86" s="231">
        <v>2398.5500000000002</v>
      </c>
      <c r="EX86" s="231">
        <v>2779.89</v>
      </c>
      <c r="EY86" s="228">
        <v>-381.34</v>
      </c>
      <c r="EZ86" s="229">
        <v>-0.13719999999999999</v>
      </c>
      <c r="FA86" s="229">
        <v>0.4536</v>
      </c>
      <c r="FB86" s="227" t="s">
        <v>568</v>
      </c>
      <c r="FC86">
        <f t="shared" si="1"/>
        <v>55</v>
      </c>
    </row>
    <row r="87" spans="1:159" ht="17.25" thickBot="1" x14ac:dyDescent="0.3">
      <c r="A87" s="226">
        <v>45946</v>
      </c>
      <c r="B87" s="227" t="s">
        <v>175</v>
      </c>
      <c r="C87" s="227" t="s">
        <v>233</v>
      </c>
      <c r="D87" s="228">
        <v>925</v>
      </c>
      <c r="E87" s="228">
        <v>12</v>
      </c>
      <c r="F87" s="228">
        <v>589.20000000000005</v>
      </c>
      <c r="G87" s="228">
        <v>590.65</v>
      </c>
      <c r="H87" s="228">
        <v>-1.45</v>
      </c>
      <c r="I87" s="229">
        <v>-2.5000000000000001E-3</v>
      </c>
      <c r="J87" s="228">
        <v>587</v>
      </c>
      <c r="K87" s="228">
        <v>588</v>
      </c>
      <c r="L87" s="228">
        <v>-1</v>
      </c>
      <c r="M87" s="229">
        <v>-1.6999999999999999E-3</v>
      </c>
      <c r="N87" s="228">
        <v>589.20000000000005</v>
      </c>
      <c r="O87" s="228">
        <v>590.65</v>
      </c>
      <c r="P87" s="228">
        <v>-1.45</v>
      </c>
      <c r="Q87" s="229">
        <v>-2.5000000000000001E-3</v>
      </c>
      <c r="R87" s="228">
        <v>592.45000000000005</v>
      </c>
      <c r="S87" s="228">
        <v>594.15</v>
      </c>
      <c r="T87" s="228">
        <v>-1.7</v>
      </c>
      <c r="U87" s="229">
        <v>-2.8999999999999998E-3</v>
      </c>
      <c r="V87" s="228">
        <v>596.15</v>
      </c>
      <c r="W87" s="228">
        <v>598.20000000000005</v>
      </c>
      <c r="X87" s="228">
        <v>-2.0499999999999998</v>
      </c>
      <c r="Y87" s="229">
        <v>-3.3999999999999998E-3</v>
      </c>
      <c r="Z87" s="228">
        <v>2.2000000000000002</v>
      </c>
      <c r="AA87" s="228">
        <v>2.65</v>
      </c>
      <c r="AB87" s="228">
        <v>-0.45</v>
      </c>
      <c r="AC87" s="229">
        <v>3.7000000000000002E-3</v>
      </c>
      <c r="AD87" s="228">
        <v>2.2000000000000002</v>
      </c>
      <c r="AE87" s="228">
        <v>2.65</v>
      </c>
      <c r="AF87" s="228">
        <v>-0.45</v>
      </c>
      <c r="AG87" s="229">
        <v>3.7000000000000002E-3</v>
      </c>
      <c r="AH87" s="228">
        <v>5.45</v>
      </c>
      <c r="AI87" s="228">
        <v>6.15</v>
      </c>
      <c r="AJ87" s="228">
        <v>-0.7</v>
      </c>
      <c r="AK87" s="229">
        <v>9.2999999999999992E-3</v>
      </c>
      <c r="AL87" s="228">
        <v>9.15</v>
      </c>
      <c r="AM87" s="228">
        <v>10.199999999999999</v>
      </c>
      <c r="AN87" s="228">
        <v>-1.05</v>
      </c>
      <c r="AO87" s="229">
        <v>1.5599999999999999E-2</v>
      </c>
      <c r="AP87" s="228">
        <v>588.64</v>
      </c>
      <c r="AQ87" s="228">
        <v>591.77</v>
      </c>
      <c r="AR87" s="228">
        <v>0</v>
      </c>
      <c r="AS87" s="228">
        <v>117</v>
      </c>
      <c r="AT87" s="228">
        <v>423</v>
      </c>
      <c r="AU87" s="228">
        <v>-307</v>
      </c>
      <c r="AV87" s="229">
        <v>-0.72470000000000001</v>
      </c>
      <c r="AW87" s="228">
        <v>102</v>
      </c>
      <c r="AX87" s="228">
        <v>383</v>
      </c>
      <c r="AY87" s="228">
        <v>-281</v>
      </c>
      <c r="AZ87" s="229">
        <v>-0.73360000000000003</v>
      </c>
      <c r="BA87" s="228">
        <v>14</v>
      </c>
      <c r="BB87" s="228">
        <v>36</v>
      </c>
      <c r="BC87" s="228">
        <v>-22</v>
      </c>
      <c r="BD87" s="229">
        <v>-0.61619999999999997</v>
      </c>
      <c r="BE87" s="228">
        <v>1</v>
      </c>
      <c r="BF87" s="228">
        <v>4</v>
      </c>
      <c r="BG87" s="228">
        <v>-3</v>
      </c>
      <c r="BH87" s="229">
        <v>-0.86299999999999999</v>
      </c>
      <c r="BI87" s="228">
        <v>553</v>
      </c>
      <c r="BJ87" s="230">
        <v>2193</v>
      </c>
      <c r="BK87" s="230">
        <v>-1640</v>
      </c>
      <c r="BL87" s="229">
        <v>-0.74770000000000003</v>
      </c>
      <c r="BM87" s="228">
        <v>196</v>
      </c>
      <c r="BN87" s="228">
        <v>964</v>
      </c>
      <c r="BO87" s="228">
        <v>-768</v>
      </c>
      <c r="BP87" s="229">
        <v>-0.79659999999999997</v>
      </c>
      <c r="BQ87" s="228">
        <v>866</v>
      </c>
      <c r="BR87" s="230">
        <v>3581</v>
      </c>
      <c r="BS87" s="230">
        <v>-2715</v>
      </c>
      <c r="BT87" s="229">
        <v>-0.7581</v>
      </c>
      <c r="BU87" s="230">
        <v>1907247</v>
      </c>
      <c r="BV87" s="230">
        <v>9472322</v>
      </c>
      <c r="BW87" s="230">
        <v>-7565075</v>
      </c>
      <c r="BX87" s="229">
        <v>-0.79869999999999997</v>
      </c>
      <c r="BY87" s="228">
        <v>747</v>
      </c>
      <c r="BZ87" s="228">
        <v>751</v>
      </c>
      <c r="CA87" s="228">
        <v>-4</v>
      </c>
      <c r="CB87" s="229">
        <v>-5.4000000000000003E-3</v>
      </c>
      <c r="CC87" s="228">
        <v>714</v>
      </c>
      <c r="CD87" s="228">
        <v>724</v>
      </c>
      <c r="CE87" s="228">
        <v>-10</v>
      </c>
      <c r="CF87" s="229">
        <v>-1.3599999999999999E-2</v>
      </c>
      <c r="CG87" s="228">
        <v>29</v>
      </c>
      <c r="CH87" s="228">
        <v>23</v>
      </c>
      <c r="CI87" s="228">
        <v>6</v>
      </c>
      <c r="CJ87" s="229">
        <v>0.2407</v>
      </c>
      <c r="CK87" s="228">
        <v>3</v>
      </c>
      <c r="CL87" s="228">
        <v>3</v>
      </c>
      <c r="CM87" s="228">
        <v>0</v>
      </c>
      <c r="CN87" s="229">
        <v>3.2300000000000002E-2</v>
      </c>
      <c r="CO87" s="228">
        <v>477</v>
      </c>
      <c r="CP87" s="228">
        <v>466</v>
      </c>
      <c r="CQ87" s="228">
        <v>12</v>
      </c>
      <c r="CR87" s="229">
        <v>2.5000000000000001E-2</v>
      </c>
      <c r="CS87" s="228">
        <v>210</v>
      </c>
      <c r="CT87" s="228">
        <v>213</v>
      </c>
      <c r="CU87" s="228">
        <v>-3</v>
      </c>
      <c r="CV87" s="229">
        <v>-1.4800000000000001E-2</v>
      </c>
      <c r="CW87" s="230">
        <v>1434</v>
      </c>
      <c r="CX87" s="230">
        <v>1430</v>
      </c>
      <c r="CY87" s="228">
        <v>4</v>
      </c>
      <c r="CZ87" s="229">
        <v>3.0999999999999999E-3</v>
      </c>
      <c r="DA87" s="228">
        <v>23.44</v>
      </c>
      <c r="DB87" s="228">
        <v>24.13</v>
      </c>
      <c r="DC87" s="228">
        <v>-0.69</v>
      </c>
      <c r="DD87" s="228">
        <v>-0.69</v>
      </c>
      <c r="DE87" s="228">
        <v>28.13</v>
      </c>
      <c r="DF87" s="228">
        <v>28.2</v>
      </c>
      <c r="DG87" s="228">
        <v>-4.6900000000000004</v>
      </c>
      <c r="DH87" s="228">
        <v>-7.0000000000000007E-2</v>
      </c>
      <c r="DI87" s="228">
        <v>23.72</v>
      </c>
      <c r="DJ87" s="228">
        <v>24.72</v>
      </c>
      <c r="DK87" s="228">
        <v>-1</v>
      </c>
      <c r="DL87" s="228">
        <v>-1</v>
      </c>
      <c r="DM87" s="228">
        <v>22.66</v>
      </c>
      <c r="DN87" s="228">
        <v>22.77</v>
      </c>
      <c r="DO87" s="228">
        <v>-0.11</v>
      </c>
      <c r="DP87" s="228">
        <v>-0.11</v>
      </c>
      <c r="DQ87" s="228">
        <v>0.44</v>
      </c>
      <c r="DR87" s="228">
        <v>0.46</v>
      </c>
      <c r="DS87" s="228">
        <v>-0.02</v>
      </c>
      <c r="DT87" s="229">
        <v>-4.3499999999999997E-2</v>
      </c>
      <c r="DU87" s="228">
        <v>620</v>
      </c>
      <c r="DV87" s="228">
        <v>600</v>
      </c>
      <c r="DW87" s="228">
        <v>0.35</v>
      </c>
      <c r="DX87" s="228">
        <v>0.44</v>
      </c>
      <c r="DY87" s="228">
        <v>-0.09</v>
      </c>
      <c r="DZ87" s="229">
        <v>-0.20449999999999999</v>
      </c>
      <c r="EA87" s="229">
        <v>4.3400000000000001E-2</v>
      </c>
      <c r="EB87" s="230">
        <v>453250</v>
      </c>
      <c r="EC87" s="229">
        <v>5.4999999999999997E-3</v>
      </c>
      <c r="ED87" s="229">
        <v>4.3400000000000001E-2</v>
      </c>
      <c r="EE87" s="228">
        <v>3.13</v>
      </c>
      <c r="EF87" s="229">
        <v>5.3E-3</v>
      </c>
      <c r="EG87" s="230">
        <v>1340088</v>
      </c>
      <c r="EH87" s="230">
        <v>7101842</v>
      </c>
      <c r="EI87" s="229">
        <v>-0.81130000000000002</v>
      </c>
      <c r="EJ87" s="229">
        <v>0.7026</v>
      </c>
      <c r="EK87" s="228">
        <v>572.39</v>
      </c>
      <c r="EL87" s="228">
        <v>195.78</v>
      </c>
      <c r="EM87" s="228">
        <v>116.49</v>
      </c>
      <c r="EN87" s="228">
        <v>42.89</v>
      </c>
      <c r="EO87" s="228">
        <v>884.66</v>
      </c>
      <c r="EP87" s="231">
        <v>3673.32</v>
      </c>
      <c r="EQ87" s="231">
        <v>-2788.66</v>
      </c>
      <c r="ER87" s="229">
        <v>-0.75919999999999999</v>
      </c>
      <c r="ES87" s="228">
        <v>498.86</v>
      </c>
      <c r="ET87" s="228">
        <v>207.75</v>
      </c>
      <c r="EU87" s="228">
        <v>746.7</v>
      </c>
      <c r="EV87" s="231">
        <v>48653643</v>
      </c>
      <c r="EW87" s="231">
        <v>1453.31</v>
      </c>
      <c r="EX87" s="231">
        <v>1450.81</v>
      </c>
      <c r="EY87" s="228">
        <v>2.5</v>
      </c>
      <c r="EZ87" s="229">
        <v>1.6999999999999999E-3</v>
      </c>
      <c r="FA87" s="229">
        <v>0.50019999999999998</v>
      </c>
      <c r="FB87" s="227" t="s">
        <v>568</v>
      </c>
      <c r="FC87">
        <f t="shared" si="1"/>
        <v>33</v>
      </c>
    </row>
    <row r="88" spans="1:159" ht="17.25" thickBot="1" x14ac:dyDescent="0.3">
      <c r="A88" s="226">
        <v>45946</v>
      </c>
      <c r="B88" s="227" t="s">
        <v>188</v>
      </c>
      <c r="C88" s="227" t="s">
        <v>234</v>
      </c>
      <c r="D88" s="228">
        <v>71475</v>
      </c>
      <c r="E88" s="228">
        <v>12</v>
      </c>
      <c r="F88" s="228">
        <v>8.8800000000000008</v>
      </c>
      <c r="G88" s="228">
        <v>8.8000000000000007</v>
      </c>
      <c r="H88" s="228">
        <v>0.08</v>
      </c>
      <c r="I88" s="229">
        <v>9.1000000000000004E-3</v>
      </c>
      <c r="J88" s="228">
        <v>8.85</v>
      </c>
      <c r="K88" s="228">
        <v>8.75</v>
      </c>
      <c r="L88" s="228">
        <v>0.1</v>
      </c>
      <c r="M88" s="229">
        <v>1.14E-2</v>
      </c>
      <c r="N88" s="228">
        <v>8.8800000000000008</v>
      </c>
      <c r="O88" s="228">
        <v>8.8000000000000007</v>
      </c>
      <c r="P88" s="228">
        <v>0.08</v>
      </c>
      <c r="Q88" s="229">
        <v>9.1000000000000004E-3</v>
      </c>
      <c r="R88" s="228">
        <v>8.94</v>
      </c>
      <c r="S88" s="228">
        <v>8.84</v>
      </c>
      <c r="T88" s="228">
        <v>0.1</v>
      </c>
      <c r="U88" s="229">
        <v>1.1299999999999999E-2</v>
      </c>
      <c r="V88" s="228">
        <v>9</v>
      </c>
      <c r="W88" s="228">
        <v>8.92</v>
      </c>
      <c r="X88" s="228">
        <v>0.08</v>
      </c>
      <c r="Y88" s="229">
        <v>8.9999999999999993E-3</v>
      </c>
      <c r="Z88" s="228">
        <v>0.03</v>
      </c>
      <c r="AA88" s="228">
        <v>0.05</v>
      </c>
      <c r="AB88" s="228">
        <v>-0.02</v>
      </c>
      <c r="AC88" s="229">
        <v>3.3999999999999998E-3</v>
      </c>
      <c r="AD88" s="228">
        <v>0.03</v>
      </c>
      <c r="AE88" s="228">
        <v>0.05</v>
      </c>
      <c r="AF88" s="228">
        <v>-0.02</v>
      </c>
      <c r="AG88" s="229">
        <v>3.3999999999999998E-3</v>
      </c>
      <c r="AH88" s="228">
        <v>0.09</v>
      </c>
      <c r="AI88" s="228">
        <v>0.09</v>
      </c>
      <c r="AJ88" s="228">
        <v>0</v>
      </c>
      <c r="AK88" s="229">
        <v>1.0200000000000001E-2</v>
      </c>
      <c r="AL88" s="228">
        <v>0.15</v>
      </c>
      <c r="AM88" s="228">
        <v>0.17</v>
      </c>
      <c r="AN88" s="228">
        <v>-0.02</v>
      </c>
      <c r="AO88" s="229">
        <v>1.6899999999999998E-2</v>
      </c>
      <c r="AP88" s="228">
        <v>8.93</v>
      </c>
      <c r="AQ88" s="228">
        <v>8.98</v>
      </c>
      <c r="AR88" s="228">
        <v>0</v>
      </c>
      <c r="AS88" s="228">
        <v>601</v>
      </c>
      <c r="AT88" s="228">
        <v>971</v>
      </c>
      <c r="AU88" s="228">
        <v>-370</v>
      </c>
      <c r="AV88" s="229">
        <v>-0.38100000000000001</v>
      </c>
      <c r="AW88" s="228">
        <v>450</v>
      </c>
      <c r="AX88" s="228">
        <v>824</v>
      </c>
      <c r="AY88" s="228">
        <v>-374</v>
      </c>
      <c r="AZ88" s="229">
        <v>-0.45379999999999998</v>
      </c>
      <c r="BA88" s="228">
        <v>137</v>
      </c>
      <c r="BB88" s="228">
        <v>123</v>
      </c>
      <c r="BC88" s="228">
        <v>13</v>
      </c>
      <c r="BD88" s="229">
        <v>0.1081</v>
      </c>
      <c r="BE88" s="228">
        <v>14</v>
      </c>
      <c r="BF88" s="228">
        <v>24</v>
      </c>
      <c r="BG88" s="228">
        <v>-9</v>
      </c>
      <c r="BH88" s="229">
        <v>-0.3957</v>
      </c>
      <c r="BI88" s="228">
        <v>640</v>
      </c>
      <c r="BJ88" s="230">
        <v>1542</v>
      </c>
      <c r="BK88" s="228">
        <v>-901</v>
      </c>
      <c r="BL88" s="229">
        <v>-0.5847</v>
      </c>
      <c r="BM88" s="228">
        <v>260</v>
      </c>
      <c r="BN88" s="228">
        <v>290</v>
      </c>
      <c r="BO88" s="228">
        <v>-29</v>
      </c>
      <c r="BP88" s="229">
        <v>-0.1008</v>
      </c>
      <c r="BQ88" s="230">
        <v>1502</v>
      </c>
      <c r="BR88" s="230">
        <v>2803</v>
      </c>
      <c r="BS88" s="230">
        <v>-1301</v>
      </c>
      <c r="BT88" s="229">
        <v>-0.46410000000000001</v>
      </c>
      <c r="BU88" s="230">
        <v>628965143</v>
      </c>
      <c r="BV88" s="230">
        <v>819506237</v>
      </c>
      <c r="BW88" s="230">
        <v>-190541094</v>
      </c>
      <c r="BX88" s="229">
        <v>-0.23250000000000001</v>
      </c>
      <c r="BY88" s="230">
        <v>5775</v>
      </c>
      <c r="BZ88" s="230">
        <v>5776</v>
      </c>
      <c r="CA88" s="228">
        <v>-1</v>
      </c>
      <c r="CB88" s="229">
        <v>-2.0000000000000001E-4</v>
      </c>
      <c r="CC88" s="230">
        <v>5173</v>
      </c>
      <c r="CD88" s="230">
        <v>5210</v>
      </c>
      <c r="CE88" s="228">
        <v>-37</v>
      </c>
      <c r="CF88" s="229">
        <v>-7.0000000000000001E-3</v>
      </c>
      <c r="CG88" s="228">
        <v>520</v>
      </c>
      <c r="CH88" s="228">
        <v>485</v>
      </c>
      <c r="CI88" s="228">
        <v>35</v>
      </c>
      <c r="CJ88" s="229">
        <v>7.1300000000000002E-2</v>
      </c>
      <c r="CK88" s="228">
        <v>82</v>
      </c>
      <c r="CL88" s="228">
        <v>81</v>
      </c>
      <c r="CM88" s="228">
        <v>1</v>
      </c>
      <c r="CN88" s="229">
        <v>1.17E-2</v>
      </c>
      <c r="CO88" s="230">
        <v>2097</v>
      </c>
      <c r="CP88" s="230">
        <v>2084</v>
      </c>
      <c r="CQ88" s="228">
        <v>13</v>
      </c>
      <c r="CR88" s="229">
        <v>6.1999999999999998E-3</v>
      </c>
      <c r="CS88" s="230">
        <v>1182</v>
      </c>
      <c r="CT88" s="230">
        <v>1113</v>
      </c>
      <c r="CU88" s="228">
        <v>69</v>
      </c>
      <c r="CV88" s="229">
        <v>6.2300000000000001E-2</v>
      </c>
      <c r="CW88" s="230">
        <v>9054</v>
      </c>
      <c r="CX88" s="230">
        <v>8973</v>
      </c>
      <c r="CY88" s="228">
        <v>81</v>
      </c>
      <c r="CZ88" s="229">
        <v>9.1000000000000004E-3</v>
      </c>
      <c r="DA88" s="228">
        <v>66.680000000000007</v>
      </c>
      <c r="DB88" s="228">
        <v>71.2</v>
      </c>
      <c r="DC88" s="228">
        <v>-4.5199999999999996</v>
      </c>
      <c r="DD88" s="228">
        <v>-4.5199999999999996</v>
      </c>
      <c r="DE88" s="228">
        <v>68.38</v>
      </c>
      <c r="DF88" s="228">
        <v>68.540000000000006</v>
      </c>
      <c r="DG88" s="228">
        <v>-1.7</v>
      </c>
      <c r="DH88" s="228">
        <v>-0.16</v>
      </c>
      <c r="DI88" s="228">
        <v>67.62</v>
      </c>
      <c r="DJ88" s="228">
        <v>71.83</v>
      </c>
      <c r="DK88" s="228">
        <v>-4.21</v>
      </c>
      <c r="DL88" s="228">
        <v>-4.21</v>
      </c>
      <c r="DM88" s="228">
        <v>64.400000000000006</v>
      </c>
      <c r="DN88" s="228">
        <v>67.86</v>
      </c>
      <c r="DO88" s="228">
        <v>-3.46</v>
      </c>
      <c r="DP88" s="228">
        <v>-3.46</v>
      </c>
      <c r="DQ88" s="228">
        <v>0.56000000000000005</v>
      </c>
      <c r="DR88" s="228">
        <v>0.53</v>
      </c>
      <c r="DS88" s="228">
        <v>0.03</v>
      </c>
      <c r="DT88" s="229">
        <v>5.6599999999999998E-2</v>
      </c>
      <c r="DU88" s="228">
        <v>10</v>
      </c>
      <c r="DV88" s="228">
        <v>7</v>
      </c>
      <c r="DW88" s="228">
        <v>0.41</v>
      </c>
      <c r="DX88" s="228">
        <v>0.19</v>
      </c>
      <c r="DY88" s="228">
        <v>0.22</v>
      </c>
      <c r="DZ88" s="229">
        <v>1.1578999999999999</v>
      </c>
      <c r="EA88" s="229">
        <v>0.1042</v>
      </c>
      <c r="EB88" s="230">
        <v>637842900</v>
      </c>
      <c r="EC88" s="229">
        <v>6.7999999999999996E-3</v>
      </c>
      <c r="ED88" s="229">
        <v>0.1042</v>
      </c>
      <c r="EE88" s="228">
        <v>0.05</v>
      </c>
      <c r="EF88" s="229">
        <v>5.5999999999999999E-3</v>
      </c>
      <c r="EG88" s="230">
        <v>122157501</v>
      </c>
      <c r="EH88" s="230">
        <v>136376203</v>
      </c>
      <c r="EI88" s="229">
        <v>-0.1043</v>
      </c>
      <c r="EJ88" s="229">
        <v>0.19420000000000001</v>
      </c>
      <c r="EK88" s="228">
        <v>699.95</v>
      </c>
      <c r="EL88" s="228">
        <v>264.26</v>
      </c>
      <c r="EM88" s="228">
        <v>605.37</v>
      </c>
      <c r="EN88" s="228">
        <v>147.18</v>
      </c>
      <c r="EO88" s="231">
        <v>1569.59</v>
      </c>
      <c r="EP88" s="231">
        <v>2930.08</v>
      </c>
      <c r="EQ88" s="231">
        <v>-1360.49</v>
      </c>
      <c r="ER88" s="229">
        <v>-0.46429999999999999</v>
      </c>
      <c r="ES88" s="231">
        <v>2397.19</v>
      </c>
      <c r="ET88" s="231">
        <v>1021.92</v>
      </c>
      <c r="EU88" s="231">
        <v>5779.61</v>
      </c>
      <c r="EV88" s="231">
        <v>8713529091</v>
      </c>
      <c r="EW88" s="231">
        <v>9198.7199999999993</v>
      </c>
      <c r="EX88" s="231">
        <v>9067.14</v>
      </c>
      <c r="EY88" s="228">
        <v>131.58000000000001</v>
      </c>
      <c r="EZ88" s="229">
        <v>1.4500000000000001E-2</v>
      </c>
      <c r="FA88" s="229">
        <v>1.1701999999999999</v>
      </c>
      <c r="FB88" s="227" t="s">
        <v>556</v>
      </c>
      <c r="FC88">
        <f t="shared" si="1"/>
        <v>602</v>
      </c>
    </row>
    <row r="89" spans="1:159" ht="17.25" thickBot="1" x14ac:dyDescent="0.3">
      <c r="A89" s="226">
        <v>45946</v>
      </c>
      <c r="B89" s="227" t="s">
        <v>172</v>
      </c>
      <c r="C89" s="227" t="s">
        <v>235</v>
      </c>
      <c r="D89" s="228">
        <v>9275</v>
      </c>
      <c r="E89" s="228">
        <v>12</v>
      </c>
      <c r="F89" s="228">
        <v>71.900000000000006</v>
      </c>
      <c r="G89" s="228">
        <v>73.17</v>
      </c>
      <c r="H89" s="228">
        <v>-1.27</v>
      </c>
      <c r="I89" s="229">
        <v>-1.7399999999999999E-2</v>
      </c>
      <c r="J89" s="228">
        <v>71.790000000000006</v>
      </c>
      <c r="K89" s="228">
        <v>72.97</v>
      </c>
      <c r="L89" s="228">
        <v>-1.18</v>
      </c>
      <c r="M89" s="229">
        <v>-1.6199999999999999E-2</v>
      </c>
      <c r="N89" s="228">
        <v>71.900000000000006</v>
      </c>
      <c r="O89" s="228">
        <v>73.17</v>
      </c>
      <c r="P89" s="228">
        <v>-1.27</v>
      </c>
      <c r="Q89" s="229">
        <v>-1.7399999999999999E-2</v>
      </c>
      <c r="R89" s="228">
        <v>72.31</v>
      </c>
      <c r="S89" s="228">
        <v>73.599999999999994</v>
      </c>
      <c r="T89" s="228">
        <v>-1.29</v>
      </c>
      <c r="U89" s="229">
        <v>-1.7500000000000002E-2</v>
      </c>
      <c r="V89" s="228">
        <v>72.790000000000006</v>
      </c>
      <c r="W89" s="228">
        <v>74.040000000000006</v>
      </c>
      <c r="X89" s="228">
        <v>-1.25</v>
      </c>
      <c r="Y89" s="229">
        <v>-1.6899999999999998E-2</v>
      </c>
      <c r="Z89" s="228">
        <v>0.11</v>
      </c>
      <c r="AA89" s="228">
        <v>0.2</v>
      </c>
      <c r="AB89" s="228">
        <v>-0.09</v>
      </c>
      <c r="AC89" s="229">
        <v>1.5E-3</v>
      </c>
      <c r="AD89" s="228">
        <v>0.11</v>
      </c>
      <c r="AE89" s="228">
        <v>0.2</v>
      </c>
      <c r="AF89" s="228">
        <v>-0.09</v>
      </c>
      <c r="AG89" s="229">
        <v>1.5E-3</v>
      </c>
      <c r="AH89" s="228">
        <v>0.52</v>
      </c>
      <c r="AI89" s="228">
        <v>0.63</v>
      </c>
      <c r="AJ89" s="228">
        <v>-0.11</v>
      </c>
      <c r="AK89" s="229">
        <v>7.1999999999999998E-3</v>
      </c>
      <c r="AL89" s="228">
        <v>1</v>
      </c>
      <c r="AM89" s="228">
        <v>1.07</v>
      </c>
      <c r="AN89" s="228">
        <v>-7.0000000000000007E-2</v>
      </c>
      <c r="AO89" s="229">
        <v>1.3899999999999999E-2</v>
      </c>
      <c r="AP89" s="228">
        <v>72.290000000000006</v>
      </c>
      <c r="AQ89" s="228">
        <v>72.69</v>
      </c>
      <c r="AR89" s="228">
        <v>0</v>
      </c>
      <c r="AS89" s="228">
        <v>701</v>
      </c>
      <c r="AT89" s="228">
        <v>414</v>
      </c>
      <c r="AU89" s="228">
        <v>287</v>
      </c>
      <c r="AV89" s="229">
        <v>0.69450000000000001</v>
      </c>
      <c r="AW89" s="228">
        <v>533</v>
      </c>
      <c r="AX89" s="228">
        <v>329</v>
      </c>
      <c r="AY89" s="228">
        <v>204</v>
      </c>
      <c r="AZ89" s="229">
        <v>0.62070000000000003</v>
      </c>
      <c r="BA89" s="228">
        <v>152</v>
      </c>
      <c r="BB89" s="228">
        <v>83</v>
      </c>
      <c r="BC89" s="228">
        <v>69</v>
      </c>
      <c r="BD89" s="229">
        <v>0.83320000000000005</v>
      </c>
      <c r="BE89" s="228">
        <v>17</v>
      </c>
      <c r="BF89" s="228">
        <v>2</v>
      </c>
      <c r="BG89" s="228">
        <v>14</v>
      </c>
      <c r="BH89" s="229">
        <v>6.0278</v>
      </c>
      <c r="BI89" s="230">
        <v>1007</v>
      </c>
      <c r="BJ89" s="228">
        <v>518</v>
      </c>
      <c r="BK89" s="228">
        <v>488</v>
      </c>
      <c r="BL89" s="229">
        <v>0.94210000000000005</v>
      </c>
      <c r="BM89" s="228">
        <v>551</v>
      </c>
      <c r="BN89" s="228">
        <v>298</v>
      </c>
      <c r="BO89" s="228">
        <v>253</v>
      </c>
      <c r="BP89" s="229">
        <v>0.84640000000000004</v>
      </c>
      <c r="BQ89" s="230">
        <v>2259</v>
      </c>
      <c r="BR89" s="230">
        <v>1231</v>
      </c>
      <c r="BS89" s="230">
        <v>1028</v>
      </c>
      <c r="BT89" s="229">
        <v>0.8357</v>
      </c>
      <c r="BU89" s="230">
        <v>28506402</v>
      </c>
      <c r="BV89" s="230">
        <v>21143198</v>
      </c>
      <c r="BW89" s="230">
        <v>7363204</v>
      </c>
      <c r="BX89" s="229">
        <v>0.3483</v>
      </c>
      <c r="BY89" s="230">
        <v>2949</v>
      </c>
      <c r="BZ89" s="230">
        <v>2884</v>
      </c>
      <c r="CA89" s="228">
        <v>65</v>
      </c>
      <c r="CB89" s="229">
        <v>2.2700000000000001E-2</v>
      </c>
      <c r="CC89" s="230">
        <v>2560</v>
      </c>
      <c r="CD89" s="230">
        <v>2591</v>
      </c>
      <c r="CE89" s="228">
        <v>-30</v>
      </c>
      <c r="CF89" s="229">
        <v>-1.18E-2</v>
      </c>
      <c r="CG89" s="228">
        <v>356</v>
      </c>
      <c r="CH89" s="228">
        <v>270</v>
      </c>
      <c r="CI89" s="228">
        <v>86</v>
      </c>
      <c r="CJ89" s="229">
        <v>0.31740000000000002</v>
      </c>
      <c r="CK89" s="228">
        <v>33</v>
      </c>
      <c r="CL89" s="228">
        <v>23</v>
      </c>
      <c r="CM89" s="228">
        <v>10</v>
      </c>
      <c r="CN89" s="229">
        <v>0.439</v>
      </c>
      <c r="CO89" s="230">
        <v>1133</v>
      </c>
      <c r="CP89" s="230">
        <v>1043</v>
      </c>
      <c r="CQ89" s="228">
        <v>90</v>
      </c>
      <c r="CR89" s="229">
        <v>8.6599999999999996E-2</v>
      </c>
      <c r="CS89" s="228">
        <v>771</v>
      </c>
      <c r="CT89" s="228">
        <v>733</v>
      </c>
      <c r="CU89" s="228">
        <v>38</v>
      </c>
      <c r="CV89" s="229">
        <v>5.1900000000000002E-2</v>
      </c>
      <c r="CW89" s="230">
        <v>4853</v>
      </c>
      <c r="CX89" s="230">
        <v>4660</v>
      </c>
      <c r="CY89" s="228">
        <v>194</v>
      </c>
      <c r="CZ89" s="229">
        <v>4.1599999999999998E-2</v>
      </c>
      <c r="DA89" s="228">
        <v>36.31</v>
      </c>
      <c r="DB89" s="228">
        <v>32.270000000000003</v>
      </c>
      <c r="DC89" s="228">
        <v>4.04</v>
      </c>
      <c r="DD89" s="228">
        <v>4.04</v>
      </c>
      <c r="DE89" s="228">
        <v>33.700000000000003</v>
      </c>
      <c r="DF89" s="228">
        <v>33.700000000000003</v>
      </c>
      <c r="DG89" s="228">
        <v>2.61</v>
      </c>
      <c r="DH89" s="228">
        <v>0</v>
      </c>
      <c r="DI89" s="228">
        <v>36.89</v>
      </c>
      <c r="DJ89" s="228">
        <v>32.729999999999997</v>
      </c>
      <c r="DK89" s="228">
        <v>4.16</v>
      </c>
      <c r="DL89" s="228">
        <v>4.16</v>
      </c>
      <c r="DM89" s="228">
        <v>35.25</v>
      </c>
      <c r="DN89" s="228">
        <v>31.47</v>
      </c>
      <c r="DO89" s="228">
        <v>3.78</v>
      </c>
      <c r="DP89" s="228">
        <v>3.78</v>
      </c>
      <c r="DQ89" s="228">
        <v>0.68</v>
      </c>
      <c r="DR89" s="228">
        <v>0.7</v>
      </c>
      <c r="DS89" s="228">
        <v>-0.02</v>
      </c>
      <c r="DT89" s="229">
        <v>-2.86E-2</v>
      </c>
      <c r="DU89" s="228">
        <v>75</v>
      </c>
      <c r="DV89" s="228">
        <v>70</v>
      </c>
      <c r="DW89" s="228">
        <v>0.55000000000000004</v>
      </c>
      <c r="DX89" s="228">
        <v>0.57999999999999996</v>
      </c>
      <c r="DY89" s="228">
        <v>-0.03</v>
      </c>
      <c r="DZ89" s="229">
        <v>-5.1700000000000003E-2</v>
      </c>
      <c r="EA89" s="229">
        <v>0.13189999999999999</v>
      </c>
      <c r="EB89" s="230">
        <v>40772900</v>
      </c>
      <c r="EC89" s="229">
        <v>5.7000000000000002E-3</v>
      </c>
      <c r="ED89" s="229">
        <v>0.13189999999999999</v>
      </c>
      <c r="EE89" s="228">
        <v>0.4</v>
      </c>
      <c r="EF89" s="229">
        <v>5.4999999999999997E-3</v>
      </c>
      <c r="EG89" s="230">
        <v>15576754</v>
      </c>
      <c r="EH89" s="230">
        <v>13950108</v>
      </c>
      <c r="EI89" s="229">
        <v>0.1166</v>
      </c>
      <c r="EJ89" s="229">
        <v>0.5464</v>
      </c>
      <c r="EK89" s="231">
        <v>1065.0899999999999</v>
      </c>
      <c r="EL89" s="228">
        <v>552.87</v>
      </c>
      <c r="EM89" s="228">
        <v>706.29</v>
      </c>
      <c r="EN89" s="228">
        <v>61.31</v>
      </c>
      <c r="EO89" s="231">
        <v>2324.25</v>
      </c>
      <c r="EP89" s="231">
        <v>1281.8</v>
      </c>
      <c r="EQ89" s="231">
        <v>1042.45</v>
      </c>
      <c r="ER89" s="229">
        <v>0.81330000000000002</v>
      </c>
      <c r="ES89" s="231">
        <v>1194.78</v>
      </c>
      <c r="ET89" s="228">
        <v>747.56</v>
      </c>
      <c r="EU89" s="231">
        <v>2951.48</v>
      </c>
      <c r="EV89" s="231">
        <v>761294821</v>
      </c>
      <c r="EW89" s="231">
        <v>4893.83</v>
      </c>
      <c r="EX89" s="231">
        <v>4748.2</v>
      </c>
      <c r="EY89" s="228">
        <v>145.63</v>
      </c>
      <c r="EZ89" s="229">
        <v>3.0700000000000002E-2</v>
      </c>
      <c r="FA89" s="229">
        <v>0.88660000000000005</v>
      </c>
      <c r="FB89" s="227" t="s">
        <v>567</v>
      </c>
      <c r="FC89">
        <f t="shared" si="1"/>
        <v>389</v>
      </c>
    </row>
    <row r="90" spans="1:159" ht="17.25" thickBot="1" x14ac:dyDescent="0.3">
      <c r="A90" s="226">
        <v>45946</v>
      </c>
      <c r="B90" s="227" t="s">
        <v>161</v>
      </c>
      <c r="C90" s="227" t="s">
        <v>514</v>
      </c>
      <c r="D90" s="228">
        <v>3750</v>
      </c>
      <c r="E90" s="228">
        <v>12</v>
      </c>
      <c r="F90" s="228">
        <v>135.04</v>
      </c>
      <c r="G90" s="228">
        <v>135.53</v>
      </c>
      <c r="H90" s="228">
        <v>-0.49</v>
      </c>
      <c r="I90" s="229">
        <v>-3.5999999999999999E-3</v>
      </c>
      <c r="J90" s="228">
        <v>134.79</v>
      </c>
      <c r="K90" s="228">
        <v>135.36000000000001</v>
      </c>
      <c r="L90" s="228">
        <v>-0.56999999999999995</v>
      </c>
      <c r="M90" s="229">
        <v>-4.1999999999999997E-3</v>
      </c>
      <c r="N90" s="228">
        <v>135.04</v>
      </c>
      <c r="O90" s="228">
        <v>135.53</v>
      </c>
      <c r="P90" s="228">
        <v>-0.49</v>
      </c>
      <c r="Q90" s="229">
        <v>-3.5999999999999999E-3</v>
      </c>
      <c r="R90" s="228">
        <v>135.81</v>
      </c>
      <c r="S90" s="228">
        <v>136.12</v>
      </c>
      <c r="T90" s="228">
        <v>-0.31</v>
      </c>
      <c r="U90" s="229">
        <v>-2.3E-3</v>
      </c>
      <c r="V90" s="228">
        <v>136.74</v>
      </c>
      <c r="W90" s="228">
        <v>137.25</v>
      </c>
      <c r="X90" s="228">
        <v>-0.51</v>
      </c>
      <c r="Y90" s="229">
        <v>-3.7000000000000002E-3</v>
      </c>
      <c r="Z90" s="228">
        <v>0.25</v>
      </c>
      <c r="AA90" s="228">
        <v>0.17</v>
      </c>
      <c r="AB90" s="228">
        <v>0.08</v>
      </c>
      <c r="AC90" s="229">
        <v>1.9E-3</v>
      </c>
      <c r="AD90" s="228">
        <v>0.25</v>
      </c>
      <c r="AE90" s="228">
        <v>0.17</v>
      </c>
      <c r="AF90" s="228">
        <v>0.08</v>
      </c>
      <c r="AG90" s="229">
        <v>1.9E-3</v>
      </c>
      <c r="AH90" s="228">
        <v>1.02</v>
      </c>
      <c r="AI90" s="228">
        <v>0.76</v>
      </c>
      <c r="AJ90" s="228">
        <v>0.26</v>
      </c>
      <c r="AK90" s="229">
        <v>7.6E-3</v>
      </c>
      <c r="AL90" s="228">
        <v>1.95</v>
      </c>
      <c r="AM90" s="228">
        <v>1.89</v>
      </c>
      <c r="AN90" s="228">
        <v>0.06</v>
      </c>
      <c r="AO90" s="229">
        <v>1.4500000000000001E-2</v>
      </c>
      <c r="AP90" s="228">
        <v>135.19999999999999</v>
      </c>
      <c r="AQ90" s="228">
        <v>135.85</v>
      </c>
      <c r="AR90" s="228">
        <v>0</v>
      </c>
      <c r="AS90" s="228">
        <v>163</v>
      </c>
      <c r="AT90" s="228">
        <v>375</v>
      </c>
      <c r="AU90" s="228">
        <v>-213</v>
      </c>
      <c r="AV90" s="229">
        <v>-0.56630000000000003</v>
      </c>
      <c r="AW90" s="228">
        <v>123</v>
      </c>
      <c r="AX90" s="228">
        <v>243</v>
      </c>
      <c r="AY90" s="228">
        <v>-121</v>
      </c>
      <c r="AZ90" s="229">
        <v>-0.4955</v>
      </c>
      <c r="BA90" s="228">
        <v>36</v>
      </c>
      <c r="BB90" s="228">
        <v>130</v>
      </c>
      <c r="BC90" s="228">
        <v>-94</v>
      </c>
      <c r="BD90" s="229">
        <v>-0.72489999999999999</v>
      </c>
      <c r="BE90" s="228">
        <v>4</v>
      </c>
      <c r="BF90" s="228">
        <v>2</v>
      </c>
      <c r="BG90" s="228">
        <v>2</v>
      </c>
      <c r="BH90" s="229">
        <v>1.2104999999999999</v>
      </c>
      <c r="BI90" s="228">
        <v>374</v>
      </c>
      <c r="BJ90" s="228">
        <v>405</v>
      </c>
      <c r="BK90" s="228">
        <v>-31</v>
      </c>
      <c r="BL90" s="229">
        <v>-7.7700000000000005E-2</v>
      </c>
      <c r="BM90" s="228">
        <v>220</v>
      </c>
      <c r="BN90" s="228">
        <v>278</v>
      </c>
      <c r="BO90" s="228">
        <v>-58</v>
      </c>
      <c r="BP90" s="229">
        <v>-0.20930000000000001</v>
      </c>
      <c r="BQ90" s="228">
        <v>756</v>
      </c>
      <c r="BR90" s="230">
        <v>1059</v>
      </c>
      <c r="BS90" s="228">
        <v>-302</v>
      </c>
      <c r="BT90" s="229">
        <v>-0.28549999999999998</v>
      </c>
      <c r="BU90" s="230">
        <v>7165844</v>
      </c>
      <c r="BV90" s="230">
        <v>5150425</v>
      </c>
      <c r="BW90" s="230">
        <v>2015419</v>
      </c>
      <c r="BX90" s="229">
        <v>0.39129999999999998</v>
      </c>
      <c r="BY90" s="228">
        <v>953</v>
      </c>
      <c r="BZ90" s="228">
        <v>912</v>
      </c>
      <c r="CA90" s="228">
        <v>41</v>
      </c>
      <c r="CB90" s="229">
        <v>4.5100000000000001E-2</v>
      </c>
      <c r="CC90" s="228">
        <v>780</v>
      </c>
      <c r="CD90" s="228">
        <v>755</v>
      </c>
      <c r="CE90" s="228">
        <v>25</v>
      </c>
      <c r="CF90" s="229">
        <v>3.3300000000000003E-2</v>
      </c>
      <c r="CG90" s="228">
        <v>158</v>
      </c>
      <c r="CH90" s="228">
        <v>144</v>
      </c>
      <c r="CI90" s="228">
        <v>14</v>
      </c>
      <c r="CJ90" s="229">
        <v>9.4200000000000006E-2</v>
      </c>
      <c r="CK90" s="228">
        <v>15</v>
      </c>
      <c r="CL90" s="228">
        <v>13</v>
      </c>
      <c r="CM90" s="228">
        <v>2</v>
      </c>
      <c r="CN90" s="229">
        <v>0.1865</v>
      </c>
      <c r="CO90" s="228">
        <v>550</v>
      </c>
      <c r="CP90" s="228">
        <v>520</v>
      </c>
      <c r="CQ90" s="228">
        <v>30</v>
      </c>
      <c r="CR90" s="229">
        <v>5.6899999999999999E-2</v>
      </c>
      <c r="CS90" s="228">
        <v>327</v>
      </c>
      <c r="CT90" s="228">
        <v>309</v>
      </c>
      <c r="CU90" s="228">
        <v>18</v>
      </c>
      <c r="CV90" s="229">
        <v>5.7599999999999998E-2</v>
      </c>
      <c r="CW90" s="230">
        <v>1830</v>
      </c>
      <c r="CX90" s="230">
        <v>1741</v>
      </c>
      <c r="CY90" s="228">
        <v>89</v>
      </c>
      <c r="CZ90" s="229">
        <v>5.0799999999999998E-2</v>
      </c>
      <c r="DA90" s="228">
        <v>37.21</v>
      </c>
      <c r="DB90" s="228">
        <v>35.590000000000003</v>
      </c>
      <c r="DC90" s="228">
        <v>1.62</v>
      </c>
      <c r="DD90" s="228">
        <v>1.62</v>
      </c>
      <c r="DE90" s="228">
        <v>57.15</v>
      </c>
      <c r="DF90" s="228">
        <v>57.29</v>
      </c>
      <c r="DG90" s="228">
        <v>-19.940000000000001</v>
      </c>
      <c r="DH90" s="228">
        <v>-0.14000000000000001</v>
      </c>
      <c r="DI90" s="228">
        <v>37.520000000000003</v>
      </c>
      <c r="DJ90" s="228">
        <v>36.97</v>
      </c>
      <c r="DK90" s="228">
        <v>0.55000000000000004</v>
      </c>
      <c r="DL90" s="228">
        <v>0.55000000000000004</v>
      </c>
      <c r="DM90" s="228">
        <v>36.69</v>
      </c>
      <c r="DN90" s="228">
        <v>33.590000000000003</v>
      </c>
      <c r="DO90" s="228">
        <v>3.1</v>
      </c>
      <c r="DP90" s="228">
        <v>3.1</v>
      </c>
      <c r="DQ90" s="228">
        <v>0.59</v>
      </c>
      <c r="DR90" s="228">
        <v>0.59</v>
      </c>
      <c r="DS90" s="228">
        <v>0</v>
      </c>
      <c r="DT90" s="229">
        <v>0</v>
      </c>
      <c r="DU90" s="228">
        <v>150</v>
      </c>
      <c r="DV90" s="228">
        <v>140</v>
      </c>
      <c r="DW90" s="228">
        <v>0.59</v>
      </c>
      <c r="DX90" s="228">
        <v>0.69</v>
      </c>
      <c r="DY90" s="228">
        <v>-0.1</v>
      </c>
      <c r="DZ90" s="229">
        <v>-0.1449</v>
      </c>
      <c r="EA90" s="229">
        <v>0.18140000000000001</v>
      </c>
      <c r="EB90" s="230">
        <v>11617500</v>
      </c>
      <c r="EC90" s="229">
        <v>5.7000000000000002E-3</v>
      </c>
      <c r="ED90" s="229">
        <v>0.18140000000000001</v>
      </c>
      <c r="EE90" s="228">
        <v>0.65</v>
      </c>
      <c r="EF90" s="229">
        <v>4.7999999999999996E-3</v>
      </c>
      <c r="EG90" s="230">
        <v>2607746</v>
      </c>
      <c r="EH90" s="230">
        <v>2078995</v>
      </c>
      <c r="EI90" s="229">
        <v>0.25430000000000003</v>
      </c>
      <c r="EJ90" s="229">
        <v>0.3639</v>
      </c>
      <c r="EK90" s="228">
        <v>394.73</v>
      </c>
      <c r="EL90" s="228">
        <v>222.01</v>
      </c>
      <c r="EM90" s="228">
        <v>163.22</v>
      </c>
      <c r="EN90" s="228">
        <v>29.65</v>
      </c>
      <c r="EO90" s="228">
        <v>779.96</v>
      </c>
      <c r="EP90" s="231">
        <v>1095.1099999999999</v>
      </c>
      <c r="EQ90" s="228">
        <v>-315.14999999999998</v>
      </c>
      <c r="ER90" s="229">
        <v>-0.2878</v>
      </c>
      <c r="ES90" s="228">
        <v>597.80999999999995</v>
      </c>
      <c r="ET90" s="228">
        <v>339.09</v>
      </c>
      <c r="EU90" s="228">
        <v>953.68</v>
      </c>
      <c r="EV90" s="231">
        <v>133395043</v>
      </c>
      <c r="EW90" s="231">
        <v>1890.58</v>
      </c>
      <c r="EX90" s="231">
        <v>1805.81</v>
      </c>
      <c r="EY90" s="228">
        <v>84.77</v>
      </c>
      <c r="EZ90" s="229">
        <v>4.6899999999999997E-2</v>
      </c>
      <c r="FA90" s="229">
        <v>1.0158</v>
      </c>
      <c r="FB90" s="227" t="s">
        <v>567</v>
      </c>
      <c r="FC90">
        <f t="shared" si="1"/>
        <v>173</v>
      </c>
    </row>
    <row r="91" spans="1:159" ht="17.25" thickBot="1" x14ac:dyDescent="0.3">
      <c r="A91" s="226">
        <v>45946</v>
      </c>
      <c r="B91" s="227" t="s">
        <v>193</v>
      </c>
      <c r="C91" s="227" t="s">
        <v>236</v>
      </c>
      <c r="D91" s="228">
        <v>2750</v>
      </c>
      <c r="E91" s="228">
        <v>12</v>
      </c>
      <c r="F91" s="228">
        <v>213.87</v>
      </c>
      <c r="G91" s="228">
        <v>212.31</v>
      </c>
      <c r="H91" s="228">
        <v>1.56</v>
      </c>
      <c r="I91" s="229">
        <v>7.3000000000000001E-3</v>
      </c>
      <c r="J91" s="228">
        <v>213.67</v>
      </c>
      <c r="K91" s="228">
        <v>211.94</v>
      </c>
      <c r="L91" s="228">
        <v>1.73</v>
      </c>
      <c r="M91" s="229">
        <v>8.2000000000000007E-3</v>
      </c>
      <c r="N91" s="228">
        <v>213.87</v>
      </c>
      <c r="O91" s="228">
        <v>212.31</v>
      </c>
      <c r="P91" s="228">
        <v>1.56</v>
      </c>
      <c r="Q91" s="229">
        <v>7.3000000000000001E-3</v>
      </c>
      <c r="R91" s="228">
        <v>212.95</v>
      </c>
      <c r="S91" s="228">
        <v>211.66</v>
      </c>
      <c r="T91" s="228">
        <v>1.29</v>
      </c>
      <c r="U91" s="229">
        <v>6.1000000000000004E-3</v>
      </c>
      <c r="V91" s="228">
        <v>0</v>
      </c>
      <c r="W91" s="228">
        <v>0</v>
      </c>
      <c r="X91" s="228">
        <v>0</v>
      </c>
      <c r="Y91" s="229">
        <v>0</v>
      </c>
      <c r="Z91" s="228">
        <v>0.2</v>
      </c>
      <c r="AA91" s="228">
        <v>0.37</v>
      </c>
      <c r="AB91" s="228">
        <v>-0.17</v>
      </c>
      <c r="AC91" s="229">
        <v>8.9999999999999998E-4</v>
      </c>
      <c r="AD91" s="228">
        <v>0.2</v>
      </c>
      <c r="AE91" s="228">
        <v>0.37</v>
      </c>
      <c r="AF91" s="228">
        <v>-0.17</v>
      </c>
      <c r="AG91" s="229">
        <v>8.9999999999999998E-4</v>
      </c>
      <c r="AH91" s="228">
        <v>-0.72</v>
      </c>
      <c r="AI91" s="228">
        <v>-0.28000000000000003</v>
      </c>
      <c r="AJ91" s="228">
        <v>-0.44</v>
      </c>
      <c r="AK91" s="229">
        <v>-3.3999999999999998E-3</v>
      </c>
      <c r="AL91" s="228">
        <v>0</v>
      </c>
      <c r="AM91" s="228">
        <v>0</v>
      </c>
      <c r="AN91" s="228">
        <v>0</v>
      </c>
      <c r="AO91" s="229">
        <v>0</v>
      </c>
      <c r="AP91" s="228">
        <v>213.29</v>
      </c>
      <c r="AQ91" s="228">
        <v>212.44</v>
      </c>
      <c r="AR91" s="228">
        <v>0</v>
      </c>
      <c r="AS91" s="228">
        <v>69</v>
      </c>
      <c r="AT91" s="228">
        <v>130</v>
      </c>
      <c r="AU91" s="228">
        <v>-61</v>
      </c>
      <c r="AV91" s="229">
        <v>-0.46899999999999997</v>
      </c>
      <c r="AW91" s="228">
        <v>59</v>
      </c>
      <c r="AX91" s="228">
        <v>113</v>
      </c>
      <c r="AY91" s="228">
        <v>-54</v>
      </c>
      <c r="AZ91" s="229">
        <v>-0.47989999999999999</v>
      </c>
      <c r="BA91" s="228">
        <v>10</v>
      </c>
      <c r="BB91" s="228">
        <v>17</v>
      </c>
      <c r="BC91" s="228">
        <v>-7</v>
      </c>
      <c r="BD91" s="229">
        <v>-0.39579999999999999</v>
      </c>
      <c r="BE91" s="228">
        <v>0</v>
      </c>
      <c r="BF91" s="228">
        <v>0</v>
      </c>
      <c r="BG91" s="228">
        <v>0</v>
      </c>
      <c r="BH91" s="229">
        <v>0</v>
      </c>
      <c r="BI91" s="228">
        <v>167</v>
      </c>
      <c r="BJ91" s="228">
        <v>327</v>
      </c>
      <c r="BK91" s="228">
        <v>-160</v>
      </c>
      <c r="BL91" s="229">
        <v>-0.48899999999999999</v>
      </c>
      <c r="BM91" s="228">
        <v>69</v>
      </c>
      <c r="BN91" s="228">
        <v>156</v>
      </c>
      <c r="BO91" s="228">
        <v>-87</v>
      </c>
      <c r="BP91" s="229">
        <v>-0.55920000000000003</v>
      </c>
      <c r="BQ91" s="228">
        <v>305</v>
      </c>
      <c r="BR91" s="228">
        <v>613</v>
      </c>
      <c r="BS91" s="228">
        <v>-308</v>
      </c>
      <c r="BT91" s="229">
        <v>-0.50260000000000005</v>
      </c>
      <c r="BU91" s="230">
        <v>2227359</v>
      </c>
      <c r="BV91" s="230">
        <v>2304370</v>
      </c>
      <c r="BW91" s="230">
        <v>-77011</v>
      </c>
      <c r="BX91" s="229">
        <v>-3.3399999999999999E-2</v>
      </c>
      <c r="BY91" s="228">
        <v>436</v>
      </c>
      <c r="BZ91" s="228">
        <v>435</v>
      </c>
      <c r="CA91" s="228">
        <v>1</v>
      </c>
      <c r="CB91" s="229">
        <v>2.5999999999999999E-3</v>
      </c>
      <c r="CC91" s="228">
        <v>395</v>
      </c>
      <c r="CD91" s="228">
        <v>397</v>
      </c>
      <c r="CE91" s="228">
        <v>-2</v>
      </c>
      <c r="CF91" s="229">
        <v>-4.1000000000000003E-3</v>
      </c>
      <c r="CG91" s="228">
        <v>41</v>
      </c>
      <c r="CH91" s="228">
        <v>38</v>
      </c>
      <c r="CI91" s="228">
        <v>3</v>
      </c>
      <c r="CJ91" s="229">
        <v>7.1900000000000006E-2</v>
      </c>
      <c r="CK91" s="228">
        <v>0</v>
      </c>
      <c r="CL91" s="228">
        <v>0</v>
      </c>
      <c r="CM91" s="228">
        <v>0</v>
      </c>
      <c r="CN91" s="229">
        <v>0</v>
      </c>
      <c r="CO91" s="228">
        <v>428</v>
      </c>
      <c r="CP91" s="228">
        <v>423</v>
      </c>
      <c r="CQ91" s="228">
        <v>5</v>
      </c>
      <c r="CR91" s="229">
        <v>1.24E-2</v>
      </c>
      <c r="CS91" s="228">
        <v>215</v>
      </c>
      <c r="CT91" s="228">
        <v>215</v>
      </c>
      <c r="CU91" s="228">
        <v>0</v>
      </c>
      <c r="CV91" s="229">
        <v>-1.9E-3</v>
      </c>
      <c r="CW91" s="230">
        <v>1080</v>
      </c>
      <c r="CX91" s="230">
        <v>1074</v>
      </c>
      <c r="CY91" s="228">
        <v>6</v>
      </c>
      <c r="CZ91" s="229">
        <v>5.4999999999999997E-3</v>
      </c>
      <c r="DA91" s="228">
        <v>30.85</v>
      </c>
      <c r="DB91" s="228">
        <v>31.88</v>
      </c>
      <c r="DC91" s="228">
        <v>-1.03</v>
      </c>
      <c r="DD91" s="228">
        <v>-1.03</v>
      </c>
      <c r="DE91" s="228">
        <v>41.95</v>
      </c>
      <c r="DF91" s="228">
        <v>42.04</v>
      </c>
      <c r="DG91" s="228">
        <v>-11.1</v>
      </c>
      <c r="DH91" s="228">
        <v>-0.09</v>
      </c>
      <c r="DI91" s="228">
        <v>31.15</v>
      </c>
      <c r="DJ91" s="228">
        <v>31.92</v>
      </c>
      <c r="DK91" s="228">
        <v>-0.77</v>
      </c>
      <c r="DL91" s="228">
        <v>-0.77</v>
      </c>
      <c r="DM91" s="228">
        <v>30.1</v>
      </c>
      <c r="DN91" s="228">
        <v>31.81</v>
      </c>
      <c r="DO91" s="228">
        <v>-1.71</v>
      </c>
      <c r="DP91" s="228">
        <v>-1.71</v>
      </c>
      <c r="DQ91" s="228">
        <v>0.5</v>
      </c>
      <c r="DR91" s="228">
        <v>0.51</v>
      </c>
      <c r="DS91" s="228">
        <v>-0.01</v>
      </c>
      <c r="DT91" s="229">
        <v>-1.9599999999999999E-2</v>
      </c>
      <c r="DU91" s="228">
        <v>220</v>
      </c>
      <c r="DV91" s="228">
        <v>200</v>
      </c>
      <c r="DW91" s="228">
        <v>0.41</v>
      </c>
      <c r="DX91" s="228">
        <v>0.48</v>
      </c>
      <c r="DY91" s="228">
        <v>-7.0000000000000007E-2</v>
      </c>
      <c r="DZ91" s="229">
        <v>-0.14580000000000001</v>
      </c>
      <c r="EA91" s="229">
        <v>9.4500000000000001E-2</v>
      </c>
      <c r="EB91" s="230">
        <v>1798500</v>
      </c>
      <c r="EC91" s="229">
        <v>-4.3E-3</v>
      </c>
      <c r="ED91" s="229">
        <v>9.4500000000000001E-2</v>
      </c>
      <c r="EE91" s="228">
        <v>-0.85</v>
      </c>
      <c r="EF91" s="229">
        <v>-4.0000000000000001E-3</v>
      </c>
      <c r="EG91" s="230">
        <v>1328874</v>
      </c>
      <c r="EH91" s="230">
        <v>1218759</v>
      </c>
      <c r="EI91" s="229">
        <v>9.0399999999999994E-2</v>
      </c>
      <c r="EJ91" s="229">
        <v>0.59660000000000002</v>
      </c>
      <c r="EK91" s="228">
        <v>174.72</v>
      </c>
      <c r="EL91" s="228">
        <v>68.83</v>
      </c>
      <c r="EM91" s="228">
        <v>68.7</v>
      </c>
      <c r="EN91" s="228">
        <v>17.98</v>
      </c>
      <c r="EO91" s="228">
        <v>312.25</v>
      </c>
      <c r="EP91" s="228">
        <v>624.65</v>
      </c>
      <c r="EQ91" s="228">
        <v>-312.39999999999998</v>
      </c>
      <c r="ER91" s="229">
        <v>-0.50009999999999999</v>
      </c>
      <c r="ES91" s="228">
        <v>450.18</v>
      </c>
      <c r="ET91" s="228">
        <v>210.54</v>
      </c>
      <c r="EU91" s="228">
        <v>436.28</v>
      </c>
      <c r="EV91" s="231">
        <v>94000476</v>
      </c>
      <c r="EW91" s="231">
        <v>1097</v>
      </c>
      <c r="EX91" s="231">
        <v>1087.2</v>
      </c>
      <c r="EY91" s="228">
        <v>9.8000000000000007</v>
      </c>
      <c r="EZ91" s="229">
        <v>8.9999999999999993E-3</v>
      </c>
      <c r="FA91" s="229">
        <v>0.53710000000000002</v>
      </c>
      <c r="FB91" s="227" t="s">
        <v>555</v>
      </c>
      <c r="FC91">
        <f t="shared" si="1"/>
        <v>41</v>
      </c>
    </row>
    <row r="92" spans="1:159" ht="17.25" thickBot="1" x14ac:dyDescent="0.3">
      <c r="A92" s="226">
        <v>45946</v>
      </c>
      <c r="B92" s="227" t="s">
        <v>175</v>
      </c>
      <c r="C92" s="227" t="s">
        <v>667</v>
      </c>
      <c r="D92" s="228">
        <v>1650</v>
      </c>
      <c r="E92" s="228">
        <v>12</v>
      </c>
      <c r="F92" s="228">
        <v>501.55</v>
      </c>
      <c r="G92" s="228">
        <v>507.75</v>
      </c>
      <c r="H92" s="228">
        <v>-6.2</v>
      </c>
      <c r="I92" s="229">
        <v>-1.2200000000000001E-2</v>
      </c>
      <c r="J92" s="228">
        <v>499.9</v>
      </c>
      <c r="K92" s="228">
        <v>506.25</v>
      </c>
      <c r="L92" s="228">
        <v>-6.35</v>
      </c>
      <c r="M92" s="229">
        <v>-1.2500000000000001E-2</v>
      </c>
      <c r="N92" s="228">
        <v>501.55</v>
      </c>
      <c r="O92" s="228">
        <v>507.75</v>
      </c>
      <c r="P92" s="228">
        <v>-6.2</v>
      </c>
      <c r="Q92" s="229">
        <v>-1.2200000000000001E-2</v>
      </c>
      <c r="R92" s="228">
        <v>503.8</v>
      </c>
      <c r="S92" s="228">
        <v>510.3</v>
      </c>
      <c r="T92" s="228">
        <v>-6.5</v>
      </c>
      <c r="U92" s="229">
        <v>-1.2699999999999999E-2</v>
      </c>
      <c r="V92" s="228">
        <v>506</v>
      </c>
      <c r="W92" s="228">
        <v>512</v>
      </c>
      <c r="X92" s="228">
        <v>-6</v>
      </c>
      <c r="Y92" s="229">
        <v>-1.17E-2</v>
      </c>
      <c r="Z92" s="228">
        <v>1.65</v>
      </c>
      <c r="AA92" s="228">
        <v>1.5</v>
      </c>
      <c r="AB92" s="228">
        <v>0.15</v>
      </c>
      <c r="AC92" s="229">
        <v>3.3E-3</v>
      </c>
      <c r="AD92" s="228">
        <v>1.65</v>
      </c>
      <c r="AE92" s="228">
        <v>1.5</v>
      </c>
      <c r="AF92" s="228">
        <v>0.15</v>
      </c>
      <c r="AG92" s="229">
        <v>3.3E-3</v>
      </c>
      <c r="AH92" s="228">
        <v>3.9</v>
      </c>
      <c r="AI92" s="228">
        <v>4.05</v>
      </c>
      <c r="AJ92" s="228">
        <v>-0.15</v>
      </c>
      <c r="AK92" s="229">
        <v>7.7999999999999996E-3</v>
      </c>
      <c r="AL92" s="228">
        <v>6.1</v>
      </c>
      <c r="AM92" s="228">
        <v>5.75</v>
      </c>
      <c r="AN92" s="228">
        <v>0.35</v>
      </c>
      <c r="AO92" s="229">
        <v>1.2200000000000001E-2</v>
      </c>
      <c r="AP92" s="228">
        <v>503.96</v>
      </c>
      <c r="AQ92" s="228">
        <v>505.95</v>
      </c>
      <c r="AR92" s="228">
        <v>0</v>
      </c>
      <c r="AS92" s="228">
        <v>107</v>
      </c>
      <c r="AT92" s="228">
        <v>276</v>
      </c>
      <c r="AU92" s="228">
        <v>-169</v>
      </c>
      <c r="AV92" s="229">
        <v>-0.61270000000000002</v>
      </c>
      <c r="AW92" s="228">
        <v>94</v>
      </c>
      <c r="AX92" s="228">
        <v>261</v>
      </c>
      <c r="AY92" s="228">
        <v>-168</v>
      </c>
      <c r="AZ92" s="229">
        <v>-0.64100000000000001</v>
      </c>
      <c r="BA92" s="228">
        <v>12</v>
      </c>
      <c r="BB92" s="228">
        <v>14</v>
      </c>
      <c r="BC92" s="228">
        <v>-1</v>
      </c>
      <c r="BD92" s="229">
        <v>-9.1499999999999998E-2</v>
      </c>
      <c r="BE92" s="228">
        <v>1</v>
      </c>
      <c r="BF92" s="228">
        <v>1</v>
      </c>
      <c r="BG92" s="228">
        <v>0</v>
      </c>
      <c r="BH92" s="229">
        <v>-0.2</v>
      </c>
      <c r="BI92" s="228">
        <v>213</v>
      </c>
      <c r="BJ92" s="228">
        <v>897</v>
      </c>
      <c r="BK92" s="228">
        <v>-684</v>
      </c>
      <c r="BL92" s="229">
        <v>-0.76290000000000002</v>
      </c>
      <c r="BM92" s="228">
        <v>106</v>
      </c>
      <c r="BN92" s="228">
        <v>351</v>
      </c>
      <c r="BO92" s="228">
        <v>-246</v>
      </c>
      <c r="BP92" s="229">
        <v>-0.69940000000000002</v>
      </c>
      <c r="BQ92" s="228">
        <v>425</v>
      </c>
      <c r="BR92" s="230">
        <v>1524</v>
      </c>
      <c r="BS92" s="230">
        <v>-1099</v>
      </c>
      <c r="BT92" s="229">
        <v>-0.72109999999999996</v>
      </c>
      <c r="BU92" s="230">
        <v>1192907</v>
      </c>
      <c r="BV92" s="230">
        <v>2507731</v>
      </c>
      <c r="BW92" s="230">
        <v>-1314824</v>
      </c>
      <c r="BX92" s="229">
        <v>-0.52429999999999999</v>
      </c>
      <c r="BY92" s="228">
        <v>800</v>
      </c>
      <c r="BZ92" s="228">
        <v>807</v>
      </c>
      <c r="CA92" s="228">
        <v>-7</v>
      </c>
      <c r="CB92" s="229">
        <v>-8.9999999999999993E-3</v>
      </c>
      <c r="CC92" s="228">
        <v>777</v>
      </c>
      <c r="CD92" s="228">
        <v>788</v>
      </c>
      <c r="CE92" s="228">
        <v>-11</v>
      </c>
      <c r="CF92" s="229">
        <v>-1.4200000000000001E-2</v>
      </c>
      <c r="CG92" s="228">
        <v>20</v>
      </c>
      <c r="CH92" s="228">
        <v>16</v>
      </c>
      <c r="CI92" s="228">
        <v>4</v>
      </c>
      <c r="CJ92" s="229">
        <v>0.23469999999999999</v>
      </c>
      <c r="CK92" s="228">
        <v>3</v>
      </c>
      <c r="CL92" s="228">
        <v>3</v>
      </c>
      <c r="CM92" s="228">
        <v>0</v>
      </c>
      <c r="CN92" s="229">
        <v>2.7799999999999998E-2</v>
      </c>
      <c r="CO92" s="228">
        <v>223</v>
      </c>
      <c r="CP92" s="228">
        <v>221</v>
      </c>
      <c r="CQ92" s="228">
        <v>2</v>
      </c>
      <c r="CR92" s="229">
        <v>7.4999999999999997E-3</v>
      </c>
      <c r="CS92" s="228">
        <v>157</v>
      </c>
      <c r="CT92" s="228">
        <v>167</v>
      </c>
      <c r="CU92" s="228">
        <v>-10</v>
      </c>
      <c r="CV92" s="229">
        <v>-6.0400000000000002E-2</v>
      </c>
      <c r="CW92" s="230">
        <v>1180</v>
      </c>
      <c r="CX92" s="230">
        <v>1196</v>
      </c>
      <c r="CY92" s="228">
        <v>-16</v>
      </c>
      <c r="CZ92" s="229">
        <v>-1.3100000000000001E-2</v>
      </c>
      <c r="DA92" s="228">
        <v>32.25</v>
      </c>
      <c r="DB92" s="228">
        <v>33.5</v>
      </c>
      <c r="DC92" s="228">
        <v>-1.25</v>
      </c>
      <c r="DD92" s="228">
        <v>-1.25</v>
      </c>
      <c r="DE92" s="228">
        <v>52.47</v>
      </c>
      <c r="DF92" s="228">
        <v>52.57</v>
      </c>
      <c r="DG92" s="228">
        <v>-20.22</v>
      </c>
      <c r="DH92" s="228">
        <v>-0.1</v>
      </c>
      <c r="DI92" s="228">
        <v>32.090000000000003</v>
      </c>
      <c r="DJ92" s="228">
        <v>33.020000000000003</v>
      </c>
      <c r="DK92" s="228">
        <v>-0.93</v>
      </c>
      <c r="DL92" s="228">
        <v>-0.93</v>
      </c>
      <c r="DM92" s="228">
        <v>32.590000000000003</v>
      </c>
      <c r="DN92" s="228">
        <v>34.71</v>
      </c>
      <c r="DO92" s="228">
        <v>-2.12</v>
      </c>
      <c r="DP92" s="228">
        <v>-2.12</v>
      </c>
      <c r="DQ92" s="228">
        <v>0.7</v>
      </c>
      <c r="DR92" s="228">
        <v>0.75</v>
      </c>
      <c r="DS92" s="228">
        <v>-0.05</v>
      </c>
      <c r="DT92" s="229">
        <v>-6.6699999999999995E-2</v>
      </c>
      <c r="DU92" s="228">
        <v>520</v>
      </c>
      <c r="DV92" s="228">
        <v>480</v>
      </c>
      <c r="DW92" s="228">
        <v>0.5</v>
      </c>
      <c r="DX92" s="228">
        <v>0.39</v>
      </c>
      <c r="DY92" s="228">
        <v>0.11</v>
      </c>
      <c r="DZ92" s="229">
        <v>0.28210000000000002</v>
      </c>
      <c r="EA92" s="229">
        <v>2.8899999999999999E-2</v>
      </c>
      <c r="EB92" s="230">
        <v>382800</v>
      </c>
      <c r="EC92" s="229">
        <v>4.4999999999999997E-3</v>
      </c>
      <c r="ED92" s="229">
        <v>2.8899999999999999E-2</v>
      </c>
      <c r="EE92" s="228">
        <v>1.99</v>
      </c>
      <c r="EF92" s="229">
        <v>3.8999999999999998E-3</v>
      </c>
      <c r="EG92" s="230">
        <v>644333</v>
      </c>
      <c r="EH92" s="230">
        <v>875504</v>
      </c>
      <c r="EI92" s="229">
        <v>-0.26400000000000001</v>
      </c>
      <c r="EJ92" s="229">
        <v>0.54010000000000002</v>
      </c>
      <c r="EK92" s="228">
        <v>222.37</v>
      </c>
      <c r="EL92" s="228">
        <v>103.56</v>
      </c>
      <c r="EM92" s="228">
        <v>107.41</v>
      </c>
      <c r="EN92" s="228">
        <v>24.3</v>
      </c>
      <c r="EO92" s="228">
        <v>433.33</v>
      </c>
      <c r="EP92" s="231">
        <v>1551.67</v>
      </c>
      <c r="EQ92" s="231">
        <v>-1118.3399999999999</v>
      </c>
      <c r="ER92" s="229">
        <v>-0.72070000000000001</v>
      </c>
      <c r="ES92" s="228">
        <v>224.5</v>
      </c>
      <c r="ET92" s="228">
        <v>145.21</v>
      </c>
      <c r="EU92" s="228">
        <v>800.2</v>
      </c>
      <c r="EV92" s="231">
        <v>47888370</v>
      </c>
      <c r="EW92" s="231">
        <v>1169.9100000000001</v>
      </c>
      <c r="EX92" s="231">
        <v>1194.8599999999999</v>
      </c>
      <c r="EY92" s="228">
        <v>-24.95</v>
      </c>
      <c r="EZ92" s="229">
        <v>-2.0899999999999998E-2</v>
      </c>
      <c r="FA92" s="229">
        <v>0.4914</v>
      </c>
      <c r="FB92" s="227" t="s">
        <v>568</v>
      </c>
      <c r="FC92">
        <f t="shared" si="1"/>
        <v>23</v>
      </c>
    </row>
    <row r="93" spans="1:159" ht="17.25" thickBot="1" x14ac:dyDescent="0.3">
      <c r="A93" s="226">
        <v>45946</v>
      </c>
      <c r="B93" s="227" t="s">
        <v>206</v>
      </c>
      <c r="C93" s="227" t="s">
        <v>501</v>
      </c>
      <c r="D93" s="228">
        <v>1000</v>
      </c>
      <c r="E93" s="228">
        <v>12</v>
      </c>
      <c r="F93" s="228">
        <v>739.05</v>
      </c>
      <c r="G93" s="228">
        <v>731</v>
      </c>
      <c r="H93" s="228">
        <v>8.0500000000000007</v>
      </c>
      <c r="I93" s="229">
        <v>1.0999999999999999E-2</v>
      </c>
      <c r="J93" s="228">
        <v>738.05</v>
      </c>
      <c r="K93" s="228">
        <v>727.75</v>
      </c>
      <c r="L93" s="228">
        <v>10.3</v>
      </c>
      <c r="M93" s="229">
        <v>1.4200000000000001E-2</v>
      </c>
      <c r="N93" s="228">
        <v>739.05</v>
      </c>
      <c r="O93" s="228">
        <v>731</v>
      </c>
      <c r="P93" s="228">
        <v>8.0500000000000007</v>
      </c>
      <c r="Q93" s="229">
        <v>1.0999999999999999E-2</v>
      </c>
      <c r="R93" s="228">
        <v>743.1</v>
      </c>
      <c r="S93" s="228">
        <v>733.2</v>
      </c>
      <c r="T93" s="228">
        <v>9.9</v>
      </c>
      <c r="U93" s="229">
        <v>1.35E-2</v>
      </c>
      <c r="V93" s="228">
        <v>747.4</v>
      </c>
      <c r="W93" s="228">
        <v>738.95</v>
      </c>
      <c r="X93" s="228">
        <v>8.4499999999999993</v>
      </c>
      <c r="Y93" s="229">
        <v>1.14E-2</v>
      </c>
      <c r="Z93" s="228">
        <v>1</v>
      </c>
      <c r="AA93" s="228">
        <v>3.25</v>
      </c>
      <c r="AB93" s="228">
        <v>-2.25</v>
      </c>
      <c r="AC93" s="229">
        <v>1.4E-3</v>
      </c>
      <c r="AD93" s="228">
        <v>1</v>
      </c>
      <c r="AE93" s="228">
        <v>3.25</v>
      </c>
      <c r="AF93" s="228">
        <v>-2.25</v>
      </c>
      <c r="AG93" s="229">
        <v>1.4E-3</v>
      </c>
      <c r="AH93" s="228">
        <v>5.05</v>
      </c>
      <c r="AI93" s="228">
        <v>5.45</v>
      </c>
      <c r="AJ93" s="228">
        <v>-0.4</v>
      </c>
      <c r="AK93" s="229">
        <v>6.7999999999999996E-3</v>
      </c>
      <c r="AL93" s="228">
        <v>9.35</v>
      </c>
      <c r="AM93" s="228">
        <v>11.2</v>
      </c>
      <c r="AN93" s="228">
        <v>-1.85</v>
      </c>
      <c r="AO93" s="229">
        <v>1.2699999999999999E-2</v>
      </c>
      <c r="AP93" s="228">
        <v>738.54</v>
      </c>
      <c r="AQ93" s="228">
        <v>742.47</v>
      </c>
      <c r="AR93" s="228">
        <v>0</v>
      </c>
      <c r="AS93" s="228">
        <v>306</v>
      </c>
      <c r="AT93" s="228">
        <v>395</v>
      </c>
      <c r="AU93" s="228">
        <v>-89</v>
      </c>
      <c r="AV93" s="229">
        <v>-0.2258</v>
      </c>
      <c r="AW93" s="228">
        <v>269</v>
      </c>
      <c r="AX93" s="228">
        <v>330</v>
      </c>
      <c r="AY93" s="228">
        <v>-62</v>
      </c>
      <c r="AZ93" s="229">
        <v>-0.1865</v>
      </c>
      <c r="BA93" s="228">
        <v>33</v>
      </c>
      <c r="BB93" s="228">
        <v>59</v>
      </c>
      <c r="BC93" s="228">
        <v>-26</v>
      </c>
      <c r="BD93" s="229">
        <v>-0.44579999999999997</v>
      </c>
      <c r="BE93" s="228">
        <v>4</v>
      </c>
      <c r="BF93" s="228">
        <v>5</v>
      </c>
      <c r="BG93" s="228">
        <v>-1</v>
      </c>
      <c r="BH93" s="229">
        <v>-0.21129999999999999</v>
      </c>
      <c r="BI93" s="230">
        <v>1018</v>
      </c>
      <c r="BJ93" s="230">
        <v>1395</v>
      </c>
      <c r="BK93" s="228">
        <v>-376</v>
      </c>
      <c r="BL93" s="229">
        <v>-0.27</v>
      </c>
      <c r="BM93" s="228">
        <v>400</v>
      </c>
      <c r="BN93" s="228">
        <v>376</v>
      </c>
      <c r="BO93" s="228">
        <v>24</v>
      </c>
      <c r="BP93" s="229">
        <v>6.3500000000000001E-2</v>
      </c>
      <c r="BQ93" s="230">
        <v>1723</v>
      </c>
      <c r="BR93" s="230">
        <v>2165</v>
      </c>
      <c r="BS93" s="228">
        <v>-442</v>
      </c>
      <c r="BT93" s="229">
        <v>-0.20399999999999999</v>
      </c>
      <c r="BU93" s="230">
        <v>2969009</v>
      </c>
      <c r="BV93" s="230">
        <v>2970195</v>
      </c>
      <c r="BW93" s="230">
        <v>-1186</v>
      </c>
      <c r="BX93" s="229">
        <v>-4.0000000000000002E-4</v>
      </c>
      <c r="BY93" s="230">
        <v>2123</v>
      </c>
      <c r="BZ93" s="230">
        <v>2208</v>
      </c>
      <c r="CA93" s="228">
        <v>-86</v>
      </c>
      <c r="CB93" s="229">
        <v>-3.8899999999999997E-2</v>
      </c>
      <c r="CC93" s="230">
        <v>1983</v>
      </c>
      <c r="CD93" s="230">
        <v>2067</v>
      </c>
      <c r="CE93" s="228">
        <v>-84</v>
      </c>
      <c r="CF93" s="229">
        <v>-4.0800000000000003E-2</v>
      </c>
      <c r="CG93" s="228">
        <v>126</v>
      </c>
      <c r="CH93" s="228">
        <v>126</v>
      </c>
      <c r="CI93" s="228">
        <v>0</v>
      </c>
      <c r="CJ93" s="229">
        <v>2.8999999999999998E-3</v>
      </c>
      <c r="CK93" s="228">
        <v>14</v>
      </c>
      <c r="CL93" s="228">
        <v>16</v>
      </c>
      <c r="CM93" s="228">
        <v>-2</v>
      </c>
      <c r="CN93" s="229">
        <v>-0.1137</v>
      </c>
      <c r="CO93" s="230">
        <v>1091</v>
      </c>
      <c r="CP93" s="230">
        <v>1169</v>
      </c>
      <c r="CQ93" s="228">
        <v>-77</v>
      </c>
      <c r="CR93" s="229">
        <v>-6.6299999999999998E-2</v>
      </c>
      <c r="CS93" s="228">
        <v>532</v>
      </c>
      <c r="CT93" s="228">
        <v>562</v>
      </c>
      <c r="CU93" s="228">
        <v>-30</v>
      </c>
      <c r="CV93" s="229">
        <v>-5.28E-2</v>
      </c>
      <c r="CW93" s="230">
        <v>3746</v>
      </c>
      <c r="CX93" s="230">
        <v>3939</v>
      </c>
      <c r="CY93" s="228">
        <v>-193</v>
      </c>
      <c r="CZ93" s="229">
        <v>-4.9000000000000002E-2</v>
      </c>
      <c r="DA93" s="228">
        <v>23.16</v>
      </c>
      <c r="DB93" s="228">
        <v>25.65</v>
      </c>
      <c r="DC93" s="228">
        <v>-2.4900000000000002</v>
      </c>
      <c r="DD93" s="228">
        <v>-2.4900000000000002</v>
      </c>
      <c r="DE93" s="228">
        <v>35.54</v>
      </c>
      <c r="DF93" s="228">
        <v>35.57</v>
      </c>
      <c r="DG93" s="228">
        <v>-12.38</v>
      </c>
      <c r="DH93" s="228">
        <v>-0.03</v>
      </c>
      <c r="DI93" s="228">
        <v>23.2</v>
      </c>
      <c r="DJ93" s="228">
        <v>25.78</v>
      </c>
      <c r="DK93" s="228">
        <v>-2.58</v>
      </c>
      <c r="DL93" s="228">
        <v>-2.58</v>
      </c>
      <c r="DM93" s="228">
        <v>23.06</v>
      </c>
      <c r="DN93" s="228">
        <v>25.14</v>
      </c>
      <c r="DO93" s="228">
        <v>-2.08</v>
      </c>
      <c r="DP93" s="228">
        <v>-2.08</v>
      </c>
      <c r="DQ93" s="228">
        <v>0.49</v>
      </c>
      <c r="DR93" s="228">
        <v>0.48</v>
      </c>
      <c r="DS93" s="228">
        <v>0.01</v>
      </c>
      <c r="DT93" s="229">
        <v>2.0799999999999999E-2</v>
      </c>
      <c r="DU93" s="228">
        <v>800</v>
      </c>
      <c r="DV93" s="228">
        <v>730</v>
      </c>
      <c r="DW93" s="228">
        <v>0.39</v>
      </c>
      <c r="DX93" s="228">
        <v>0.27</v>
      </c>
      <c r="DY93" s="228">
        <v>0.12</v>
      </c>
      <c r="DZ93" s="229">
        <v>0.44440000000000002</v>
      </c>
      <c r="EA93" s="229">
        <v>6.5799999999999997E-2</v>
      </c>
      <c r="EB93" s="230">
        <v>1910000</v>
      </c>
      <c r="EC93" s="229">
        <v>5.4999999999999997E-3</v>
      </c>
      <c r="ED93" s="229">
        <v>6.5799999999999997E-2</v>
      </c>
      <c r="EE93" s="228">
        <v>3.93</v>
      </c>
      <c r="EF93" s="229">
        <v>5.3E-3</v>
      </c>
      <c r="EG93" s="230">
        <v>1878671</v>
      </c>
      <c r="EH93" s="230">
        <v>1832516</v>
      </c>
      <c r="EI93" s="229">
        <v>2.52E-2</v>
      </c>
      <c r="EJ93" s="229">
        <v>0.63280000000000003</v>
      </c>
      <c r="EK93" s="231">
        <v>1050.8900000000001</v>
      </c>
      <c r="EL93" s="228">
        <v>394.26</v>
      </c>
      <c r="EM93" s="228">
        <v>305.61</v>
      </c>
      <c r="EN93" s="228">
        <v>34.909999999999997</v>
      </c>
      <c r="EO93" s="231">
        <v>1750.75</v>
      </c>
      <c r="EP93" s="231">
        <v>2189.54</v>
      </c>
      <c r="EQ93" s="228">
        <v>-438.78</v>
      </c>
      <c r="ER93" s="229">
        <v>-0.20039999999999999</v>
      </c>
      <c r="ES93" s="231">
        <v>1139.92</v>
      </c>
      <c r="ET93" s="228">
        <v>526.23</v>
      </c>
      <c r="EU93" s="231">
        <v>2123.4699999999998</v>
      </c>
      <c r="EV93" s="231">
        <v>111956321</v>
      </c>
      <c r="EW93" s="231">
        <v>3789.61</v>
      </c>
      <c r="EX93" s="231">
        <v>3956.77</v>
      </c>
      <c r="EY93" s="228">
        <v>-167.16</v>
      </c>
      <c r="EZ93" s="229">
        <v>-4.2200000000000001E-2</v>
      </c>
      <c r="FA93" s="229">
        <v>0.45279999999999998</v>
      </c>
      <c r="FB93" s="227" t="s">
        <v>556</v>
      </c>
      <c r="FC93">
        <f t="shared" si="1"/>
        <v>140</v>
      </c>
    </row>
    <row r="94" spans="1:159" ht="17.25" thickBot="1" x14ac:dyDescent="0.3">
      <c r="A94" s="226">
        <v>45946</v>
      </c>
      <c r="B94" s="227" t="s">
        <v>172</v>
      </c>
      <c r="C94" s="227" t="s">
        <v>578</v>
      </c>
      <c r="D94" s="228">
        <v>1000</v>
      </c>
      <c r="E94" s="228">
        <v>12</v>
      </c>
      <c r="F94" s="228">
        <v>774.45</v>
      </c>
      <c r="G94" s="228">
        <v>778.15</v>
      </c>
      <c r="H94" s="228">
        <v>-3.7</v>
      </c>
      <c r="I94" s="229">
        <v>-4.7999999999999996E-3</v>
      </c>
      <c r="J94" s="228">
        <v>771.05</v>
      </c>
      <c r="K94" s="228">
        <v>775.3</v>
      </c>
      <c r="L94" s="228">
        <v>-4.25</v>
      </c>
      <c r="M94" s="229">
        <v>-5.4999999999999997E-3</v>
      </c>
      <c r="N94" s="228">
        <v>774.45</v>
      </c>
      <c r="O94" s="228">
        <v>778.15</v>
      </c>
      <c r="P94" s="228">
        <v>-3.7</v>
      </c>
      <c r="Q94" s="229">
        <v>-4.7999999999999996E-3</v>
      </c>
      <c r="R94" s="228">
        <v>774.85</v>
      </c>
      <c r="S94" s="228">
        <v>776.05</v>
      </c>
      <c r="T94" s="228">
        <v>-1.2</v>
      </c>
      <c r="U94" s="229">
        <v>-1.5E-3</v>
      </c>
      <c r="V94" s="228">
        <v>773.35</v>
      </c>
      <c r="W94" s="228">
        <v>774</v>
      </c>
      <c r="X94" s="228">
        <v>-0.65</v>
      </c>
      <c r="Y94" s="229">
        <v>-8.0000000000000004E-4</v>
      </c>
      <c r="Z94" s="228">
        <v>3.4</v>
      </c>
      <c r="AA94" s="228">
        <v>2.85</v>
      </c>
      <c r="AB94" s="228">
        <v>0.55000000000000004</v>
      </c>
      <c r="AC94" s="229">
        <v>4.4000000000000003E-3</v>
      </c>
      <c r="AD94" s="228">
        <v>3.4</v>
      </c>
      <c r="AE94" s="228">
        <v>2.85</v>
      </c>
      <c r="AF94" s="228">
        <v>0.55000000000000004</v>
      </c>
      <c r="AG94" s="229">
        <v>4.4000000000000003E-3</v>
      </c>
      <c r="AH94" s="228">
        <v>3.8</v>
      </c>
      <c r="AI94" s="228">
        <v>0.75</v>
      </c>
      <c r="AJ94" s="228">
        <v>3.05</v>
      </c>
      <c r="AK94" s="229">
        <v>4.8999999999999998E-3</v>
      </c>
      <c r="AL94" s="228">
        <v>2.2999999999999998</v>
      </c>
      <c r="AM94" s="228">
        <v>-1.3</v>
      </c>
      <c r="AN94" s="228">
        <v>3.6</v>
      </c>
      <c r="AO94" s="229">
        <v>3.0000000000000001E-3</v>
      </c>
      <c r="AP94" s="228">
        <v>783.85</v>
      </c>
      <c r="AQ94" s="228">
        <v>784.31</v>
      </c>
      <c r="AR94" s="228">
        <v>0</v>
      </c>
      <c r="AS94" s="228">
        <v>774</v>
      </c>
      <c r="AT94" s="228">
        <v>145</v>
      </c>
      <c r="AU94" s="228">
        <v>629</v>
      </c>
      <c r="AV94" s="229">
        <v>4.3484999999999996</v>
      </c>
      <c r="AW94" s="228">
        <v>693</v>
      </c>
      <c r="AX94" s="228">
        <v>137</v>
      </c>
      <c r="AY94" s="228">
        <v>556</v>
      </c>
      <c r="AZ94" s="229">
        <v>4.0594000000000001</v>
      </c>
      <c r="BA94" s="228">
        <v>78</v>
      </c>
      <c r="BB94" s="228">
        <v>8</v>
      </c>
      <c r="BC94" s="228">
        <v>71</v>
      </c>
      <c r="BD94" s="229">
        <v>9.4329999999999998</v>
      </c>
      <c r="BE94" s="228">
        <v>2</v>
      </c>
      <c r="BF94" s="228">
        <v>0</v>
      </c>
      <c r="BG94" s="228">
        <v>2</v>
      </c>
      <c r="BH94" s="229">
        <v>13.5</v>
      </c>
      <c r="BI94" s="230">
        <v>2732</v>
      </c>
      <c r="BJ94" s="228">
        <v>230</v>
      </c>
      <c r="BK94" s="230">
        <v>2501</v>
      </c>
      <c r="BL94" s="229">
        <v>10.864100000000001</v>
      </c>
      <c r="BM94" s="230">
        <v>1200</v>
      </c>
      <c r="BN94" s="228">
        <v>117</v>
      </c>
      <c r="BO94" s="230">
        <v>1084</v>
      </c>
      <c r="BP94" s="229">
        <v>9.2982999999999993</v>
      </c>
      <c r="BQ94" s="230">
        <v>4706</v>
      </c>
      <c r="BR94" s="228">
        <v>491</v>
      </c>
      <c r="BS94" s="230">
        <v>4214</v>
      </c>
      <c r="BT94" s="229">
        <v>8.5748999999999995</v>
      </c>
      <c r="BU94" s="230">
        <v>5385364</v>
      </c>
      <c r="BV94" s="230">
        <v>694232</v>
      </c>
      <c r="BW94" s="230">
        <v>4691132</v>
      </c>
      <c r="BX94" s="229">
        <v>6.7572999999999999</v>
      </c>
      <c r="BY94" s="228">
        <v>585</v>
      </c>
      <c r="BZ94" s="228">
        <v>574</v>
      </c>
      <c r="CA94" s="228">
        <v>11</v>
      </c>
      <c r="CB94" s="229">
        <v>1.89E-2</v>
      </c>
      <c r="CC94" s="228">
        <v>543</v>
      </c>
      <c r="CD94" s="228">
        <v>552</v>
      </c>
      <c r="CE94" s="228">
        <v>-9</v>
      </c>
      <c r="CF94" s="229">
        <v>-1.5900000000000001E-2</v>
      </c>
      <c r="CG94" s="228">
        <v>40</v>
      </c>
      <c r="CH94" s="228">
        <v>21</v>
      </c>
      <c r="CI94" s="228">
        <v>19</v>
      </c>
      <c r="CJ94" s="229">
        <v>0.90110000000000001</v>
      </c>
      <c r="CK94" s="228">
        <v>2</v>
      </c>
      <c r="CL94" s="228">
        <v>1</v>
      </c>
      <c r="CM94" s="228">
        <v>1</v>
      </c>
      <c r="CN94" s="229">
        <v>0.4375</v>
      </c>
      <c r="CO94" s="228">
        <v>436</v>
      </c>
      <c r="CP94" s="228">
        <v>262</v>
      </c>
      <c r="CQ94" s="228">
        <v>173</v>
      </c>
      <c r="CR94" s="229">
        <v>0.65980000000000005</v>
      </c>
      <c r="CS94" s="228">
        <v>270</v>
      </c>
      <c r="CT94" s="228">
        <v>229</v>
      </c>
      <c r="CU94" s="228">
        <v>41</v>
      </c>
      <c r="CV94" s="229">
        <v>0.17710000000000001</v>
      </c>
      <c r="CW94" s="230">
        <v>1290</v>
      </c>
      <c r="CX94" s="230">
        <v>1066</v>
      </c>
      <c r="CY94" s="228">
        <v>225</v>
      </c>
      <c r="CZ94" s="229">
        <v>0.2107</v>
      </c>
      <c r="DA94" s="228">
        <v>28.71</v>
      </c>
      <c r="DB94" s="228">
        <v>32.26</v>
      </c>
      <c r="DC94" s="228">
        <v>-3.55</v>
      </c>
      <c r="DD94" s="228">
        <v>-3.55</v>
      </c>
      <c r="DE94" s="228">
        <v>38.229999999999997</v>
      </c>
      <c r="DF94" s="228">
        <v>38.31</v>
      </c>
      <c r="DG94" s="228">
        <v>-9.52</v>
      </c>
      <c r="DH94" s="228">
        <v>-0.08</v>
      </c>
      <c r="DI94" s="228">
        <v>29.12</v>
      </c>
      <c r="DJ94" s="228">
        <v>31.87</v>
      </c>
      <c r="DK94" s="228">
        <v>-2.75</v>
      </c>
      <c r="DL94" s="228">
        <v>-2.75</v>
      </c>
      <c r="DM94" s="228">
        <v>27.77</v>
      </c>
      <c r="DN94" s="228">
        <v>33.04</v>
      </c>
      <c r="DO94" s="228">
        <v>-5.27</v>
      </c>
      <c r="DP94" s="228">
        <v>-5.27</v>
      </c>
      <c r="DQ94" s="228">
        <v>0.62</v>
      </c>
      <c r="DR94" s="228">
        <v>0.87</v>
      </c>
      <c r="DS94" s="228">
        <v>-0.25</v>
      </c>
      <c r="DT94" s="229">
        <v>-0.28739999999999999</v>
      </c>
      <c r="DU94" s="228">
        <v>800</v>
      </c>
      <c r="DV94" s="228">
        <v>750</v>
      </c>
      <c r="DW94" s="228">
        <v>0.44</v>
      </c>
      <c r="DX94" s="228">
        <v>0.51</v>
      </c>
      <c r="DY94" s="228">
        <v>-7.0000000000000007E-2</v>
      </c>
      <c r="DZ94" s="229">
        <v>-0.13730000000000001</v>
      </c>
      <c r="EA94" s="229">
        <v>7.17E-2</v>
      </c>
      <c r="EB94" s="230">
        <v>289000</v>
      </c>
      <c r="EC94" s="229">
        <v>5.0000000000000001E-4</v>
      </c>
      <c r="ED94" s="229">
        <v>7.17E-2</v>
      </c>
      <c r="EE94" s="228">
        <v>0.46</v>
      </c>
      <c r="EF94" s="229">
        <v>5.9999999999999995E-4</v>
      </c>
      <c r="EG94" s="230">
        <v>1505728</v>
      </c>
      <c r="EH94" s="230">
        <v>256754</v>
      </c>
      <c r="EI94" s="229">
        <v>4.8644999999999996</v>
      </c>
      <c r="EJ94" s="229">
        <v>0.27960000000000002</v>
      </c>
      <c r="EK94" s="231">
        <v>2877.62</v>
      </c>
      <c r="EL94" s="231">
        <v>1199.71</v>
      </c>
      <c r="EM94" s="228">
        <v>783.18</v>
      </c>
      <c r="EN94" s="228">
        <v>19.690000000000001</v>
      </c>
      <c r="EO94" s="231">
        <v>4860.51</v>
      </c>
      <c r="EP94" s="228">
        <v>500.66</v>
      </c>
      <c r="EQ94" s="231">
        <v>4359.8500000000004</v>
      </c>
      <c r="ER94" s="229">
        <v>8.7081999999999997</v>
      </c>
      <c r="ES94" s="228">
        <v>448.77</v>
      </c>
      <c r="ET94" s="228">
        <v>253.66</v>
      </c>
      <c r="EU94" s="228">
        <v>585.12</v>
      </c>
      <c r="EV94" s="231">
        <v>52862157</v>
      </c>
      <c r="EW94" s="231">
        <v>1287.55</v>
      </c>
      <c r="EX94" s="231">
        <v>1055.98</v>
      </c>
      <c r="EY94" s="228">
        <v>231.57</v>
      </c>
      <c r="EZ94" s="229">
        <v>0.21929999999999999</v>
      </c>
      <c r="FA94" s="229">
        <v>0.31519999999999998</v>
      </c>
      <c r="FB94" s="227" t="s">
        <v>567</v>
      </c>
      <c r="FC94">
        <f t="shared" si="1"/>
        <v>42</v>
      </c>
    </row>
    <row r="95" spans="1:159" ht="17.25" thickBot="1" x14ac:dyDescent="0.3">
      <c r="A95" s="226">
        <v>45946</v>
      </c>
      <c r="B95" s="227" t="s">
        <v>181</v>
      </c>
      <c r="C95" s="227" t="s">
        <v>689</v>
      </c>
      <c r="D95" s="228">
        <v>1</v>
      </c>
      <c r="E95" s="228">
        <v>12</v>
      </c>
      <c r="F95" s="228">
        <v>10.87</v>
      </c>
      <c r="G95" s="228">
        <v>10.53</v>
      </c>
      <c r="H95" s="228">
        <v>0.34</v>
      </c>
      <c r="I95" s="229">
        <v>3.1800000000000002E-2</v>
      </c>
      <c r="J95" s="228">
        <v>10.87</v>
      </c>
      <c r="K95" s="228">
        <v>10.53</v>
      </c>
      <c r="L95" s="228">
        <v>0.34</v>
      </c>
      <c r="M95" s="229">
        <v>3.1800000000000002E-2</v>
      </c>
      <c r="N95" s="228">
        <v>0</v>
      </c>
      <c r="O95" s="228">
        <v>0</v>
      </c>
      <c r="P95" s="228">
        <v>0</v>
      </c>
      <c r="Q95" s="229">
        <v>0</v>
      </c>
      <c r="R95" s="228">
        <v>0</v>
      </c>
      <c r="S95" s="228">
        <v>0</v>
      </c>
      <c r="T95" s="228">
        <v>0</v>
      </c>
      <c r="U95" s="229">
        <v>0</v>
      </c>
      <c r="V95" s="228">
        <v>0</v>
      </c>
      <c r="W95" s="228">
        <v>0</v>
      </c>
      <c r="X95" s="228">
        <v>0</v>
      </c>
      <c r="Y95" s="229">
        <v>0</v>
      </c>
      <c r="Z95" s="228">
        <v>0</v>
      </c>
      <c r="AA95" s="228">
        <v>0</v>
      </c>
      <c r="AB95" s="228">
        <v>0</v>
      </c>
      <c r="AC95" s="229">
        <v>0</v>
      </c>
      <c r="AD95" s="228">
        <v>0</v>
      </c>
      <c r="AE95" s="228">
        <v>0</v>
      </c>
      <c r="AF95" s="228">
        <v>0</v>
      </c>
      <c r="AG95" s="229">
        <v>0</v>
      </c>
      <c r="AH95" s="228">
        <v>0</v>
      </c>
      <c r="AI95" s="228">
        <v>0</v>
      </c>
      <c r="AJ95" s="228">
        <v>0</v>
      </c>
      <c r="AK95" s="229">
        <v>0</v>
      </c>
      <c r="AL95" s="228">
        <v>0</v>
      </c>
      <c r="AM95" s="228">
        <v>0</v>
      </c>
      <c r="AN95" s="228">
        <v>0</v>
      </c>
      <c r="AO95" s="229">
        <v>0</v>
      </c>
      <c r="AP95" s="228">
        <v>0</v>
      </c>
      <c r="AQ95" s="228">
        <v>0</v>
      </c>
      <c r="AR95" s="228">
        <v>0</v>
      </c>
      <c r="AS95" s="228">
        <v>0</v>
      </c>
      <c r="AT95" s="228">
        <v>0</v>
      </c>
      <c r="AU95" s="228">
        <v>0</v>
      </c>
      <c r="AV95" s="229">
        <v>0</v>
      </c>
      <c r="AW95" s="228">
        <v>0</v>
      </c>
      <c r="AX95" s="228">
        <v>0</v>
      </c>
      <c r="AY95" s="228">
        <v>0</v>
      </c>
      <c r="AZ95" s="229">
        <v>0</v>
      </c>
      <c r="BA95" s="228">
        <v>0</v>
      </c>
      <c r="BB95" s="228">
        <v>0</v>
      </c>
      <c r="BC95" s="228">
        <v>0</v>
      </c>
      <c r="BD95" s="229">
        <v>0</v>
      </c>
      <c r="BE95" s="228">
        <v>0</v>
      </c>
      <c r="BF95" s="228">
        <v>0</v>
      </c>
      <c r="BG95" s="228">
        <v>0</v>
      </c>
      <c r="BH95" s="229">
        <v>0</v>
      </c>
      <c r="BI95" s="228">
        <v>0</v>
      </c>
      <c r="BJ95" s="228">
        <v>0</v>
      </c>
      <c r="BK95" s="228">
        <v>0</v>
      </c>
      <c r="BL95" s="229">
        <v>0</v>
      </c>
      <c r="BM95" s="228">
        <v>0</v>
      </c>
      <c r="BN95" s="228">
        <v>0</v>
      </c>
      <c r="BO95" s="228">
        <v>0</v>
      </c>
      <c r="BP95" s="229">
        <v>0</v>
      </c>
      <c r="BQ95" s="228">
        <v>0</v>
      </c>
      <c r="BR95" s="228">
        <v>0</v>
      </c>
      <c r="BS95" s="228">
        <v>0</v>
      </c>
      <c r="BT95" s="229">
        <v>0</v>
      </c>
      <c r="BU95" s="228">
        <v>0</v>
      </c>
      <c r="BV95" s="228">
        <v>0</v>
      </c>
      <c r="BW95" s="228">
        <v>0</v>
      </c>
      <c r="BX95" s="229">
        <v>0</v>
      </c>
      <c r="BY95" s="228">
        <v>0</v>
      </c>
      <c r="BZ95" s="228">
        <v>0</v>
      </c>
      <c r="CA95" s="228">
        <v>0</v>
      </c>
      <c r="CB95" s="229">
        <v>0</v>
      </c>
      <c r="CC95" s="228">
        <v>0</v>
      </c>
      <c r="CD95" s="228">
        <v>0</v>
      </c>
      <c r="CE95" s="228">
        <v>0</v>
      </c>
      <c r="CF95" s="229">
        <v>0</v>
      </c>
      <c r="CG95" s="228">
        <v>0</v>
      </c>
      <c r="CH95" s="228">
        <v>0</v>
      </c>
      <c r="CI95" s="228">
        <v>0</v>
      </c>
      <c r="CJ95" s="229">
        <v>0</v>
      </c>
      <c r="CK95" s="228">
        <v>0</v>
      </c>
      <c r="CL95" s="228">
        <v>0</v>
      </c>
      <c r="CM95" s="228">
        <v>0</v>
      </c>
      <c r="CN95" s="229">
        <v>0</v>
      </c>
      <c r="CO95" s="228">
        <v>0</v>
      </c>
      <c r="CP95" s="228">
        <v>0</v>
      </c>
      <c r="CQ95" s="228">
        <v>0</v>
      </c>
      <c r="CR95" s="229">
        <v>0</v>
      </c>
      <c r="CS95" s="228">
        <v>0</v>
      </c>
      <c r="CT95" s="228">
        <v>0</v>
      </c>
      <c r="CU95" s="228">
        <v>0</v>
      </c>
      <c r="CV95" s="229">
        <v>0</v>
      </c>
      <c r="CW95" s="228">
        <v>0</v>
      </c>
      <c r="CX95" s="228">
        <v>0</v>
      </c>
      <c r="CY95" s="228">
        <v>0</v>
      </c>
      <c r="CZ95" s="229">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8">
        <v>0</v>
      </c>
      <c r="DT95" s="229">
        <v>0</v>
      </c>
      <c r="DU95" s="228">
        <v>0</v>
      </c>
      <c r="DV95" s="228">
        <v>0</v>
      </c>
      <c r="DW95" s="228">
        <v>0</v>
      </c>
      <c r="DX95" s="228">
        <v>0</v>
      </c>
      <c r="DY95" s="228">
        <v>0</v>
      </c>
      <c r="DZ95" s="229">
        <v>0</v>
      </c>
      <c r="EA95" s="229">
        <v>0</v>
      </c>
      <c r="EB95" s="228">
        <v>0</v>
      </c>
      <c r="EC95" s="229">
        <v>0</v>
      </c>
      <c r="ED95" s="229">
        <v>0</v>
      </c>
      <c r="EE95" s="228">
        <v>0</v>
      </c>
      <c r="EF95" s="229">
        <v>0</v>
      </c>
      <c r="EG95" s="228">
        <v>0</v>
      </c>
      <c r="EH95" s="228">
        <v>0</v>
      </c>
      <c r="EI95" s="229">
        <v>0</v>
      </c>
      <c r="EJ95" s="229">
        <v>0</v>
      </c>
      <c r="EK95" s="228">
        <v>0</v>
      </c>
      <c r="EL95" s="228">
        <v>0</v>
      </c>
      <c r="EM95" s="228">
        <v>0</v>
      </c>
      <c r="EN95" s="228">
        <v>0</v>
      </c>
      <c r="EO95" s="228">
        <v>0</v>
      </c>
      <c r="EP95" s="228">
        <v>0</v>
      </c>
      <c r="EQ95" s="228">
        <v>0</v>
      </c>
      <c r="ER95" s="229">
        <v>0</v>
      </c>
      <c r="ES95" s="228">
        <v>0</v>
      </c>
      <c r="ET95" s="228">
        <v>0</v>
      </c>
      <c r="EU95" s="228">
        <v>0</v>
      </c>
      <c r="EV95" s="228">
        <v>0</v>
      </c>
      <c r="EW95" s="228">
        <v>0</v>
      </c>
      <c r="EX95" s="228">
        <v>0</v>
      </c>
      <c r="EY95" s="228">
        <v>0</v>
      </c>
      <c r="EZ95" s="229">
        <v>0</v>
      </c>
      <c r="FA95" s="229">
        <v>0</v>
      </c>
      <c r="FB95" s="227" t="s">
        <v>237</v>
      </c>
      <c r="FC95">
        <f t="shared" si="1"/>
        <v>0</v>
      </c>
    </row>
    <row r="96" spans="1:159" ht="17.25" thickBot="1" x14ac:dyDescent="0.3">
      <c r="A96" s="226">
        <v>45946</v>
      </c>
      <c r="B96" s="227" t="s">
        <v>215</v>
      </c>
      <c r="C96" s="227" t="s">
        <v>238</v>
      </c>
      <c r="D96" s="228">
        <v>150</v>
      </c>
      <c r="E96" s="228">
        <v>12</v>
      </c>
      <c r="F96" s="231">
        <v>5893.5</v>
      </c>
      <c r="G96" s="231">
        <v>5874</v>
      </c>
      <c r="H96" s="228">
        <v>19.5</v>
      </c>
      <c r="I96" s="229">
        <v>3.3E-3</v>
      </c>
      <c r="J96" s="231">
        <v>5881</v>
      </c>
      <c r="K96" s="231">
        <v>5860.5</v>
      </c>
      <c r="L96" s="228">
        <v>20.5</v>
      </c>
      <c r="M96" s="229">
        <v>3.5000000000000001E-3</v>
      </c>
      <c r="N96" s="231">
        <v>5893.5</v>
      </c>
      <c r="O96" s="231">
        <v>5874</v>
      </c>
      <c r="P96" s="228">
        <v>19.5</v>
      </c>
      <c r="Q96" s="229">
        <v>3.3E-3</v>
      </c>
      <c r="R96" s="231">
        <v>5920.5</v>
      </c>
      <c r="S96" s="231">
        <v>5902</v>
      </c>
      <c r="T96" s="228">
        <v>18.5</v>
      </c>
      <c r="U96" s="229">
        <v>3.0999999999999999E-3</v>
      </c>
      <c r="V96" s="231">
        <v>5956.5</v>
      </c>
      <c r="W96" s="231">
        <v>5929</v>
      </c>
      <c r="X96" s="228">
        <v>27.5</v>
      </c>
      <c r="Y96" s="229">
        <v>4.5999999999999999E-3</v>
      </c>
      <c r="Z96" s="228">
        <v>12.5</v>
      </c>
      <c r="AA96" s="228">
        <v>13.5</v>
      </c>
      <c r="AB96" s="228">
        <v>-1</v>
      </c>
      <c r="AC96" s="229">
        <v>2.0999999999999999E-3</v>
      </c>
      <c r="AD96" s="228">
        <v>12.5</v>
      </c>
      <c r="AE96" s="228">
        <v>13.5</v>
      </c>
      <c r="AF96" s="228">
        <v>-1</v>
      </c>
      <c r="AG96" s="229">
        <v>2.0999999999999999E-3</v>
      </c>
      <c r="AH96" s="228">
        <v>39.5</v>
      </c>
      <c r="AI96" s="228">
        <v>41.5</v>
      </c>
      <c r="AJ96" s="228">
        <v>-2</v>
      </c>
      <c r="AK96" s="229">
        <v>6.7000000000000002E-3</v>
      </c>
      <c r="AL96" s="228">
        <v>75.5</v>
      </c>
      <c r="AM96" s="228">
        <v>68.5</v>
      </c>
      <c r="AN96" s="228">
        <v>7</v>
      </c>
      <c r="AO96" s="229">
        <v>1.2800000000000001E-2</v>
      </c>
      <c r="AP96" s="231">
        <v>5900.57</v>
      </c>
      <c r="AQ96" s="231">
        <v>5928.39</v>
      </c>
      <c r="AR96" s="228">
        <v>0</v>
      </c>
      <c r="AS96" s="228">
        <v>590</v>
      </c>
      <c r="AT96" s="228">
        <v>877</v>
      </c>
      <c r="AU96" s="228">
        <v>-287</v>
      </c>
      <c r="AV96" s="229">
        <v>-0.3271</v>
      </c>
      <c r="AW96" s="228">
        <v>460</v>
      </c>
      <c r="AX96" s="228">
        <v>801</v>
      </c>
      <c r="AY96" s="228">
        <v>-340</v>
      </c>
      <c r="AZ96" s="229">
        <v>-0.42509999999999998</v>
      </c>
      <c r="BA96" s="228">
        <v>125</v>
      </c>
      <c r="BB96" s="228">
        <v>69</v>
      </c>
      <c r="BC96" s="228">
        <v>56</v>
      </c>
      <c r="BD96" s="229">
        <v>0.80769999999999997</v>
      </c>
      <c r="BE96" s="228">
        <v>5</v>
      </c>
      <c r="BF96" s="228">
        <v>7</v>
      </c>
      <c r="BG96" s="228">
        <v>-2</v>
      </c>
      <c r="BH96" s="229">
        <v>-0.28949999999999998</v>
      </c>
      <c r="BI96" s="230">
        <v>1769</v>
      </c>
      <c r="BJ96" s="230">
        <v>3009</v>
      </c>
      <c r="BK96" s="230">
        <v>-1241</v>
      </c>
      <c r="BL96" s="229">
        <v>-0.4123</v>
      </c>
      <c r="BM96" s="228">
        <v>869</v>
      </c>
      <c r="BN96" s="230">
        <v>1226</v>
      </c>
      <c r="BO96" s="228">
        <v>-357</v>
      </c>
      <c r="BP96" s="229">
        <v>-0.2913</v>
      </c>
      <c r="BQ96" s="230">
        <v>3227</v>
      </c>
      <c r="BR96" s="230">
        <v>5112</v>
      </c>
      <c r="BS96" s="230">
        <v>-1884</v>
      </c>
      <c r="BT96" s="229">
        <v>-0.36859999999999998</v>
      </c>
      <c r="BU96" s="230">
        <v>544688</v>
      </c>
      <c r="BV96" s="230">
        <v>742515</v>
      </c>
      <c r="BW96" s="230">
        <v>-197827</v>
      </c>
      <c r="BX96" s="229">
        <v>-0.26640000000000003</v>
      </c>
      <c r="BY96" s="230">
        <v>4699</v>
      </c>
      <c r="BZ96" s="230">
        <v>4664</v>
      </c>
      <c r="CA96" s="228">
        <v>36</v>
      </c>
      <c r="CB96" s="229">
        <v>7.6E-3</v>
      </c>
      <c r="CC96" s="230">
        <v>4442</v>
      </c>
      <c r="CD96" s="230">
        <v>4477</v>
      </c>
      <c r="CE96" s="228">
        <v>-35</v>
      </c>
      <c r="CF96" s="229">
        <v>-7.7000000000000002E-3</v>
      </c>
      <c r="CG96" s="228">
        <v>238</v>
      </c>
      <c r="CH96" s="228">
        <v>169</v>
      </c>
      <c r="CI96" s="228">
        <v>69</v>
      </c>
      <c r="CJ96" s="229">
        <v>0.41060000000000002</v>
      </c>
      <c r="CK96" s="228">
        <v>19</v>
      </c>
      <c r="CL96" s="228">
        <v>18</v>
      </c>
      <c r="CM96" s="228">
        <v>1</v>
      </c>
      <c r="CN96" s="229">
        <v>5.3400000000000003E-2</v>
      </c>
      <c r="CO96" s="230">
        <v>1178</v>
      </c>
      <c r="CP96" s="230">
        <v>1101</v>
      </c>
      <c r="CQ96" s="228">
        <v>78</v>
      </c>
      <c r="CR96" s="229">
        <v>7.0400000000000004E-2</v>
      </c>
      <c r="CS96" s="228">
        <v>921</v>
      </c>
      <c r="CT96" s="228">
        <v>901</v>
      </c>
      <c r="CU96" s="228">
        <v>20</v>
      </c>
      <c r="CV96" s="229">
        <v>2.24E-2</v>
      </c>
      <c r="CW96" s="230">
        <v>6798</v>
      </c>
      <c r="CX96" s="230">
        <v>6665</v>
      </c>
      <c r="CY96" s="228">
        <v>133</v>
      </c>
      <c r="CZ96" s="229">
        <v>0.02</v>
      </c>
      <c r="DA96" s="228">
        <v>20.47</v>
      </c>
      <c r="DB96" s="228">
        <v>20.72</v>
      </c>
      <c r="DC96" s="228">
        <v>-0.25</v>
      </c>
      <c r="DD96" s="228">
        <v>-0.25</v>
      </c>
      <c r="DE96" s="228">
        <v>32.700000000000003</v>
      </c>
      <c r="DF96" s="228">
        <v>32.770000000000003</v>
      </c>
      <c r="DG96" s="228">
        <v>-12.23</v>
      </c>
      <c r="DH96" s="228">
        <v>-7.0000000000000007E-2</v>
      </c>
      <c r="DI96" s="228">
        <v>19.600000000000001</v>
      </c>
      <c r="DJ96" s="228">
        <v>19.739999999999998</v>
      </c>
      <c r="DK96" s="228">
        <v>-0.14000000000000001</v>
      </c>
      <c r="DL96" s="228">
        <v>-0.14000000000000001</v>
      </c>
      <c r="DM96" s="228">
        <v>22.23</v>
      </c>
      <c r="DN96" s="228">
        <v>23.12</v>
      </c>
      <c r="DO96" s="228">
        <v>-0.89</v>
      </c>
      <c r="DP96" s="228">
        <v>-0.89</v>
      </c>
      <c r="DQ96" s="228">
        <v>0.78</v>
      </c>
      <c r="DR96" s="228">
        <v>0.82</v>
      </c>
      <c r="DS96" s="228">
        <v>-0.04</v>
      </c>
      <c r="DT96" s="229">
        <v>-4.8800000000000003E-2</v>
      </c>
      <c r="DU96" s="231">
        <v>6000</v>
      </c>
      <c r="DV96" s="231">
        <v>5800</v>
      </c>
      <c r="DW96" s="228">
        <v>0.49</v>
      </c>
      <c r="DX96" s="228">
        <v>0.41</v>
      </c>
      <c r="DY96" s="228">
        <v>0.08</v>
      </c>
      <c r="DZ96" s="229">
        <v>0.1951</v>
      </c>
      <c r="EA96" s="229">
        <v>5.4699999999999999E-2</v>
      </c>
      <c r="EB96" s="230">
        <v>316950</v>
      </c>
      <c r="EC96" s="229">
        <v>4.5999999999999999E-3</v>
      </c>
      <c r="ED96" s="229">
        <v>5.4699999999999999E-2</v>
      </c>
      <c r="EE96" s="228">
        <v>27.82</v>
      </c>
      <c r="EF96" s="229">
        <v>4.7000000000000002E-3</v>
      </c>
      <c r="EG96" s="230">
        <v>322189</v>
      </c>
      <c r="EH96" s="230">
        <v>421144</v>
      </c>
      <c r="EI96" s="229">
        <v>-0.23499999999999999</v>
      </c>
      <c r="EJ96" s="229">
        <v>0.59150000000000003</v>
      </c>
      <c r="EK96" s="231">
        <v>1808.09</v>
      </c>
      <c r="EL96" s="228">
        <v>843.79</v>
      </c>
      <c r="EM96" s="228">
        <v>591.16999999999996</v>
      </c>
      <c r="EN96" s="228">
        <v>66.61</v>
      </c>
      <c r="EO96" s="231">
        <v>3243.05</v>
      </c>
      <c r="EP96" s="231">
        <v>5104.72</v>
      </c>
      <c r="EQ96" s="231">
        <v>-1861.67</v>
      </c>
      <c r="ER96" s="229">
        <v>-0.36470000000000002</v>
      </c>
      <c r="ES96" s="231">
        <v>1186.3699999999999</v>
      </c>
      <c r="ET96" s="228">
        <v>880.22</v>
      </c>
      <c r="EU96" s="231">
        <v>4700.59</v>
      </c>
      <c r="EV96" s="231">
        <v>32732860</v>
      </c>
      <c r="EW96" s="231">
        <v>6767.18</v>
      </c>
      <c r="EX96" s="231">
        <v>6611.4</v>
      </c>
      <c r="EY96" s="228">
        <v>155.78</v>
      </c>
      <c r="EZ96" s="229">
        <v>2.3599999999999999E-2</v>
      </c>
      <c r="FA96" s="229">
        <v>0.35239999999999999</v>
      </c>
      <c r="FB96" s="227" t="s">
        <v>555</v>
      </c>
      <c r="FC96">
        <f t="shared" si="1"/>
        <v>257</v>
      </c>
    </row>
    <row r="97" spans="1:159" ht="17.25" thickBot="1" x14ac:dyDescent="0.3">
      <c r="A97" s="226">
        <v>45946</v>
      </c>
      <c r="B97" s="227" t="s">
        <v>172</v>
      </c>
      <c r="C97" s="227" t="s">
        <v>239</v>
      </c>
      <c r="D97" s="228">
        <v>700</v>
      </c>
      <c r="E97" s="228">
        <v>12</v>
      </c>
      <c r="F97" s="228">
        <v>739.7</v>
      </c>
      <c r="G97" s="228">
        <v>741.95</v>
      </c>
      <c r="H97" s="228">
        <v>-2.25</v>
      </c>
      <c r="I97" s="229">
        <v>-3.0000000000000001E-3</v>
      </c>
      <c r="J97" s="228">
        <v>739.5</v>
      </c>
      <c r="K97" s="228">
        <v>740.1</v>
      </c>
      <c r="L97" s="228">
        <v>-0.6</v>
      </c>
      <c r="M97" s="229">
        <v>-8.0000000000000004E-4</v>
      </c>
      <c r="N97" s="228">
        <v>739.7</v>
      </c>
      <c r="O97" s="228">
        <v>741.95</v>
      </c>
      <c r="P97" s="228">
        <v>-2.25</v>
      </c>
      <c r="Q97" s="229">
        <v>-3.0000000000000001E-3</v>
      </c>
      <c r="R97" s="228">
        <v>743.9</v>
      </c>
      <c r="S97" s="228">
        <v>745.6</v>
      </c>
      <c r="T97" s="228">
        <v>-1.7</v>
      </c>
      <c r="U97" s="229">
        <v>-2.3E-3</v>
      </c>
      <c r="V97" s="228">
        <v>748</v>
      </c>
      <c r="W97" s="228">
        <v>750.35</v>
      </c>
      <c r="X97" s="228">
        <v>-2.35</v>
      </c>
      <c r="Y97" s="229">
        <v>-3.0999999999999999E-3</v>
      </c>
      <c r="Z97" s="228">
        <v>0.2</v>
      </c>
      <c r="AA97" s="228">
        <v>1.85</v>
      </c>
      <c r="AB97" s="228">
        <v>-1.65</v>
      </c>
      <c r="AC97" s="229">
        <v>2.9999999999999997E-4</v>
      </c>
      <c r="AD97" s="228">
        <v>0.2</v>
      </c>
      <c r="AE97" s="228">
        <v>1.85</v>
      </c>
      <c r="AF97" s="228">
        <v>-1.65</v>
      </c>
      <c r="AG97" s="229">
        <v>2.9999999999999997E-4</v>
      </c>
      <c r="AH97" s="228">
        <v>4.4000000000000004</v>
      </c>
      <c r="AI97" s="228">
        <v>5.5</v>
      </c>
      <c r="AJ97" s="228">
        <v>-1.1000000000000001</v>
      </c>
      <c r="AK97" s="229">
        <v>5.8999999999999999E-3</v>
      </c>
      <c r="AL97" s="228">
        <v>8.5</v>
      </c>
      <c r="AM97" s="228">
        <v>10.25</v>
      </c>
      <c r="AN97" s="228">
        <v>-1.75</v>
      </c>
      <c r="AO97" s="229">
        <v>1.15E-2</v>
      </c>
      <c r="AP97" s="228">
        <v>740.8</v>
      </c>
      <c r="AQ97" s="228">
        <v>745.21</v>
      </c>
      <c r="AR97" s="228">
        <v>0</v>
      </c>
      <c r="AS97" s="228">
        <v>516</v>
      </c>
      <c r="AT97" s="228">
        <v>661</v>
      </c>
      <c r="AU97" s="228">
        <v>-145</v>
      </c>
      <c r="AV97" s="229">
        <v>-0.21929999999999999</v>
      </c>
      <c r="AW97" s="228">
        <v>424</v>
      </c>
      <c r="AX97" s="228">
        <v>533</v>
      </c>
      <c r="AY97" s="228">
        <v>-110</v>
      </c>
      <c r="AZ97" s="229">
        <v>-0.2054</v>
      </c>
      <c r="BA97" s="228">
        <v>88</v>
      </c>
      <c r="BB97" s="228">
        <v>120</v>
      </c>
      <c r="BC97" s="228">
        <v>-32</v>
      </c>
      <c r="BD97" s="229">
        <v>-0.26850000000000002</v>
      </c>
      <c r="BE97" s="228">
        <v>4</v>
      </c>
      <c r="BF97" s="228">
        <v>7</v>
      </c>
      <c r="BG97" s="228">
        <v>-3</v>
      </c>
      <c r="BH97" s="229">
        <v>-0.42449999999999999</v>
      </c>
      <c r="BI97" s="228">
        <v>676</v>
      </c>
      <c r="BJ97" s="228">
        <v>967</v>
      </c>
      <c r="BK97" s="228">
        <v>-291</v>
      </c>
      <c r="BL97" s="229">
        <v>-0.30070000000000002</v>
      </c>
      <c r="BM97" s="228">
        <v>353</v>
      </c>
      <c r="BN97" s="228">
        <v>662</v>
      </c>
      <c r="BO97" s="228">
        <v>-309</v>
      </c>
      <c r="BP97" s="229">
        <v>-0.46639999999999998</v>
      </c>
      <c r="BQ97" s="230">
        <v>1545</v>
      </c>
      <c r="BR97" s="230">
        <v>2290</v>
      </c>
      <c r="BS97" s="228">
        <v>-744</v>
      </c>
      <c r="BT97" s="229">
        <v>-0.3251</v>
      </c>
      <c r="BU97" s="230">
        <v>3162631</v>
      </c>
      <c r="BV97" s="230">
        <v>2398101</v>
      </c>
      <c r="BW97" s="230">
        <v>764530</v>
      </c>
      <c r="BX97" s="229">
        <v>0.31879999999999997</v>
      </c>
      <c r="BY97" s="230">
        <v>4062</v>
      </c>
      <c r="BZ97" s="230">
        <v>4013</v>
      </c>
      <c r="CA97" s="228">
        <v>49</v>
      </c>
      <c r="CB97" s="229">
        <v>1.21E-2</v>
      </c>
      <c r="CC97" s="230">
        <v>3734</v>
      </c>
      <c r="CD97" s="230">
        <v>3739</v>
      </c>
      <c r="CE97" s="228">
        <v>-5</v>
      </c>
      <c r="CF97" s="229">
        <v>-1.4E-3</v>
      </c>
      <c r="CG97" s="228">
        <v>306</v>
      </c>
      <c r="CH97" s="228">
        <v>255</v>
      </c>
      <c r="CI97" s="228">
        <v>52</v>
      </c>
      <c r="CJ97" s="229">
        <v>0.20219999999999999</v>
      </c>
      <c r="CK97" s="228">
        <v>22</v>
      </c>
      <c r="CL97" s="228">
        <v>19</v>
      </c>
      <c r="CM97" s="228">
        <v>2</v>
      </c>
      <c r="CN97" s="229">
        <v>0.1173</v>
      </c>
      <c r="CO97" s="230">
        <v>1029</v>
      </c>
      <c r="CP97" s="228">
        <v>979</v>
      </c>
      <c r="CQ97" s="228">
        <v>51</v>
      </c>
      <c r="CR97" s="229">
        <v>5.1799999999999999E-2</v>
      </c>
      <c r="CS97" s="228">
        <v>908</v>
      </c>
      <c r="CT97" s="228">
        <v>873</v>
      </c>
      <c r="CU97" s="228">
        <v>35</v>
      </c>
      <c r="CV97" s="229">
        <v>0.04</v>
      </c>
      <c r="CW97" s="230">
        <v>5999</v>
      </c>
      <c r="CX97" s="230">
        <v>5865</v>
      </c>
      <c r="CY97" s="228">
        <v>134</v>
      </c>
      <c r="CZ97" s="229">
        <v>2.29E-2</v>
      </c>
      <c r="DA97" s="228">
        <v>39.340000000000003</v>
      </c>
      <c r="DB97" s="228">
        <v>37.06</v>
      </c>
      <c r="DC97" s="228">
        <v>2.2799999999999998</v>
      </c>
      <c r="DD97" s="228">
        <v>2.2799999999999998</v>
      </c>
      <c r="DE97" s="228">
        <v>47.2</v>
      </c>
      <c r="DF97" s="228">
        <v>47.32</v>
      </c>
      <c r="DG97" s="228">
        <v>-7.86</v>
      </c>
      <c r="DH97" s="228">
        <v>-0.12</v>
      </c>
      <c r="DI97" s="228">
        <v>39.380000000000003</v>
      </c>
      <c r="DJ97" s="228">
        <v>36.880000000000003</v>
      </c>
      <c r="DK97" s="228">
        <v>2.5</v>
      </c>
      <c r="DL97" s="228">
        <v>2.5</v>
      </c>
      <c r="DM97" s="228">
        <v>39.26</v>
      </c>
      <c r="DN97" s="228">
        <v>37.32</v>
      </c>
      <c r="DO97" s="228">
        <v>1.94</v>
      </c>
      <c r="DP97" s="228">
        <v>1.94</v>
      </c>
      <c r="DQ97" s="228">
        <v>0.88</v>
      </c>
      <c r="DR97" s="228">
        <v>0.89</v>
      </c>
      <c r="DS97" s="228">
        <v>-0.01</v>
      </c>
      <c r="DT97" s="229">
        <v>-1.12E-2</v>
      </c>
      <c r="DU97" s="228">
        <v>750</v>
      </c>
      <c r="DV97" s="228">
        <v>700</v>
      </c>
      <c r="DW97" s="228">
        <v>0.52</v>
      </c>
      <c r="DX97" s="228">
        <v>0.68</v>
      </c>
      <c r="DY97" s="228">
        <v>-0.16</v>
      </c>
      <c r="DZ97" s="229">
        <v>-0.23530000000000001</v>
      </c>
      <c r="EA97" s="229">
        <v>8.0699999999999994E-2</v>
      </c>
      <c r="EB97" s="230">
        <v>3706500</v>
      </c>
      <c r="EC97" s="229">
        <v>5.7000000000000002E-3</v>
      </c>
      <c r="ED97" s="229">
        <v>8.0699999999999994E-2</v>
      </c>
      <c r="EE97" s="228">
        <v>4.41</v>
      </c>
      <c r="EF97" s="229">
        <v>6.0000000000000001E-3</v>
      </c>
      <c r="EG97" s="230">
        <v>1867270</v>
      </c>
      <c r="EH97" s="230">
        <v>1076887</v>
      </c>
      <c r="EI97" s="229">
        <v>0.73399999999999999</v>
      </c>
      <c r="EJ97" s="229">
        <v>0.59040000000000004</v>
      </c>
      <c r="EK97" s="228">
        <v>714.15</v>
      </c>
      <c r="EL97" s="228">
        <v>355.54</v>
      </c>
      <c r="EM97" s="228">
        <v>517.05999999999995</v>
      </c>
      <c r="EN97" s="228">
        <v>109.64</v>
      </c>
      <c r="EO97" s="231">
        <v>1586.74</v>
      </c>
      <c r="EP97" s="231">
        <v>2350.71</v>
      </c>
      <c r="EQ97" s="228">
        <v>-763.98</v>
      </c>
      <c r="ER97" s="229">
        <v>-0.32500000000000001</v>
      </c>
      <c r="ES97" s="231">
        <v>1079.96</v>
      </c>
      <c r="ET97" s="228">
        <v>903.42</v>
      </c>
      <c r="EU97" s="231">
        <v>4064.15</v>
      </c>
      <c r="EV97" s="231">
        <v>93805784</v>
      </c>
      <c r="EW97" s="231">
        <v>6047.53</v>
      </c>
      <c r="EX97" s="231">
        <v>5924.77</v>
      </c>
      <c r="EY97" s="228">
        <v>122.76</v>
      </c>
      <c r="EZ97" s="229">
        <v>2.07E-2</v>
      </c>
      <c r="FA97" s="229">
        <v>0.86460000000000004</v>
      </c>
      <c r="FB97" s="227" t="s">
        <v>567</v>
      </c>
      <c r="FC97">
        <f t="shared" si="1"/>
        <v>328</v>
      </c>
    </row>
    <row r="98" spans="1:159" ht="17.25" thickBot="1" x14ac:dyDescent="0.3">
      <c r="A98" s="226">
        <v>45946</v>
      </c>
      <c r="B98" s="227" t="s">
        <v>188</v>
      </c>
      <c r="C98" s="227" t="s">
        <v>473</v>
      </c>
      <c r="D98" s="228">
        <v>1700</v>
      </c>
      <c r="E98" s="228">
        <v>12</v>
      </c>
      <c r="F98" s="228">
        <v>345.4</v>
      </c>
      <c r="G98" s="228">
        <v>346.3</v>
      </c>
      <c r="H98" s="228">
        <v>-0.9</v>
      </c>
      <c r="I98" s="229">
        <v>-2.5999999999999999E-3</v>
      </c>
      <c r="J98" s="228">
        <v>343.95</v>
      </c>
      <c r="K98" s="228">
        <v>344.8</v>
      </c>
      <c r="L98" s="228">
        <v>-0.85</v>
      </c>
      <c r="M98" s="229">
        <v>-2.5000000000000001E-3</v>
      </c>
      <c r="N98" s="228">
        <v>345.4</v>
      </c>
      <c r="O98" s="228">
        <v>346.3</v>
      </c>
      <c r="P98" s="228">
        <v>-0.9</v>
      </c>
      <c r="Q98" s="229">
        <v>-2.5999999999999999E-3</v>
      </c>
      <c r="R98" s="228">
        <v>347.1</v>
      </c>
      <c r="S98" s="228">
        <v>348.4</v>
      </c>
      <c r="T98" s="228">
        <v>-1.3</v>
      </c>
      <c r="U98" s="229">
        <v>-3.7000000000000002E-3</v>
      </c>
      <c r="V98" s="228">
        <v>349.65</v>
      </c>
      <c r="W98" s="228">
        <v>350.15</v>
      </c>
      <c r="X98" s="228">
        <v>-0.5</v>
      </c>
      <c r="Y98" s="229">
        <v>-1.4E-3</v>
      </c>
      <c r="Z98" s="228">
        <v>1.45</v>
      </c>
      <c r="AA98" s="228">
        <v>1.5</v>
      </c>
      <c r="AB98" s="228">
        <v>-0.05</v>
      </c>
      <c r="AC98" s="229">
        <v>4.1999999999999997E-3</v>
      </c>
      <c r="AD98" s="228">
        <v>1.45</v>
      </c>
      <c r="AE98" s="228">
        <v>1.5</v>
      </c>
      <c r="AF98" s="228">
        <v>-0.05</v>
      </c>
      <c r="AG98" s="229">
        <v>4.1999999999999997E-3</v>
      </c>
      <c r="AH98" s="228">
        <v>3.15</v>
      </c>
      <c r="AI98" s="228">
        <v>3.6</v>
      </c>
      <c r="AJ98" s="228">
        <v>-0.45</v>
      </c>
      <c r="AK98" s="229">
        <v>9.1999999999999998E-3</v>
      </c>
      <c r="AL98" s="228">
        <v>5.7</v>
      </c>
      <c r="AM98" s="228">
        <v>5.35</v>
      </c>
      <c r="AN98" s="228">
        <v>0.35</v>
      </c>
      <c r="AO98" s="229">
        <v>1.66E-2</v>
      </c>
      <c r="AP98" s="228">
        <v>346.29</v>
      </c>
      <c r="AQ98" s="228">
        <v>347.88</v>
      </c>
      <c r="AR98" s="228">
        <v>0</v>
      </c>
      <c r="AS98" s="228">
        <v>155</v>
      </c>
      <c r="AT98" s="228">
        <v>237</v>
      </c>
      <c r="AU98" s="228">
        <v>-82</v>
      </c>
      <c r="AV98" s="229">
        <v>-0.3458</v>
      </c>
      <c r="AW98" s="228">
        <v>139</v>
      </c>
      <c r="AX98" s="228">
        <v>221</v>
      </c>
      <c r="AY98" s="228">
        <v>-82</v>
      </c>
      <c r="AZ98" s="229">
        <v>-0.371</v>
      </c>
      <c r="BA98" s="228">
        <v>15</v>
      </c>
      <c r="BB98" s="228">
        <v>15</v>
      </c>
      <c r="BC98" s="228">
        <v>1</v>
      </c>
      <c r="BD98" s="229">
        <v>4.3700000000000003E-2</v>
      </c>
      <c r="BE98" s="228">
        <v>0</v>
      </c>
      <c r="BF98" s="228">
        <v>1</v>
      </c>
      <c r="BG98" s="228">
        <v>-1</v>
      </c>
      <c r="BH98" s="229">
        <v>-0.52939999999999998</v>
      </c>
      <c r="BI98" s="228">
        <v>294</v>
      </c>
      <c r="BJ98" s="228">
        <v>631</v>
      </c>
      <c r="BK98" s="228">
        <v>-337</v>
      </c>
      <c r="BL98" s="229">
        <v>-0.53420000000000001</v>
      </c>
      <c r="BM98" s="228">
        <v>154</v>
      </c>
      <c r="BN98" s="228">
        <v>317</v>
      </c>
      <c r="BO98" s="228">
        <v>-163</v>
      </c>
      <c r="BP98" s="229">
        <v>-0.51439999999999997</v>
      </c>
      <c r="BQ98" s="228">
        <v>603</v>
      </c>
      <c r="BR98" s="230">
        <v>1184</v>
      </c>
      <c r="BS98" s="228">
        <v>-582</v>
      </c>
      <c r="BT98" s="229">
        <v>-0.49120000000000003</v>
      </c>
      <c r="BU98" s="230">
        <v>3648686</v>
      </c>
      <c r="BV98" s="230">
        <v>3996148</v>
      </c>
      <c r="BW98" s="230">
        <v>-347462</v>
      </c>
      <c r="BX98" s="229">
        <v>-8.6900000000000005E-2</v>
      </c>
      <c r="BY98" s="230">
        <v>3109</v>
      </c>
      <c r="BZ98" s="230">
        <v>3100</v>
      </c>
      <c r="CA98" s="228">
        <v>9</v>
      </c>
      <c r="CB98" s="229">
        <v>2.8999999999999998E-3</v>
      </c>
      <c r="CC98" s="230">
        <v>3001</v>
      </c>
      <c r="CD98" s="230">
        <v>2999</v>
      </c>
      <c r="CE98" s="228">
        <v>1</v>
      </c>
      <c r="CF98" s="229">
        <v>4.0000000000000002E-4</v>
      </c>
      <c r="CG98" s="228">
        <v>102</v>
      </c>
      <c r="CH98" s="228">
        <v>95</v>
      </c>
      <c r="CI98" s="228">
        <v>8</v>
      </c>
      <c r="CJ98" s="229">
        <v>7.9200000000000007E-2</v>
      </c>
      <c r="CK98" s="228">
        <v>6</v>
      </c>
      <c r="CL98" s="228">
        <v>6</v>
      </c>
      <c r="CM98" s="228">
        <v>0</v>
      </c>
      <c r="CN98" s="229">
        <v>7.1400000000000005E-2</v>
      </c>
      <c r="CO98" s="228">
        <v>695</v>
      </c>
      <c r="CP98" s="228">
        <v>690</v>
      </c>
      <c r="CQ98" s="228">
        <v>5</v>
      </c>
      <c r="CR98" s="229">
        <v>7.0000000000000001E-3</v>
      </c>
      <c r="CS98" s="228">
        <v>513</v>
      </c>
      <c r="CT98" s="228">
        <v>497</v>
      </c>
      <c r="CU98" s="228">
        <v>16</v>
      </c>
      <c r="CV98" s="229">
        <v>3.2800000000000003E-2</v>
      </c>
      <c r="CW98" s="230">
        <v>4317</v>
      </c>
      <c r="CX98" s="230">
        <v>4287</v>
      </c>
      <c r="CY98" s="228">
        <v>30</v>
      </c>
      <c r="CZ98" s="229">
        <v>7.0000000000000001E-3</v>
      </c>
      <c r="DA98" s="228">
        <v>31.1</v>
      </c>
      <c r="DB98" s="228">
        <v>31.43</v>
      </c>
      <c r="DC98" s="228">
        <v>-0.33</v>
      </c>
      <c r="DD98" s="228">
        <v>-0.33</v>
      </c>
      <c r="DE98" s="228">
        <v>39.81</v>
      </c>
      <c r="DF98" s="228">
        <v>39.909999999999997</v>
      </c>
      <c r="DG98" s="228">
        <v>-8.7100000000000009</v>
      </c>
      <c r="DH98" s="228">
        <v>-0.1</v>
      </c>
      <c r="DI98" s="228">
        <v>31.39</v>
      </c>
      <c r="DJ98" s="228">
        <v>31.39</v>
      </c>
      <c r="DK98" s="228">
        <v>0</v>
      </c>
      <c r="DL98" s="228">
        <v>0</v>
      </c>
      <c r="DM98" s="228">
        <v>30.54</v>
      </c>
      <c r="DN98" s="228">
        <v>31.5</v>
      </c>
      <c r="DO98" s="228">
        <v>-0.96</v>
      </c>
      <c r="DP98" s="228">
        <v>-0.96</v>
      </c>
      <c r="DQ98" s="228">
        <v>0.74</v>
      </c>
      <c r="DR98" s="228">
        <v>0.72</v>
      </c>
      <c r="DS98" s="228">
        <v>0.02</v>
      </c>
      <c r="DT98" s="229">
        <v>2.7799999999999998E-2</v>
      </c>
      <c r="DU98" s="228">
        <v>360</v>
      </c>
      <c r="DV98" s="228">
        <v>340</v>
      </c>
      <c r="DW98" s="228">
        <v>0.52</v>
      </c>
      <c r="DX98" s="228">
        <v>0.5</v>
      </c>
      <c r="DY98" s="228">
        <v>0.02</v>
      </c>
      <c r="DZ98" s="229">
        <v>0.04</v>
      </c>
      <c r="EA98" s="229">
        <v>3.49E-2</v>
      </c>
      <c r="EB98" s="230">
        <v>2913800</v>
      </c>
      <c r="EC98" s="229">
        <v>4.8999999999999998E-3</v>
      </c>
      <c r="ED98" s="229">
        <v>3.49E-2</v>
      </c>
      <c r="EE98" s="228">
        <v>1.59</v>
      </c>
      <c r="EF98" s="229">
        <v>4.5999999999999999E-3</v>
      </c>
      <c r="EG98" s="230">
        <v>2405009</v>
      </c>
      <c r="EH98" s="230">
        <v>2612727</v>
      </c>
      <c r="EI98" s="229">
        <v>-7.9500000000000001E-2</v>
      </c>
      <c r="EJ98" s="229">
        <v>0.65910000000000002</v>
      </c>
      <c r="EK98" s="228">
        <v>309.52</v>
      </c>
      <c r="EL98" s="228">
        <v>152.80000000000001</v>
      </c>
      <c r="EM98" s="228">
        <v>155.43</v>
      </c>
      <c r="EN98" s="228">
        <v>55.68</v>
      </c>
      <c r="EO98" s="228">
        <v>617.75</v>
      </c>
      <c r="EP98" s="231">
        <v>1213.99</v>
      </c>
      <c r="EQ98" s="228">
        <v>-596.24</v>
      </c>
      <c r="ER98" s="229">
        <v>-0.49109999999999998</v>
      </c>
      <c r="ES98" s="228">
        <v>740.82</v>
      </c>
      <c r="ET98" s="228">
        <v>512.36</v>
      </c>
      <c r="EU98" s="231">
        <v>3109.7</v>
      </c>
      <c r="EV98" s="231">
        <v>197705578</v>
      </c>
      <c r="EW98" s="231">
        <v>4362.88</v>
      </c>
      <c r="EX98" s="231">
        <v>4341.51</v>
      </c>
      <c r="EY98" s="228">
        <v>21.37</v>
      </c>
      <c r="EZ98" s="229">
        <v>4.8999999999999998E-3</v>
      </c>
      <c r="FA98" s="229">
        <v>0.63219999999999998</v>
      </c>
      <c r="FB98" s="227" t="s">
        <v>567</v>
      </c>
      <c r="FC98">
        <f t="shared" si="1"/>
        <v>108</v>
      </c>
    </row>
    <row r="99" spans="1:159" ht="17.25" thickBot="1" x14ac:dyDescent="0.3">
      <c r="A99" s="226">
        <v>45946</v>
      </c>
      <c r="B99" s="227" t="s">
        <v>221</v>
      </c>
      <c r="C99" s="227" t="s">
        <v>240</v>
      </c>
      <c r="D99" s="228">
        <v>400</v>
      </c>
      <c r="E99" s="228">
        <v>12</v>
      </c>
      <c r="F99" s="231">
        <v>1456.9</v>
      </c>
      <c r="G99" s="231">
        <v>1464.9</v>
      </c>
      <c r="H99" s="228">
        <v>-8</v>
      </c>
      <c r="I99" s="229">
        <v>-5.4999999999999997E-3</v>
      </c>
      <c r="J99" s="231">
        <v>1471.5</v>
      </c>
      <c r="K99" s="231">
        <v>1474.4</v>
      </c>
      <c r="L99" s="228">
        <v>-2.9</v>
      </c>
      <c r="M99" s="229">
        <v>-2E-3</v>
      </c>
      <c r="N99" s="231">
        <v>1456.9</v>
      </c>
      <c r="O99" s="231">
        <v>1464.9</v>
      </c>
      <c r="P99" s="228">
        <v>-8</v>
      </c>
      <c r="Q99" s="229">
        <v>-5.4999999999999997E-3</v>
      </c>
      <c r="R99" s="231">
        <v>1456.8</v>
      </c>
      <c r="S99" s="231">
        <v>1461.1</v>
      </c>
      <c r="T99" s="228">
        <v>-4.3</v>
      </c>
      <c r="U99" s="229">
        <v>-2.8999999999999998E-3</v>
      </c>
      <c r="V99" s="231">
        <v>1460.2</v>
      </c>
      <c r="W99" s="231">
        <v>1465.1</v>
      </c>
      <c r="X99" s="228">
        <v>-4.9000000000000004</v>
      </c>
      <c r="Y99" s="229">
        <v>-3.3E-3</v>
      </c>
      <c r="Z99" s="228">
        <v>-14.6</v>
      </c>
      <c r="AA99" s="228">
        <v>-9.5</v>
      </c>
      <c r="AB99" s="228">
        <v>-5.0999999999999996</v>
      </c>
      <c r="AC99" s="229">
        <v>-9.9000000000000008E-3</v>
      </c>
      <c r="AD99" s="228">
        <v>-14.6</v>
      </c>
      <c r="AE99" s="228">
        <v>-9.5</v>
      </c>
      <c r="AF99" s="228">
        <v>-5.0999999999999996</v>
      </c>
      <c r="AG99" s="229">
        <v>-9.9000000000000008E-3</v>
      </c>
      <c r="AH99" s="228">
        <v>-14.7</v>
      </c>
      <c r="AI99" s="228">
        <v>-13.3</v>
      </c>
      <c r="AJ99" s="228">
        <v>-1.4</v>
      </c>
      <c r="AK99" s="229">
        <v>-0.01</v>
      </c>
      <c r="AL99" s="228">
        <v>-11.3</v>
      </c>
      <c r="AM99" s="228">
        <v>-9.3000000000000007</v>
      </c>
      <c r="AN99" s="228">
        <v>-2</v>
      </c>
      <c r="AO99" s="229">
        <v>-7.7000000000000002E-3</v>
      </c>
      <c r="AP99" s="231">
        <v>1454.71</v>
      </c>
      <c r="AQ99" s="231">
        <v>1454.58</v>
      </c>
      <c r="AR99" s="228">
        <v>0</v>
      </c>
      <c r="AS99" s="230">
        <v>2626</v>
      </c>
      <c r="AT99" s="230">
        <v>1838</v>
      </c>
      <c r="AU99" s="228">
        <v>788</v>
      </c>
      <c r="AV99" s="229">
        <v>0.42880000000000001</v>
      </c>
      <c r="AW99" s="230">
        <v>2216</v>
      </c>
      <c r="AX99" s="230">
        <v>1518</v>
      </c>
      <c r="AY99" s="228">
        <v>699</v>
      </c>
      <c r="AZ99" s="229">
        <v>0.46039999999999998</v>
      </c>
      <c r="BA99" s="228">
        <v>355</v>
      </c>
      <c r="BB99" s="228">
        <v>301</v>
      </c>
      <c r="BC99" s="228">
        <v>55</v>
      </c>
      <c r="BD99" s="229">
        <v>0.18149999999999999</v>
      </c>
      <c r="BE99" s="228">
        <v>55</v>
      </c>
      <c r="BF99" s="228">
        <v>20</v>
      </c>
      <c r="BG99" s="228">
        <v>35</v>
      </c>
      <c r="BH99" s="229">
        <v>1.7434000000000001</v>
      </c>
      <c r="BI99" s="230">
        <v>9223</v>
      </c>
      <c r="BJ99" s="230">
        <v>5091</v>
      </c>
      <c r="BK99" s="230">
        <v>4132</v>
      </c>
      <c r="BL99" s="229">
        <v>0.81169999999999998</v>
      </c>
      <c r="BM99" s="230">
        <v>4162</v>
      </c>
      <c r="BN99" s="230">
        <v>2567</v>
      </c>
      <c r="BO99" s="230">
        <v>1594</v>
      </c>
      <c r="BP99" s="229">
        <v>0.621</v>
      </c>
      <c r="BQ99" s="230">
        <v>16011</v>
      </c>
      <c r="BR99" s="230">
        <v>9496</v>
      </c>
      <c r="BS99" s="230">
        <v>6515</v>
      </c>
      <c r="BT99" s="229">
        <v>0.68600000000000005</v>
      </c>
      <c r="BU99" s="230">
        <v>8770375</v>
      </c>
      <c r="BV99" s="230">
        <v>7317377</v>
      </c>
      <c r="BW99" s="230">
        <v>1452998</v>
      </c>
      <c r="BX99" s="229">
        <v>0.1986</v>
      </c>
      <c r="BY99" s="230">
        <v>9728</v>
      </c>
      <c r="BZ99" s="230">
        <v>9434</v>
      </c>
      <c r="CA99" s="228">
        <v>294</v>
      </c>
      <c r="CB99" s="229">
        <v>3.1199999999999999E-2</v>
      </c>
      <c r="CC99" s="230">
        <v>6434</v>
      </c>
      <c r="CD99" s="230">
        <v>6326</v>
      </c>
      <c r="CE99" s="228">
        <v>108</v>
      </c>
      <c r="CF99" s="229">
        <v>1.7100000000000001E-2</v>
      </c>
      <c r="CG99" s="230">
        <v>3202</v>
      </c>
      <c r="CH99" s="230">
        <v>3059</v>
      </c>
      <c r="CI99" s="228">
        <v>143</v>
      </c>
      <c r="CJ99" s="229">
        <v>4.6699999999999998E-2</v>
      </c>
      <c r="CK99" s="228">
        <v>92</v>
      </c>
      <c r="CL99" s="228">
        <v>49</v>
      </c>
      <c r="CM99" s="228">
        <v>43</v>
      </c>
      <c r="CN99" s="229">
        <v>0.87709999999999999</v>
      </c>
      <c r="CO99" s="230">
        <v>7917</v>
      </c>
      <c r="CP99" s="230">
        <v>6390</v>
      </c>
      <c r="CQ99" s="230">
        <v>1527</v>
      </c>
      <c r="CR99" s="229">
        <v>0.23899999999999999</v>
      </c>
      <c r="CS99" s="230">
        <v>3769</v>
      </c>
      <c r="CT99" s="230">
        <v>3096</v>
      </c>
      <c r="CU99" s="228">
        <v>673</v>
      </c>
      <c r="CV99" s="229">
        <v>0.2172</v>
      </c>
      <c r="CW99" s="230">
        <v>21414</v>
      </c>
      <c r="CX99" s="230">
        <v>18920</v>
      </c>
      <c r="CY99" s="230">
        <v>2494</v>
      </c>
      <c r="CZ99" s="229">
        <v>0.1318</v>
      </c>
      <c r="DA99" s="228">
        <v>34.9</v>
      </c>
      <c r="DB99" s="228">
        <v>34.659999999999997</v>
      </c>
      <c r="DC99" s="228">
        <v>0.24</v>
      </c>
      <c r="DD99" s="228">
        <v>0.24</v>
      </c>
      <c r="DE99" s="228">
        <v>29.29</v>
      </c>
      <c r="DF99" s="228">
        <v>29.36</v>
      </c>
      <c r="DG99" s="228">
        <v>5.61</v>
      </c>
      <c r="DH99" s="228">
        <v>-7.0000000000000007E-2</v>
      </c>
      <c r="DI99" s="228">
        <v>35.840000000000003</v>
      </c>
      <c r="DJ99" s="228">
        <v>35.340000000000003</v>
      </c>
      <c r="DK99" s="228">
        <v>0.5</v>
      </c>
      <c r="DL99" s="228">
        <v>0.5</v>
      </c>
      <c r="DM99" s="228">
        <v>32.82</v>
      </c>
      <c r="DN99" s="228">
        <v>33.299999999999997</v>
      </c>
      <c r="DO99" s="228">
        <v>-0.48</v>
      </c>
      <c r="DP99" s="228">
        <v>-0.48</v>
      </c>
      <c r="DQ99" s="228">
        <v>0.48</v>
      </c>
      <c r="DR99" s="228">
        <v>0.48</v>
      </c>
      <c r="DS99" s="228">
        <v>0</v>
      </c>
      <c r="DT99" s="229">
        <v>0</v>
      </c>
      <c r="DU99" s="231">
        <v>1560</v>
      </c>
      <c r="DV99" s="231">
        <v>1400</v>
      </c>
      <c r="DW99" s="228">
        <v>0.45</v>
      </c>
      <c r="DX99" s="228">
        <v>0.5</v>
      </c>
      <c r="DY99" s="228">
        <v>-0.05</v>
      </c>
      <c r="DZ99" s="229">
        <v>-0.1</v>
      </c>
      <c r="EA99" s="229">
        <v>0.33860000000000001</v>
      </c>
      <c r="EB99" s="230">
        <v>21334000</v>
      </c>
      <c r="EC99" s="229">
        <v>-1E-4</v>
      </c>
      <c r="ED99" s="229">
        <v>0.33860000000000001</v>
      </c>
      <c r="EE99" s="228">
        <v>-0.13</v>
      </c>
      <c r="EF99" s="229">
        <v>-1E-4</v>
      </c>
      <c r="EG99" s="230">
        <v>4748948</v>
      </c>
      <c r="EH99" s="230">
        <v>3797421</v>
      </c>
      <c r="EI99" s="229">
        <v>0.25059999999999999</v>
      </c>
      <c r="EJ99" s="229">
        <v>0.54149999999999998</v>
      </c>
      <c r="EK99" s="231">
        <v>9774.8700000000008</v>
      </c>
      <c r="EL99" s="231">
        <v>4088.68</v>
      </c>
      <c r="EM99" s="231">
        <v>2622.58</v>
      </c>
      <c r="EN99" s="228">
        <v>319.35000000000002</v>
      </c>
      <c r="EO99" s="231">
        <v>16486.12</v>
      </c>
      <c r="EP99" s="231">
        <v>9832.58</v>
      </c>
      <c r="EQ99" s="231">
        <v>6653.54</v>
      </c>
      <c r="ER99" s="229">
        <v>0.67669999999999997</v>
      </c>
      <c r="ES99" s="231">
        <v>8388.7800000000007</v>
      </c>
      <c r="ET99" s="231">
        <v>3681.82</v>
      </c>
      <c r="EU99" s="231">
        <v>9728.2900000000009</v>
      </c>
      <c r="EV99" s="231">
        <v>341789333</v>
      </c>
      <c r="EW99" s="231">
        <v>21798.9</v>
      </c>
      <c r="EX99" s="231">
        <v>19308.46</v>
      </c>
      <c r="EY99" s="231">
        <v>2490.44</v>
      </c>
      <c r="EZ99" s="229">
        <v>0.129</v>
      </c>
      <c r="FA99" s="229">
        <v>0.43</v>
      </c>
      <c r="FB99" s="227" t="s">
        <v>567</v>
      </c>
      <c r="FC99">
        <f t="shared" si="1"/>
        <v>3294</v>
      </c>
    </row>
    <row r="100" spans="1:159" ht="17.25" thickBot="1" x14ac:dyDescent="0.3">
      <c r="A100" s="226">
        <v>45946</v>
      </c>
      <c r="B100" s="227" t="s">
        <v>161</v>
      </c>
      <c r="C100" s="227" t="s">
        <v>670</v>
      </c>
      <c r="D100" s="228">
        <v>3272</v>
      </c>
      <c r="E100" s="228">
        <v>12</v>
      </c>
      <c r="F100" s="228">
        <v>147.26</v>
      </c>
      <c r="G100" s="228">
        <v>148.88999999999999</v>
      </c>
      <c r="H100" s="228">
        <v>-1.63</v>
      </c>
      <c r="I100" s="229">
        <v>-1.09E-2</v>
      </c>
      <c r="J100" s="228">
        <v>146.84</v>
      </c>
      <c r="K100" s="228">
        <v>148.19</v>
      </c>
      <c r="L100" s="228">
        <v>-1.35</v>
      </c>
      <c r="M100" s="229">
        <v>-9.1000000000000004E-3</v>
      </c>
      <c r="N100" s="228">
        <v>147.26</v>
      </c>
      <c r="O100" s="228">
        <v>148.88999999999999</v>
      </c>
      <c r="P100" s="228">
        <v>-1.63</v>
      </c>
      <c r="Q100" s="229">
        <v>-1.09E-2</v>
      </c>
      <c r="R100" s="228">
        <v>147.91</v>
      </c>
      <c r="S100" s="228">
        <v>149.66999999999999</v>
      </c>
      <c r="T100" s="228">
        <v>-1.76</v>
      </c>
      <c r="U100" s="229">
        <v>-1.18E-2</v>
      </c>
      <c r="V100" s="228">
        <v>148.80000000000001</v>
      </c>
      <c r="W100" s="228">
        <v>150.61000000000001</v>
      </c>
      <c r="X100" s="228">
        <v>-1.81</v>
      </c>
      <c r="Y100" s="229">
        <v>-1.2E-2</v>
      </c>
      <c r="Z100" s="228">
        <v>0.42</v>
      </c>
      <c r="AA100" s="228">
        <v>0.7</v>
      </c>
      <c r="AB100" s="228">
        <v>-0.28000000000000003</v>
      </c>
      <c r="AC100" s="229">
        <v>2.8999999999999998E-3</v>
      </c>
      <c r="AD100" s="228">
        <v>0.42</v>
      </c>
      <c r="AE100" s="228">
        <v>0.7</v>
      </c>
      <c r="AF100" s="228">
        <v>-0.28000000000000003</v>
      </c>
      <c r="AG100" s="229">
        <v>2.8999999999999998E-3</v>
      </c>
      <c r="AH100" s="228">
        <v>1.07</v>
      </c>
      <c r="AI100" s="228">
        <v>1.48</v>
      </c>
      <c r="AJ100" s="228">
        <v>-0.41</v>
      </c>
      <c r="AK100" s="229">
        <v>7.3000000000000001E-3</v>
      </c>
      <c r="AL100" s="228">
        <v>1.96</v>
      </c>
      <c r="AM100" s="228">
        <v>2.42</v>
      </c>
      <c r="AN100" s="228">
        <v>-0.46</v>
      </c>
      <c r="AO100" s="229">
        <v>1.3299999999999999E-2</v>
      </c>
      <c r="AP100" s="228">
        <v>147.97999999999999</v>
      </c>
      <c r="AQ100" s="228">
        <v>148.56</v>
      </c>
      <c r="AR100" s="228">
        <v>0</v>
      </c>
      <c r="AS100" s="228">
        <v>78</v>
      </c>
      <c r="AT100" s="228">
        <v>85</v>
      </c>
      <c r="AU100" s="228">
        <v>-7</v>
      </c>
      <c r="AV100" s="229">
        <v>-8.5099999999999995E-2</v>
      </c>
      <c r="AW100" s="228">
        <v>69</v>
      </c>
      <c r="AX100" s="228">
        <v>73</v>
      </c>
      <c r="AY100" s="228">
        <v>-5</v>
      </c>
      <c r="AZ100" s="229">
        <v>-6.3600000000000004E-2</v>
      </c>
      <c r="BA100" s="228">
        <v>8</v>
      </c>
      <c r="BB100" s="228">
        <v>11</v>
      </c>
      <c r="BC100" s="228">
        <v>-3</v>
      </c>
      <c r="BD100" s="229">
        <v>-0.24890000000000001</v>
      </c>
      <c r="BE100" s="228">
        <v>1</v>
      </c>
      <c r="BF100" s="228">
        <v>0</v>
      </c>
      <c r="BG100" s="228">
        <v>0</v>
      </c>
      <c r="BH100" s="229">
        <v>0.44440000000000002</v>
      </c>
      <c r="BI100" s="228">
        <v>110</v>
      </c>
      <c r="BJ100" s="228">
        <v>171</v>
      </c>
      <c r="BK100" s="228">
        <v>-61</v>
      </c>
      <c r="BL100" s="229">
        <v>-0.35709999999999997</v>
      </c>
      <c r="BM100" s="228">
        <v>33</v>
      </c>
      <c r="BN100" s="228">
        <v>64</v>
      </c>
      <c r="BO100" s="228">
        <v>-31</v>
      </c>
      <c r="BP100" s="229">
        <v>-0.48259999999999997</v>
      </c>
      <c r="BQ100" s="228">
        <v>221</v>
      </c>
      <c r="BR100" s="228">
        <v>320</v>
      </c>
      <c r="BS100" s="228">
        <v>-99</v>
      </c>
      <c r="BT100" s="229">
        <v>-0.30990000000000001</v>
      </c>
      <c r="BU100" s="230">
        <v>2868030</v>
      </c>
      <c r="BV100" s="230">
        <v>6970470</v>
      </c>
      <c r="BW100" s="230">
        <v>-4102440</v>
      </c>
      <c r="BX100" s="229">
        <v>-0.58850000000000002</v>
      </c>
      <c r="BY100" s="228">
        <v>701</v>
      </c>
      <c r="BZ100" s="228">
        <v>696</v>
      </c>
      <c r="CA100" s="228">
        <v>5</v>
      </c>
      <c r="CB100" s="229">
        <v>7.0000000000000001E-3</v>
      </c>
      <c r="CC100" s="228">
        <v>657</v>
      </c>
      <c r="CD100" s="228">
        <v>655</v>
      </c>
      <c r="CE100" s="228">
        <v>2</v>
      </c>
      <c r="CF100" s="229">
        <v>3.0999999999999999E-3</v>
      </c>
      <c r="CG100" s="228">
        <v>41</v>
      </c>
      <c r="CH100" s="228">
        <v>38</v>
      </c>
      <c r="CI100" s="228">
        <v>2</v>
      </c>
      <c r="CJ100" s="229">
        <v>6.13E-2</v>
      </c>
      <c r="CK100" s="228">
        <v>3</v>
      </c>
      <c r="CL100" s="228">
        <v>2</v>
      </c>
      <c r="CM100" s="228">
        <v>0</v>
      </c>
      <c r="CN100" s="229">
        <v>0.1961</v>
      </c>
      <c r="CO100" s="228">
        <v>315</v>
      </c>
      <c r="CP100" s="228">
        <v>308</v>
      </c>
      <c r="CQ100" s="228">
        <v>7</v>
      </c>
      <c r="CR100" s="229">
        <v>2.2499999999999999E-2</v>
      </c>
      <c r="CS100" s="228">
        <v>144</v>
      </c>
      <c r="CT100" s="228">
        <v>141</v>
      </c>
      <c r="CU100" s="228">
        <v>3</v>
      </c>
      <c r="CV100" s="229">
        <v>2.2200000000000001E-2</v>
      </c>
      <c r="CW100" s="230">
        <v>1160</v>
      </c>
      <c r="CX100" s="230">
        <v>1145</v>
      </c>
      <c r="CY100" s="228">
        <v>15</v>
      </c>
      <c r="CZ100" s="229">
        <v>1.2999999999999999E-2</v>
      </c>
      <c r="DA100" s="228">
        <v>35.33</v>
      </c>
      <c r="DB100" s="228">
        <v>34.69</v>
      </c>
      <c r="DC100" s="228">
        <v>0.64</v>
      </c>
      <c r="DD100" s="228">
        <v>0.64</v>
      </c>
      <c r="DE100" s="228">
        <v>56.76</v>
      </c>
      <c r="DF100" s="228">
        <v>56.89</v>
      </c>
      <c r="DG100" s="228">
        <v>-21.43</v>
      </c>
      <c r="DH100" s="228">
        <v>-0.13</v>
      </c>
      <c r="DI100" s="228">
        <v>35.06</v>
      </c>
      <c r="DJ100" s="228">
        <v>34.78</v>
      </c>
      <c r="DK100" s="228">
        <v>0.28000000000000003</v>
      </c>
      <c r="DL100" s="228">
        <v>0.28000000000000003</v>
      </c>
      <c r="DM100" s="228">
        <v>36.22</v>
      </c>
      <c r="DN100" s="228">
        <v>34.43</v>
      </c>
      <c r="DO100" s="228">
        <v>1.79</v>
      </c>
      <c r="DP100" s="228">
        <v>1.79</v>
      </c>
      <c r="DQ100" s="228">
        <v>0.46</v>
      </c>
      <c r="DR100" s="228">
        <v>0.46</v>
      </c>
      <c r="DS100" s="228">
        <v>0</v>
      </c>
      <c r="DT100" s="229">
        <v>0</v>
      </c>
      <c r="DU100" s="228">
        <v>150</v>
      </c>
      <c r="DV100" s="228">
        <v>140</v>
      </c>
      <c r="DW100" s="228">
        <v>0.3</v>
      </c>
      <c r="DX100" s="228">
        <v>0.37</v>
      </c>
      <c r="DY100" s="228">
        <v>-7.0000000000000007E-2</v>
      </c>
      <c r="DZ100" s="229">
        <v>-0.18920000000000001</v>
      </c>
      <c r="EA100" s="229">
        <v>6.25E-2</v>
      </c>
      <c r="EB100" s="230">
        <v>2781200</v>
      </c>
      <c r="EC100" s="229">
        <v>4.4000000000000003E-3</v>
      </c>
      <c r="ED100" s="229">
        <v>6.25E-2</v>
      </c>
      <c r="EE100" s="228">
        <v>0.57999999999999996</v>
      </c>
      <c r="EF100" s="229">
        <v>3.8999999999999998E-3</v>
      </c>
      <c r="EG100" s="230">
        <v>1224915</v>
      </c>
      <c r="EH100" s="230">
        <v>3493615</v>
      </c>
      <c r="EI100" s="229">
        <v>-0.64939999999999998</v>
      </c>
      <c r="EJ100" s="229">
        <v>0.42709999999999998</v>
      </c>
      <c r="EK100" s="228">
        <v>116.29</v>
      </c>
      <c r="EL100" s="228">
        <v>33.71</v>
      </c>
      <c r="EM100" s="228">
        <v>78.09</v>
      </c>
      <c r="EN100" s="228">
        <v>30.48</v>
      </c>
      <c r="EO100" s="228">
        <v>228.09</v>
      </c>
      <c r="EP100" s="228">
        <v>331.1</v>
      </c>
      <c r="EQ100" s="228">
        <v>-103.01</v>
      </c>
      <c r="ER100" s="229">
        <v>-0.31109999999999999</v>
      </c>
      <c r="ES100" s="228">
        <v>333.97</v>
      </c>
      <c r="ET100" s="228">
        <v>139.97</v>
      </c>
      <c r="EU100" s="228">
        <v>701.18</v>
      </c>
      <c r="EV100" s="231">
        <v>144708707</v>
      </c>
      <c r="EW100" s="231">
        <v>1175.1300000000001</v>
      </c>
      <c r="EX100" s="231">
        <v>1167.73</v>
      </c>
      <c r="EY100" s="228">
        <v>7.4</v>
      </c>
      <c r="EZ100" s="229">
        <v>6.3E-3</v>
      </c>
      <c r="FA100" s="229">
        <v>0.54430000000000001</v>
      </c>
      <c r="FB100" s="227" t="s">
        <v>567</v>
      </c>
      <c r="FC100">
        <f t="shared" si="1"/>
        <v>44</v>
      </c>
    </row>
    <row r="101" spans="1:159" ht="17.25" thickBot="1" x14ac:dyDescent="0.3">
      <c r="A101" s="226">
        <v>45946</v>
      </c>
      <c r="B101" s="227" t="s">
        <v>193</v>
      </c>
      <c r="C101" s="227" t="s">
        <v>241</v>
      </c>
      <c r="D101" s="228">
        <v>4875</v>
      </c>
      <c r="E101" s="228">
        <v>12</v>
      </c>
      <c r="F101" s="228">
        <v>153.91999999999999</v>
      </c>
      <c r="G101" s="228">
        <v>154.37</v>
      </c>
      <c r="H101" s="228">
        <v>-0.45</v>
      </c>
      <c r="I101" s="229">
        <v>-2.8999999999999998E-3</v>
      </c>
      <c r="J101" s="228">
        <v>153.66999999999999</v>
      </c>
      <c r="K101" s="228">
        <v>153.69</v>
      </c>
      <c r="L101" s="228">
        <v>-0.02</v>
      </c>
      <c r="M101" s="229">
        <v>-1E-4</v>
      </c>
      <c r="N101" s="228">
        <v>153.91999999999999</v>
      </c>
      <c r="O101" s="228">
        <v>154.37</v>
      </c>
      <c r="P101" s="228">
        <v>-0.45</v>
      </c>
      <c r="Q101" s="229">
        <v>-2.8999999999999998E-3</v>
      </c>
      <c r="R101" s="228">
        <v>154.6</v>
      </c>
      <c r="S101" s="228">
        <v>155</v>
      </c>
      <c r="T101" s="228">
        <v>-0.4</v>
      </c>
      <c r="U101" s="229">
        <v>-2.5999999999999999E-3</v>
      </c>
      <c r="V101" s="228">
        <v>155.38</v>
      </c>
      <c r="W101" s="228">
        <v>155.88</v>
      </c>
      <c r="X101" s="228">
        <v>-0.5</v>
      </c>
      <c r="Y101" s="229">
        <v>-3.2000000000000002E-3</v>
      </c>
      <c r="Z101" s="228">
        <v>0.25</v>
      </c>
      <c r="AA101" s="228">
        <v>0.68</v>
      </c>
      <c r="AB101" s="228">
        <v>-0.43</v>
      </c>
      <c r="AC101" s="229">
        <v>1.6000000000000001E-3</v>
      </c>
      <c r="AD101" s="228">
        <v>0.25</v>
      </c>
      <c r="AE101" s="228">
        <v>0.68</v>
      </c>
      <c r="AF101" s="228">
        <v>-0.43</v>
      </c>
      <c r="AG101" s="229">
        <v>1.6000000000000001E-3</v>
      </c>
      <c r="AH101" s="228">
        <v>0.93</v>
      </c>
      <c r="AI101" s="228">
        <v>1.31</v>
      </c>
      <c r="AJ101" s="228">
        <v>-0.38</v>
      </c>
      <c r="AK101" s="229">
        <v>6.1000000000000004E-3</v>
      </c>
      <c r="AL101" s="228">
        <v>1.71</v>
      </c>
      <c r="AM101" s="228">
        <v>2.19</v>
      </c>
      <c r="AN101" s="228">
        <v>-0.48</v>
      </c>
      <c r="AO101" s="229">
        <v>1.11E-2</v>
      </c>
      <c r="AP101" s="228">
        <v>153.87</v>
      </c>
      <c r="AQ101" s="228">
        <v>154.13999999999999</v>
      </c>
      <c r="AR101" s="228">
        <v>0</v>
      </c>
      <c r="AS101" s="228">
        <v>285</v>
      </c>
      <c r="AT101" s="228">
        <v>336</v>
      </c>
      <c r="AU101" s="228">
        <v>-51</v>
      </c>
      <c r="AV101" s="229">
        <v>-0.15049999999999999</v>
      </c>
      <c r="AW101" s="228">
        <v>239</v>
      </c>
      <c r="AX101" s="228">
        <v>301</v>
      </c>
      <c r="AY101" s="228">
        <v>-62</v>
      </c>
      <c r="AZ101" s="229">
        <v>-0.2072</v>
      </c>
      <c r="BA101" s="228">
        <v>39</v>
      </c>
      <c r="BB101" s="228">
        <v>31</v>
      </c>
      <c r="BC101" s="228">
        <v>9</v>
      </c>
      <c r="BD101" s="229">
        <v>0.28749999999999998</v>
      </c>
      <c r="BE101" s="228">
        <v>7</v>
      </c>
      <c r="BF101" s="228">
        <v>4</v>
      </c>
      <c r="BG101" s="228">
        <v>3</v>
      </c>
      <c r="BH101" s="229">
        <v>0.73209999999999997</v>
      </c>
      <c r="BI101" s="228">
        <v>944</v>
      </c>
      <c r="BJ101" s="228">
        <v>632</v>
      </c>
      <c r="BK101" s="228">
        <v>312</v>
      </c>
      <c r="BL101" s="229">
        <v>0.49390000000000001</v>
      </c>
      <c r="BM101" s="228">
        <v>539</v>
      </c>
      <c r="BN101" s="228">
        <v>356</v>
      </c>
      <c r="BO101" s="228">
        <v>183</v>
      </c>
      <c r="BP101" s="229">
        <v>0.51380000000000003</v>
      </c>
      <c r="BQ101" s="230">
        <v>1768</v>
      </c>
      <c r="BR101" s="230">
        <v>1324</v>
      </c>
      <c r="BS101" s="228">
        <v>444</v>
      </c>
      <c r="BT101" s="229">
        <v>0.3357</v>
      </c>
      <c r="BU101" s="230">
        <v>7426802</v>
      </c>
      <c r="BV101" s="230">
        <v>19374085</v>
      </c>
      <c r="BW101" s="230">
        <v>-11947283</v>
      </c>
      <c r="BX101" s="229">
        <v>-0.61670000000000003</v>
      </c>
      <c r="BY101" s="230">
        <v>1654</v>
      </c>
      <c r="BZ101" s="230">
        <v>1641</v>
      </c>
      <c r="CA101" s="228">
        <v>13</v>
      </c>
      <c r="CB101" s="229">
        <v>8.0000000000000002E-3</v>
      </c>
      <c r="CC101" s="230">
        <v>1535</v>
      </c>
      <c r="CD101" s="230">
        <v>1539</v>
      </c>
      <c r="CE101" s="228">
        <v>-4</v>
      </c>
      <c r="CF101" s="229">
        <v>-2.8E-3</v>
      </c>
      <c r="CG101" s="228">
        <v>110</v>
      </c>
      <c r="CH101" s="228">
        <v>93</v>
      </c>
      <c r="CI101" s="228">
        <v>17</v>
      </c>
      <c r="CJ101" s="229">
        <v>0.1817</v>
      </c>
      <c r="CK101" s="228">
        <v>9</v>
      </c>
      <c r="CL101" s="228">
        <v>9</v>
      </c>
      <c r="CM101" s="228">
        <v>0</v>
      </c>
      <c r="CN101" s="229">
        <v>5.2200000000000003E-2</v>
      </c>
      <c r="CO101" s="228">
        <v>811</v>
      </c>
      <c r="CP101" s="228">
        <v>780</v>
      </c>
      <c r="CQ101" s="228">
        <v>30</v>
      </c>
      <c r="CR101" s="229">
        <v>3.8699999999999998E-2</v>
      </c>
      <c r="CS101" s="228">
        <v>530</v>
      </c>
      <c r="CT101" s="228">
        <v>496</v>
      </c>
      <c r="CU101" s="228">
        <v>35</v>
      </c>
      <c r="CV101" s="229">
        <v>7.0400000000000004E-2</v>
      </c>
      <c r="CW101" s="230">
        <v>2995</v>
      </c>
      <c r="CX101" s="230">
        <v>2917</v>
      </c>
      <c r="CY101" s="228">
        <v>78</v>
      </c>
      <c r="CZ101" s="229">
        <v>2.6800000000000001E-2</v>
      </c>
      <c r="DA101" s="228">
        <v>24.59</v>
      </c>
      <c r="DB101" s="228">
        <v>25.41</v>
      </c>
      <c r="DC101" s="228">
        <v>-0.82</v>
      </c>
      <c r="DD101" s="228">
        <v>-0.82</v>
      </c>
      <c r="DE101" s="228">
        <v>31.99</v>
      </c>
      <c r="DF101" s="228">
        <v>32.06</v>
      </c>
      <c r="DG101" s="228">
        <v>-7.4</v>
      </c>
      <c r="DH101" s="228">
        <v>-7.0000000000000007E-2</v>
      </c>
      <c r="DI101" s="228">
        <v>24.87</v>
      </c>
      <c r="DJ101" s="228">
        <v>25.38</v>
      </c>
      <c r="DK101" s="228">
        <v>-0.51</v>
      </c>
      <c r="DL101" s="228">
        <v>-0.51</v>
      </c>
      <c r="DM101" s="228">
        <v>24.11</v>
      </c>
      <c r="DN101" s="228">
        <v>25.46</v>
      </c>
      <c r="DO101" s="228">
        <v>-1.35</v>
      </c>
      <c r="DP101" s="228">
        <v>-1.35</v>
      </c>
      <c r="DQ101" s="228">
        <v>0.65</v>
      </c>
      <c r="DR101" s="228">
        <v>0.64</v>
      </c>
      <c r="DS101" s="228">
        <v>0.01</v>
      </c>
      <c r="DT101" s="229">
        <v>1.5599999999999999E-2</v>
      </c>
      <c r="DU101" s="228">
        <v>155</v>
      </c>
      <c r="DV101" s="228">
        <v>150</v>
      </c>
      <c r="DW101" s="228">
        <v>0.56999999999999995</v>
      </c>
      <c r="DX101" s="228">
        <v>0.56000000000000005</v>
      </c>
      <c r="DY101" s="228">
        <v>0.01</v>
      </c>
      <c r="DZ101" s="229">
        <v>1.7899999999999999E-2</v>
      </c>
      <c r="EA101" s="229">
        <v>7.22E-2</v>
      </c>
      <c r="EB101" s="230">
        <v>6625125</v>
      </c>
      <c r="EC101" s="229">
        <v>4.4000000000000003E-3</v>
      </c>
      <c r="ED101" s="229">
        <v>7.22E-2</v>
      </c>
      <c r="EE101" s="228">
        <v>0.27</v>
      </c>
      <c r="EF101" s="229">
        <v>1.8E-3</v>
      </c>
      <c r="EG101" s="230">
        <v>2868080</v>
      </c>
      <c r="EH101" s="230">
        <v>13600829</v>
      </c>
      <c r="EI101" s="229">
        <v>-0.78910000000000002</v>
      </c>
      <c r="EJ101" s="229">
        <v>0.38619999999999999</v>
      </c>
      <c r="EK101" s="228">
        <v>976.75</v>
      </c>
      <c r="EL101" s="228">
        <v>536.72</v>
      </c>
      <c r="EM101" s="228">
        <v>285.49</v>
      </c>
      <c r="EN101" s="228">
        <v>38.93</v>
      </c>
      <c r="EO101" s="231">
        <v>1798.95</v>
      </c>
      <c r="EP101" s="231">
        <v>1345.03</v>
      </c>
      <c r="EQ101" s="228">
        <v>453.93</v>
      </c>
      <c r="ER101" s="229">
        <v>0.33750000000000002</v>
      </c>
      <c r="ES101" s="228">
        <v>830.98</v>
      </c>
      <c r="ET101" s="228">
        <v>513.59</v>
      </c>
      <c r="EU101" s="231">
        <v>1654.67</v>
      </c>
      <c r="EV101" s="231">
        <v>684903861</v>
      </c>
      <c r="EW101" s="231">
        <v>2999.24</v>
      </c>
      <c r="EX101" s="231">
        <v>2926.59</v>
      </c>
      <c r="EY101" s="228">
        <v>72.650000000000006</v>
      </c>
      <c r="EZ101" s="229">
        <v>2.4799999999999999E-2</v>
      </c>
      <c r="FA101" s="229">
        <v>0.28410000000000002</v>
      </c>
      <c r="FB101" s="227" t="s">
        <v>567</v>
      </c>
      <c r="FC101">
        <f t="shared" si="1"/>
        <v>119</v>
      </c>
    </row>
    <row r="102" spans="1:159" ht="17.25" thickBot="1" x14ac:dyDescent="0.3">
      <c r="A102" s="226">
        <v>45946</v>
      </c>
      <c r="B102" s="227" t="s">
        <v>215</v>
      </c>
      <c r="C102" s="227" t="s">
        <v>490</v>
      </c>
      <c r="D102" s="228">
        <v>875</v>
      </c>
      <c r="E102" s="228">
        <v>12</v>
      </c>
      <c r="F102" s="228">
        <v>720.95</v>
      </c>
      <c r="G102" s="228">
        <v>719</v>
      </c>
      <c r="H102" s="228">
        <v>1.95</v>
      </c>
      <c r="I102" s="229">
        <v>2.7000000000000001E-3</v>
      </c>
      <c r="J102" s="228">
        <v>718.9</v>
      </c>
      <c r="K102" s="228">
        <v>716.15</v>
      </c>
      <c r="L102" s="228">
        <v>2.75</v>
      </c>
      <c r="M102" s="229">
        <v>3.8E-3</v>
      </c>
      <c r="N102" s="228">
        <v>720.95</v>
      </c>
      <c r="O102" s="228">
        <v>719</v>
      </c>
      <c r="P102" s="228">
        <v>1.95</v>
      </c>
      <c r="Q102" s="229">
        <v>2.7000000000000001E-3</v>
      </c>
      <c r="R102" s="228">
        <v>722.05</v>
      </c>
      <c r="S102" s="228">
        <v>719.85</v>
      </c>
      <c r="T102" s="228">
        <v>2.2000000000000002</v>
      </c>
      <c r="U102" s="229">
        <v>3.0999999999999999E-3</v>
      </c>
      <c r="V102" s="228">
        <v>726</v>
      </c>
      <c r="W102" s="228">
        <v>724.4</v>
      </c>
      <c r="X102" s="228">
        <v>1.6</v>
      </c>
      <c r="Y102" s="229">
        <v>2.2000000000000001E-3</v>
      </c>
      <c r="Z102" s="228">
        <v>2.0499999999999998</v>
      </c>
      <c r="AA102" s="228">
        <v>2.85</v>
      </c>
      <c r="AB102" s="228">
        <v>-0.8</v>
      </c>
      <c r="AC102" s="229">
        <v>2.8999999999999998E-3</v>
      </c>
      <c r="AD102" s="228">
        <v>2.0499999999999998</v>
      </c>
      <c r="AE102" s="228">
        <v>2.85</v>
      </c>
      <c r="AF102" s="228">
        <v>-0.8</v>
      </c>
      <c r="AG102" s="229">
        <v>2.8999999999999998E-3</v>
      </c>
      <c r="AH102" s="228">
        <v>3.15</v>
      </c>
      <c r="AI102" s="228">
        <v>3.7</v>
      </c>
      <c r="AJ102" s="228">
        <v>-0.55000000000000004</v>
      </c>
      <c r="AK102" s="229">
        <v>4.4000000000000003E-3</v>
      </c>
      <c r="AL102" s="228">
        <v>7.1</v>
      </c>
      <c r="AM102" s="228">
        <v>8.25</v>
      </c>
      <c r="AN102" s="228">
        <v>-1.1499999999999999</v>
      </c>
      <c r="AO102" s="229">
        <v>9.9000000000000008E-3</v>
      </c>
      <c r="AP102" s="228">
        <v>721.62</v>
      </c>
      <c r="AQ102" s="228">
        <v>722.77</v>
      </c>
      <c r="AR102" s="228">
        <v>0</v>
      </c>
      <c r="AS102" s="228">
        <v>109</v>
      </c>
      <c r="AT102" s="228">
        <v>178</v>
      </c>
      <c r="AU102" s="228">
        <v>-69</v>
      </c>
      <c r="AV102" s="229">
        <v>-0.38929999999999998</v>
      </c>
      <c r="AW102" s="228">
        <v>86</v>
      </c>
      <c r="AX102" s="228">
        <v>144</v>
      </c>
      <c r="AY102" s="228">
        <v>-57</v>
      </c>
      <c r="AZ102" s="229">
        <v>-0.40029999999999999</v>
      </c>
      <c r="BA102" s="228">
        <v>20</v>
      </c>
      <c r="BB102" s="228">
        <v>30</v>
      </c>
      <c r="BC102" s="228">
        <v>-10</v>
      </c>
      <c r="BD102" s="229">
        <v>-0.33129999999999998</v>
      </c>
      <c r="BE102" s="228">
        <v>2</v>
      </c>
      <c r="BF102" s="228">
        <v>4</v>
      </c>
      <c r="BG102" s="228">
        <v>-2</v>
      </c>
      <c r="BH102" s="229">
        <v>-0.44069999999999998</v>
      </c>
      <c r="BI102" s="228">
        <v>585</v>
      </c>
      <c r="BJ102" s="228">
        <v>997</v>
      </c>
      <c r="BK102" s="228">
        <v>-413</v>
      </c>
      <c r="BL102" s="229">
        <v>-0.41399999999999998</v>
      </c>
      <c r="BM102" s="228">
        <v>168</v>
      </c>
      <c r="BN102" s="228">
        <v>198</v>
      </c>
      <c r="BO102" s="228">
        <v>-30</v>
      </c>
      <c r="BP102" s="229">
        <v>-0.15190000000000001</v>
      </c>
      <c r="BQ102" s="228">
        <v>861</v>
      </c>
      <c r="BR102" s="230">
        <v>1373</v>
      </c>
      <c r="BS102" s="228">
        <v>-512</v>
      </c>
      <c r="BT102" s="229">
        <v>-0.373</v>
      </c>
      <c r="BU102" s="230">
        <v>589303</v>
      </c>
      <c r="BV102" s="230">
        <v>810955</v>
      </c>
      <c r="BW102" s="230">
        <v>-221652</v>
      </c>
      <c r="BX102" s="229">
        <v>-0.27329999999999999</v>
      </c>
      <c r="BY102" s="230">
        <v>1142</v>
      </c>
      <c r="BZ102" s="230">
        <v>1157</v>
      </c>
      <c r="CA102" s="228">
        <v>-15</v>
      </c>
      <c r="CB102" s="229">
        <v>-1.2999999999999999E-2</v>
      </c>
      <c r="CC102" s="228">
        <v>978</v>
      </c>
      <c r="CD102" s="230">
        <v>1003</v>
      </c>
      <c r="CE102" s="228">
        <v>-25</v>
      </c>
      <c r="CF102" s="229">
        <v>-2.4500000000000001E-2</v>
      </c>
      <c r="CG102" s="228">
        <v>154</v>
      </c>
      <c r="CH102" s="228">
        <v>145</v>
      </c>
      <c r="CI102" s="228">
        <v>9</v>
      </c>
      <c r="CJ102" s="229">
        <v>6.13E-2</v>
      </c>
      <c r="CK102" s="228">
        <v>9</v>
      </c>
      <c r="CL102" s="228">
        <v>9</v>
      </c>
      <c r="CM102" s="228">
        <v>1</v>
      </c>
      <c r="CN102" s="229">
        <v>7.2499999999999995E-2</v>
      </c>
      <c r="CO102" s="228">
        <v>748</v>
      </c>
      <c r="CP102" s="228">
        <v>748</v>
      </c>
      <c r="CQ102" s="228">
        <v>0</v>
      </c>
      <c r="CR102" s="229">
        <v>-1E-4</v>
      </c>
      <c r="CS102" s="228">
        <v>364</v>
      </c>
      <c r="CT102" s="228">
        <v>375</v>
      </c>
      <c r="CU102" s="228">
        <v>-11</v>
      </c>
      <c r="CV102" s="229">
        <v>-2.9399999999999999E-2</v>
      </c>
      <c r="CW102" s="230">
        <v>2254</v>
      </c>
      <c r="CX102" s="230">
        <v>2280</v>
      </c>
      <c r="CY102" s="228">
        <v>-26</v>
      </c>
      <c r="CZ102" s="229">
        <v>-1.15E-2</v>
      </c>
      <c r="DA102" s="228">
        <v>20.6</v>
      </c>
      <c r="DB102" s="228">
        <v>22.35</v>
      </c>
      <c r="DC102" s="228">
        <v>-1.75</v>
      </c>
      <c r="DD102" s="228">
        <v>-1.75</v>
      </c>
      <c r="DE102" s="228">
        <v>31.2</v>
      </c>
      <c r="DF102" s="228">
        <v>31.27</v>
      </c>
      <c r="DG102" s="228">
        <v>-10.6</v>
      </c>
      <c r="DH102" s="228">
        <v>-7.0000000000000007E-2</v>
      </c>
      <c r="DI102" s="228">
        <v>20.8</v>
      </c>
      <c r="DJ102" s="228">
        <v>22.57</v>
      </c>
      <c r="DK102" s="228">
        <v>-1.77</v>
      </c>
      <c r="DL102" s="228">
        <v>-1.77</v>
      </c>
      <c r="DM102" s="228">
        <v>19.920000000000002</v>
      </c>
      <c r="DN102" s="228">
        <v>21.23</v>
      </c>
      <c r="DO102" s="228">
        <v>-1.31</v>
      </c>
      <c r="DP102" s="228">
        <v>-1.31</v>
      </c>
      <c r="DQ102" s="228">
        <v>0.49</v>
      </c>
      <c r="DR102" s="228">
        <v>0.5</v>
      </c>
      <c r="DS102" s="228">
        <v>-0.01</v>
      </c>
      <c r="DT102" s="229">
        <v>-0.02</v>
      </c>
      <c r="DU102" s="228">
        <v>750</v>
      </c>
      <c r="DV102" s="228">
        <v>700</v>
      </c>
      <c r="DW102" s="228">
        <v>0.28999999999999998</v>
      </c>
      <c r="DX102" s="228">
        <v>0.2</v>
      </c>
      <c r="DY102" s="228">
        <v>0.09</v>
      </c>
      <c r="DZ102" s="229">
        <v>0.45</v>
      </c>
      <c r="EA102" s="229">
        <v>0.1431</v>
      </c>
      <c r="EB102" s="230">
        <v>2134125</v>
      </c>
      <c r="EC102" s="229">
        <v>1.5E-3</v>
      </c>
      <c r="ED102" s="229">
        <v>0.1431</v>
      </c>
      <c r="EE102" s="228">
        <v>1.1499999999999999</v>
      </c>
      <c r="EF102" s="229">
        <v>1.6000000000000001E-3</v>
      </c>
      <c r="EG102" s="230">
        <v>341213</v>
      </c>
      <c r="EH102" s="230">
        <v>386302</v>
      </c>
      <c r="EI102" s="229">
        <v>-0.1167</v>
      </c>
      <c r="EJ102" s="229">
        <v>0.57899999999999996</v>
      </c>
      <c r="EK102" s="228">
        <v>600.77</v>
      </c>
      <c r="EL102" s="228">
        <v>165.81</v>
      </c>
      <c r="EM102" s="228">
        <v>108.72</v>
      </c>
      <c r="EN102" s="228">
        <v>20.92</v>
      </c>
      <c r="EO102" s="228">
        <v>875.3</v>
      </c>
      <c r="EP102" s="231">
        <v>1400.45</v>
      </c>
      <c r="EQ102" s="228">
        <v>-525.15</v>
      </c>
      <c r="ER102" s="229">
        <v>-0.375</v>
      </c>
      <c r="ES102" s="228">
        <v>777.48</v>
      </c>
      <c r="ET102" s="228">
        <v>360.07</v>
      </c>
      <c r="EU102" s="231">
        <v>1142.17</v>
      </c>
      <c r="EV102" s="231">
        <v>30082783</v>
      </c>
      <c r="EW102" s="231">
        <v>2279.7199999999998</v>
      </c>
      <c r="EX102" s="231">
        <v>2301</v>
      </c>
      <c r="EY102" s="228">
        <v>-21.28</v>
      </c>
      <c r="EZ102" s="229">
        <v>-9.1999999999999998E-3</v>
      </c>
      <c r="FA102" s="229">
        <v>1.0390999999999999</v>
      </c>
      <c r="FB102" s="227" t="s">
        <v>556</v>
      </c>
      <c r="FC102">
        <f t="shared" si="1"/>
        <v>164</v>
      </c>
    </row>
    <row r="103" spans="1:159" ht="17.25" thickBot="1" x14ac:dyDescent="0.3">
      <c r="A103" s="226">
        <v>45946</v>
      </c>
      <c r="B103" s="227" t="s">
        <v>175</v>
      </c>
      <c r="C103" s="227" t="s">
        <v>665</v>
      </c>
      <c r="D103" s="228">
        <v>3450</v>
      </c>
      <c r="E103" s="228">
        <v>12</v>
      </c>
      <c r="F103" s="228">
        <v>153.19</v>
      </c>
      <c r="G103" s="228">
        <v>155.24</v>
      </c>
      <c r="H103" s="228">
        <v>-2.0499999999999998</v>
      </c>
      <c r="I103" s="229">
        <v>-1.32E-2</v>
      </c>
      <c r="J103" s="228">
        <v>153.13</v>
      </c>
      <c r="K103" s="228">
        <v>154.88999999999999</v>
      </c>
      <c r="L103" s="228">
        <v>-1.76</v>
      </c>
      <c r="M103" s="229">
        <v>-1.14E-2</v>
      </c>
      <c r="N103" s="228">
        <v>153.19</v>
      </c>
      <c r="O103" s="228">
        <v>155.24</v>
      </c>
      <c r="P103" s="228">
        <v>-2.0499999999999998</v>
      </c>
      <c r="Q103" s="229">
        <v>-1.32E-2</v>
      </c>
      <c r="R103" s="228">
        <v>151.96</v>
      </c>
      <c r="S103" s="228">
        <v>154.04</v>
      </c>
      <c r="T103" s="228">
        <v>-2.08</v>
      </c>
      <c r="U103" s="229">
        <v>-1.35E-2</v>
      </c>
      <c r="V103" s="228">
        <v>151.57</v>
      </c>
      <c r="W103" s="228">
        <v>153.79</v>
      </c>
      <c r="X103" s="228">
        <v>-2.2200000000000002</v>
      </c>
      <c r="Y103" s="229">
        <v>-1.44E-2</v>
      </c>
      <c r="Z103" s="228">
        <v>0.06</v>
      </c>
      <c r="AA103" s="228">
        <v>0.35</v>
      </c>
      <c r="AB103" s="228">
        <v>-0.28999999999999998</v>
      </c>
      <c r="AC103" s="229">
        <v>4.0000000000000002E-4</v>
      </c>
      <c r="AD103" s="228">
        <v>0.06</v>
      </c>
      <c r="AE103" s="228">
        <v>0.35</v>
      </c>
      <c r="AF103" s="228">
        <v>-0.28999999999999998</v>
      </c>
      <c r="AG103" s="229">
        <v>4.0000000000000002E-4</v>
      </c>
      <c r="AH103" s="228">
        <v>-1.17</v>
      </c>
      <c r="AI103" s="228">
        <v>-0.85</v>
      </c>
      <c r="AJ103" s="228">
        <v>-0.32</v>
      </c>
      <c r="AK103" s="229">
        <v>-7.6E-3</v>
      </c>
      <c r="AL103" s="228">
        <v>-1.56</v>
      </c>
      <c r="AM103" s="228">
        <v>-1.1000000000000001</v>
      </c>
      <c r="AN103" s="228">
        <v>-0.46</v>
      </c>
      <c r="AO103" s="229">
        <v>-1.0200000000000001E-2</v>
      </c>
      <c r="AP103" s="228">
        <v>154.18</v>
      </c>
      <c r="AQ103" s="228">
        <v>153.04</v>
      </c>
      <c r="AR103" s="228">
        <v>0</v>
      </c>
      <c r="AS103" s="228">
        <v>217</v>
      </c>
      <c r="AT103" s="228">
        <v>513</v>
      </c>
      <c r="AU103" s="228">
        <v>-295</v>
      </c>
      <c r="AV103" s="229">
        <v>-0.57589999999999997</v>
      </c>
      <c r="AW103" s="228">
        <v>144</v>
      </c>
      <c r="AX103" s="228">
        <v>402</v>
      </c>
      <c r="AY103" s="228">
        <v>-258</v>
      </c>
      <c r="AZ103" s="229">
        <v>-0.64180000000000004</v>
      </c>
      <c r="BA103" s="228">
        <v>65</v>
      </c>
      <c r="BB103" s="228">
        <v>96</v>
      </c>
      <c r="BC103" s="228">
        <v>-31</v>
      </c>
      <c r="BD103" s="229">
        <v>-0.3236</v>
      </c>
      <c r="BE103" s="228">
        <v>9</v>
      </c>
      <c r="BF103" s="228">
        <v>15</v>
      </c>
      <c r="BG103" s="228">
        <v>-6</v>
      </c>
      <c r="BH103" s="229">
        <v>-0.42159999999999997</v>
      </c>
      <c r="BI103" s="228">
        <v>686</v>
      </c>
      <c r="BJ103" s="230">
        <v>2742</v>
      </c>
      <c r="BK103" s="230">
        <v>-2057</v>
      </c>
      <c r="BL103" s="229">
        <v>-0.74990000000000001</v>
      </c>
      <c r="BM103" s="228">
        <v>192</v>
      </c>
      <c r="BN103" s="228">
        <v>837</v>
      </c>
      <c r="BO103" s="228">
        <v>-645</v>
      </c>
      <c r="BP103" s="229">
        <v>-0.77080000000000004</v>
      </c>
      <c r="BQ103" s="230">
        <v>1095</v>
      </c>
      <c r="BR103" s="230">
        <v>4092</v>
      </c>
      <c r="BS103" s="230">
        <v>-2997</v>
      </c>
      <c r="BT103" s="229">
        <v>-0.73240000000000005</v>
      </c>
      <c r="BU103" s="230">
        <v>9203355</v>
      </c>
      <c r="BV103" s="230">
        <v>29452711</v>
      </c>
      <c r="BW103" s="230">
        <v>-20249356</v>
      </c>
      <c r="BX103" s="229">
        <v>-0.6875</v>
      </c>
      <c r="BY103" s="228">
        <v>787</v>
      </c>
      <c r="BZ103" s="228">
        <v>725</v>
      </c>
      <c r="CA103" s="228">
        <v>62</v>
      </c>
      <c r="CB103" s="229">
        <v>8.6099999999999996E-2</v>
      </c>
      <c r="CC103" s="228">
        <v>604</v>
      </c>
      <c r="CD103" s="228">
        <v>579</v>
      </c>
      <c r="CE103" s="228">
        <v>25</v>
      </c>
      <c r="CF103" s="229">
        <v>4.2500000000000003E-2</v>
      </c>
      <c r="CG103" s="228">
        <v>155</v>
      </c>
      <c r="CH103" s="228">
        <v>124</v>
      </c>
      <c r="CI103" s="228">
        <v>31</v>
      </c>
      <c r="CJ103" s="229">
        <v>0.25030000000000002</v>
      </c>
      <c r="CK103" s="228">
        <v>28</v>
      </c>
      <c r="CL103" s="228">
        <v>21</v>
      </c>
      <c r="CM103" s="228">
        <v>7</v>
      </c>
      <c r="CN103" s="229">
        <v>0.31440000000000001</v>
      </c>
      <c r="CO103" s="228">
        <v>742</v>
      </c>
      <c r="CP103" s="228">
        <v>716</v>
      </c>
      <c r="CQ103" s="228">
        <v>26</v>
      </c>
      <c r="CR103" s="229">
        <v>3.6799999999999999E-2</v>
      </c>
      <c r="CS103" s="228">
        <v>308</v>
      </c>
      <c r="CT103" s="228">
        <v>297</v>
      </c>
      <c r="CU103" s="228">
        <v>11</v>
      </c>
      <c r="CV103" s="229">
        <v>3.5900000000000001E-2</v>
      </c>
      <c r="CW103" s="230">
        <v>1837</v>
      </c>
      <c r="CX103" s="230">
        <v>1738</v>
      </c>
      <c r="CY103" s="228">
        <v>99</v>
      </c>
      <c r="CZ103" s="229">
        <v>5.7200000000000001E-2</v>
      </c>
      <c r="DA103" s="228">
        <v>35.71</v>
      </c>
      <c r="DB103" s="228">
        <v>35.08</v>
      </c>
      <c r="DC103" s="228">
        <v>0.63</v>
      </c>
      <c r="DD103" s="228">
        <v>0.63</v>
      </c>
      <c r="DE103" s="228">
        <v>52.42</v>
      </c>
      <c r="DF103" s="228">
        <v>52.52</v>
      </c>
      <c r="DG103" s="228">
        <v>-16.71</v>
      </c>
      <c r="DH103" s="228">
        <v>-0.1</v>
      </c>
      <c r="DI103" s="228">
        <v>36.32</v>
      </c>
      <c r="DJ103" s="228">
        <v>35.4</v>
      </c>
      <c r="DK103" s="228">
        <v>0.92</v>
      </c>
      <c r="DL103" s="228">
        <v>0.92</v>
      </c>
      <c r="DM103" s="228">
        <v>33.56</v>
      </c>
      <c r="DN103" s="228">
        <v>34.020000000000003</v>
      </c>
      <c r="DO103" s="228">
        <v>-0.46</v>
      </c>
      <c r="DP103" s="228">
        <v>-0.46</v>
      </c>
      <c r="DQ103" s="228">
        <v>0.41</v>
      </c>
      <c r="DR103" s="228">
        <v>0.42</v>
      </c>
      <c r="DS103" s="228">
        <v>-0.01</v>
      </c>
      <c r="DT103" s="229">
        <v>-2.3800000000000002E-2</v>
      </c>
      <c r="DU103" s="228">
        <v>160</v>
      </c>
      <c r="DV103" s="228">
        <v>150</v>
      </c>
      <c r="DW103" s="228">
        <v>0.28000000000000003</v>
      </c>
      <c r="DX103" s="228">
        <v>0.31</v>
      </c>
      <c r="DY103" s="228">
        <v>-0.03</v>
      </c>
      <c r="DZ103" s="229">
        <v>-9.6799999999999997E-2</v>
      </c>
      <c r="EA103" s="229">
        <v>0.2326</v>
      </c>
      <c r="EB103" s="230">
        <v>9484050</v>
      </c>
      <c r="EC103" s="229">
        <v>-8.0000000000000002E-3</v>
      </c>
      <c r="ED103" s="229">
        <v>0.2326</v>
      </c>
      <c r="EE103" s="228">
        <v>-1.1399999999999999</v>
      </c>
      <c r="EF103" s="229">
        <v>-7.4000000000000003E-3</v>
      </c>
      <c r="EG103" s="230">
        <v>3420652</v>
      </c>
      <c r="EH103" s="230">
        <v>5699826</v>
      </c>
      <c r="EI103" s="229">
        <v>-0.39989999999999998</v>
      </c>
      <c r="EJ103" s="229">
        <v>0.37169999999999997</v>
      </c>
      <c r="EK103" s="228">
        <v>728.83</v>
      </c>
      <c r="EL103" s="228">
        <v>193.09</v>
      </c>
      <c r="EM103" s="228">
        <v>218.3</v>
      </c>
      <c r="EN103" s="228">
        <v>60.67</v>
      </c>
      <c r="EO103" s="231">
        <v>1140.22</v>
      </c>
      <c r="EP103" s="231">
        <v>4300.68</v>
      </c>
      <c r="EQ103" s="231">
        <v>-3160.46</v>
      </c>
      <c r="ER103" s="229">
        <v>-0.7349</v>
      </c>
      <c r="ES103" s="228">
        <v>782.84</v>
      </c>
      <c r="ET103" s="228">
        <v>301.45</v>
      </c>
      <c r="EU103" s="228">
        <v>785.35</v>
      </c>
      <c r="EV103" s="231">
        <v>119011160</v>
      </c>
      <c r="EW103" s="231">
        <v>1869.64</v>
      </c>
      <c r="EX103" s="231">
        <v>1782.35</v>
      </c>
      <c r="EY103" s="228">
        <v>87.29</v>
      </c>
      <c r="EZ103" s="229">
        <v>4.9000000000000002E-2</v>
      </c>
      <c r="FA103" s="229">
        <v>1.0077</v>
      </c>
      <c r="FB103" s="227" t="s">
        <v>567</v>
      </c>
      <c r="FC103">
        <f t="shared" si="1"/>
        <v>183</v>
      </c>
    </row>
    <row r="104" spans="1:159" ht="17.25" thickBot="1" x14ac:dyDescent="0.3">
      <c r="A104" s="226">
        <v>45946</v>
      </c>
      <c r="B104" s="227" t="s">
        <v>215</v>
      </c>
      <c r="C104" s="227" t="s">
        <v>592</v>
      </c>
      <c r="D104" s="228">
        <v>4250</v>
      </c>
      <c r="E104" s="228">
        <v>12</v>
      </c>
      <c r="F104" s="228">
        <v>123.84</v>
      </c>
      <c r="G104" s="228">
        <v>124.16</v>
      </c>
      <c r="H104" s="228">
        <v>-0.32</v>
      </c>
      <c r="I104" s="229">
        <v>-2.5999999999999999E-3</v>
      </c>
      <c r="J104" s="228">
        <v>124.72</v>
      </c>
      <c r="K104" s="228">
        <v>124.88</v>
      </c>
      <c r="L104" s="228">
        <v>-0.16</v>
      </c>
      <c r="M104" s="229">
        <v>-1.2999999999999999E-3</v>
      </c>
      <c r="N104" s="228">
        <v>123.84</v>
      </c>
      <c r="O104" s="228">
        <v>124.16</v>
      </c>
      <c r="P104" s="228">
        <v>-0.32</v>
      </c>
      <c r="Q104" s="229">
        <v>-2.5999999999999999E-3</v>
      </c>
      <c r="R104" s="228">
        <v>124.37</v>
      </c>
      <c r="S104" s="228">
        <v>124.67</v>
      </c>
      <c r="T104" s="228">
        <v>-0.3</v>
      </c>
      <c r="U104" s="229">
        <v>-2.3999999999999998E-3</v>
      </c>
      <c r="V104" s="228">
        <v>125.12</v>
      </c>
      <c r="W104" s="228">
        <v>125.01</v>
      </c>
      <c r="X104" s="228">
        <v>0.11</v>
      </c>
      <c r="Y104" s="229">
        <v>8.9999999999999998E-4</v>
      </c>
      <c r="Z104" s="228">
        <v>-0.88</v>
      </c>
      <c r="AA104" s="228">
        <v>-0.72</v>
      </c>
      <c r="AB104" s="228">
        <v>-0.16</v>
      </c>
      <c r="AC104" s="229">
        <v>-7.1000000000000004E-3</v>
      </c>
      <c r="AD104" s="228">
        <v>-0.88</v>
      </c>
      <c r="AE104" s="228">
        <v>-0.72</v>
      </c>
      <c r="AF104" s="228">
        <v>-0.16</v>
      </c>
      <c r="AG104" s="229">
        <v>-7.1000000000000004E-3</v>
      </c>
      <c r="AH104" s="228">
        <v>-0.35</v>
      </c>
      <c r="AI104" s="228">
        <v>-0.21</v>
      </c>
      <c r="AJ104" s="228">
        <v>-0.14000000000000001</v>
      </c>
      <c r="AK104" s="229">
        <v>-2.8E-3</v>
      </c>
      <c r="AL104" s="228">
        <v>0.4</v>
      </c>
      <c r="AM104" s="228">
        <v>0.13</v>
      </c>
      <c r="AN104" s="228">
        <v>0.27</v>
      </c>
      <c r="AO104" s="229">
        <v>3.2000000000000002E-3</v>
      </c>
      <c r="AP104" s="228">
        <v>123.9</v>
      </c>
      <c r="AQ104" s="228">
        <v>124.44</v>
      </c>
      <c r="AR104" s="228">
        <v>0</v>
      </c>
      <c r="AS104" s="228">
        <v>145</v>
      </c>
      <c r="AT104" s="228">
        <v>278</v>
      </c>
      <c r="AU104" s="228">
        <v>-133</v>
      </c>
      <c r="AV104" s="229">
        <v>-0.47689999999999999</v>
      </c>
      <c r="AW104" s="228">
        <v>110</v>
      </c>
      <c r="AX104" s="228">
        <v>238</v>
      </c>
      <c r="AY104" s="228">
        <v>-128</v>
      </c>
      <c r="AZ104" s="229">
        <v>-0.53839999999999999</v>
      </c>
      <c r="BA104" s="228">
        <v>33</v>
      </c>
      <c r="BB104" s="228">
        <v>37</v>
      </c>
      <c r="BC104" s="228">
        <v>-4</v>
      </c>
      <c r="BD104" s="229">
        <v>-0.10440000000000001</v>
      </c>
      <c r="BE104" s="228">
        <v>3</v>
      </c>
      <c r="BF104" s="228">
        <v>4</v>
      </c>
      <c r="BG104" s="228">
        <v>-1</v>
      </c>
      <c r="BH104" s="229">
        <v>-0.22059999999999999</v>
      </c>
      <c r="BI104" s="228">
        <v>459</v>
      </c>
      <c r="BJ104" s="230">
        <v>1367</v>
      </c>
      <c r="BK104" s="228">
        <v>-909</v>
      </c>
      <c r="BL104" s="229">
        <v>-0.66449999999999998</v>
      </c>
      <c r="BM104" s="228">
        <v>124</v>
      </c>
      <c r="BN104" s="228">
        <v>486</v>
      </c>
      <c r="BO104" s="228">
        <v>-362</v>
      </c>
      <c r="BP104" s="229">
        <v>-0.74460000000000004</v>
      </c>
      <c r="BQ104" s="228">
        <v>728</v>
      </c>
      <c r="BR104" s="230">
        <v>2131</v>
      </c>
      <c r="BS104" s="230">
        <v>-1403</v>
      </c>
      <c r="BT104" s="229">
        <v>-0.6583</v>
      </c>
      <c r="BU104" s="230">
        <v>10301407</v>
      </c>
      <c r="BV104" s="230">
        <v>18451299</v>
      </c>
      <c r="BW104" s="230">
        <v>-8149892</v>
      </c>
      <c r="BX104" s="229">
        <v>-0.44169999999999998</v>
      </c>
      <c r="BY104" s="228">
        <v>618</v>
      </c>
      <c r="BZ104" s="228">
        <v>592</v>
      </c>
      <c r="CA104" s="228">
        <v>27</v>
      </c>
      <c r="CB104" s="229">
        <v>4.5400000000000003E-2</v>
      </c>
      <c r="CC104" s="228">
        <v>525</v>
      </c>
      <c r="CD104" s="228">
        <v>513</v>
      </c>
      <c r="CE104" s="228">
        <v>12</v>
      </c>
      <c r="CF104" s="229">
        <v>2.3699999999999999E-2</v>
      </c>
      <c r="CG104" s="228">
        <v>85</v>
      </c>
      <c r="CH104" s="228">
        <v>71</v>
      </c>
      <c r="CI104" s="228">
        <v>14</v>
      </c>
      <c r="CJ104" s="229">
        <v>0.1958</v>
      </c>
      <c r="CK104" s="228">
        <v>9</v>
      </c>
      <c r="CL104" s="228">
        <v>8</v>
      </c>
      <c r="CM104" s="228">
        <v>1</v>
      </c>
      <c r="CN104" s="229">
        <v>9.9299999999999999E-2</v>
      </c>
      <c r="CO104" s="228">
        <v>544</v>
      </c>
      <c r="CP104" s="228">
        <v>529</v>
      </c>
      <c r="CQ104" s="228">
        <v>15</v>
      </c>
      <c r="CR104" s="229">
        <v>2.86E-2</v>
      </c>
      <c r="CS104" s="228">
        <v>235</v>
      </c>
      <c r="CT104" s="228">
        <v>227</v>
      </c>
      <c r="CU104" s="228">
        <v>7</v>
      </c>
      <c r="CV104" s="229">
        <v>3.1699999999999999E-2</v>
      </c>
      <c r="CW104" s="230">
        <v>1397</v>
      </c>
      <c r="CX104" s="230">
        <v>1348</v>
      </c>
      <c r="CY104" s="228">
        <v>49</v>
      </c>
      <c r="CZ104" s="229">
        <v>3.6499999999999998E-2</v>
      </c>
      <c r="DA104" s="228">
        <v>29.07</v>
      </c>
      <c r="DB104" s="228">
        <v>29.63</v>
      </c>
      <c r="DC104" s="228">
        <v>-0.56000000000000005</v>
      </c>
      <c r="DD104" s="228">
        <v>-0.56000000000000005</v>
      </c>
      <c r="DE104" s="228">
        <v>47.62</v>
      </c>
      <c r="DF104" s="228">
        <v>47.73</v>
      </c>
      <c r="DG104" s="228">
        <v>-18.55</v>
      </c>
      <c r="DH104" s="228">
        <v>-0.11</v>
      </c>
      <c r="DI104" s="228">
        <v>29.38</v>
      </c>
      <c r="DJ104" s="228">
        <v>30.02</v>
      </c>
      <c r="DK104" s="228">
        <v>-0.64</v>
      </c>
      <c r="DL104" s="228">
        <v>-0.64</v>
      </c>
      <c r="DM104" s="228">
        <v>27.92</v>
      </c>
      <c r="DN104" s="228">
        <v>28.55</v>
      </c>
      <c r="DO104" s="228">
        <v>-0.63</v>
      </c>
      <c r="DP104" s="228">
        <v>-0.63</v>
      </c>
      <c r="DQ104" s="228">
        <v>0.43</v>
      </c>
      <c r="DR104" s="228">
        <v>0.43</v>
      </c>
      <c r="DS104" s="228">
        <v>0</v>
      </c>
      <c r="DT104" s="229">
        <v>0</v>
      </c>
      <c r="DU104" s="228">
        <v>130</v>
      </c>
      <c r="DV104" s="228">
        <v>125</v>
      </c>
      <c r="DW104" s="228">
        <v>0.27</v>
      </c>
      <c r="DX104" s="228">
        <v>0.36</v>
      </c>
      <c r="DY104" s="228">
        <v>-0.09</v>
      </c>
      <c r="DZ104" s="229">
        <v>-0.25</v>
      </c>
      <c r="EA104" s="229">
        <v>0.15129999999999999</v>
      </c>
      <c r="EB104" s="230">
        <v>6370750</v>
      </c>
      <c r="EC104" s="229">
        <v>4.3E-3</v>
      </c>
      <c r="ED104" s="229">
        <v>0.15129999999999999</v>
      </c>
      <c r="EE104" s="228">
        <v>0.54</v>
      </c>
      <c r="EF104" s="229">
        <v>4.4000000000000003E-3</v>
      </c>
      <c r="EG104" s="230">
        <v>3777301</v>
      </c>
      <c r="EH104" s="230">
        <v>4363540</v>
      </c>
      <c r="EI104" s="229">
        <v>-0.1343</v>
      </c>
      <c r="EJ104" s="229">
        <v>0.36670000000000003</v>
      </c>
      <c r="EK104" s="228">
        <v>479.78</v>
      </c>
      <c r="EL104" s="228">
        <v>125.51</v>
      </c>
      <c r="EM104" s="228">
        <v>145.61000000000001</v>
      </c>
      <c r="EN104" s="228">
        <v>24.03</v>
      </c>
      <c r="EO104" s="228">
        <v>750.9</v>
      </c>
      <c r="EP104" s="231">
        <v>2228.17</v>
      </c>
      <c r="EQ104" s="231">
        <v>-1477.27</v>
      </c>
      <c r="ER104" s="229">
        <v>-0.66300000000000003</v>
      </c>
      <c r="ES104" s="228">
        <v>578.21</v>
      </c>
      <c r="ET104" s="228">
        <v>233.49</v>
      </c>
      <c r="EU104" s="228">
        <v>618.83000000000004</v>
      </c>
      <c r="EV104" s="231">
        <v>226853356</v>
      </c>
      <c r="EW104" s="231">
        <v>1430.53</v>
      </c>
      <c r="EX104" s="231">
        <v>1383.98</v>
      </c>
      <c r="EY104" s="228">
        <v>46.55</v>
      </c>
      <c r="EZ104" s="229">
        <v>3.3599999999999998E-2</v>
      </c>
      <c r="FA104" s="229">
        <v>0.49719999999999998</v>
      </c>
      <c r="FB104" s="227" t="s">
        <v>567</v>
      </c>
      <c r="FC104">
        <f t="shared" si="1"/>
        <v>93</v>
      </c>
    </row>
    <row r="105" spans="1:159" ht="17.25" thickBot="1" x14ac:dyDescent="0.3">
      <c r="A105" s="226">
        <v>45946</v>
      </c>
      <c r="B105" s="227" t="s">
        <v>168</v>
      </c>
      <c r="C105" s="227" t="s">
        <v>242</v>
      </c>
      <c r="D105" s="228">
        <v>1600</v>
      </c>
      <c r="E105" s="228">
        <v>12</v>
      </c>
      <c r="F105" s="228">
        <v>406.75</v>
      </c>
      <c r="G105" s="228">
        <v>401.65</v>
      </c>
      <c r="H105" s="228">
        <v>5.0999999999999996</v>
      </c>
      <c r="I105" s="229">
        <v>1.2699999999999999E-2</v>
      </c>
      <c r="J105" s="228">
        <v>405.15</v>
      </c>
      <c r="K105" s="228">
        <v>399.9</v>
      </c>
      <c r="L105" s="228">
        <v>5.25</v>
      </c>
      <c r="M105" s="229">
        <v>1.3100000000000001E-2</v>
      </c>
      <c r="N105" s="228">
        <v>406.75</v>
      </c>
      <c r="O105" s="228">
        <v>401.65</v>
      </c>
      <c r="P105" s="228">
        <v>5.0999999999999996</v>
      </c>
      <c r="Q105" s="229">
        <v>1.2699999999999999E-2</v>
      </c>
      <c r="R105" s="228">
        <v>408.85</v>
      </c>
      <c r="S105" s="228">
        <v>403.6</v>
      </c>
      <c r="T105" s="228">
        <v>5.25</v>
      </c>
      <c r="U105" s="229">
        <v>1.2999999999999999E-2</v>
      </c>
      <c r="V105" s="228">
        <v>411.3</v>
      </c>
      <c r="W105" s="228">
        <v>406.1</v>
      </c>
      <c r="X105" s="228">
        <v>5.2</v>
      </c>
      <c r="Y105" s="229">
        <v>1.2800000000000001E-2</v>
      </c>
      <c r="Z105" s="228">
        <v>1.6</v>
      </c>
      <c r="AA105" s="228">
        <v>1.75</v>
      </c>
      <c r="AB105" s="228">
        <v>-0.15</v>
      </c>
      <c r="AC105" s="229">
        <v>3.8999999999999998E-3</v>
      </c>
      <c r="AD105" s="228">
        <v>1.6</v>
      </c>
      <c r="AE105" s="228">
        <v>1.75</v>
      </c>
      <c r="AF105" s="228">
        <v>-0.15</v>
      </c>
      <c r="AG105" s="229">
        <v>3.8999999999999998E-3</v>
      </c>
      <c r="AH105" s="228">
        <v>3.7</v>
      </c>
      <c r="AI105" s="228">
        <v>3.7</v>
      </c>
      <c r="AJ105" s="228">
        <v>0</v>
      </c>
      <c r="AK105" s="229">
        <v>9.1000000000000004E-3</v>
      </c>
      <c r="AL105" s="228">
        <v>6.15</v>
      </c>
      <c r="AM105" s="228">
        <v>6.2</v>
      </c>
      <c r="AN105" s="228">
        <v>-0.05</v>
      </c>
      <c r="AO105" s="229">
        <v>1.52E-2</v>
      </c>
      <c r="AP105" s="228">
        <v>405.03</v>
      </c>
      <c r="AQ105" s="228">
        <v>407.03</v>
      </c>
      <c r="AR105" s="228">
        <v>0</v>
      </c>
      <c r="AS105" s="230">
        <v>1269</v>
      </c>
      <c r="AT105" s="228">
        <v>773</v>
      </c>
      <c r="AU105" s="228">
        <v>496</v>
      </c>
      <c r="AV105" s="229">
        <v>0.64180000000000004</v>
      </c>
      <c r="AW105" s="230">
        <v>1023</v>
      </c>
      <c r="AX105" s="228">
        <v>592</v>
      </c>
      <c r="AY105" s="228">
        <v>431</v>
      </c>
      <c r="AZ105" s="229">
        <v>0.72660000000000002</v>
      </c>
      <c r="BA105" s="228">
        <v>234</v>
      </c>
      <c r="BB105" s="228">
        <v>176</v>
      </c>
      <c r="BC105" s="228">
        <v>58</v>
      </c>
      <c r="BD105" s="229">
        <v>0.32719999999999999</v>
      </c>
      <c r="BE105" s="228">
        <v>12</v>
      </c>
      <c r="BF105" s="228">
        <v>4</v>
      </c>
      <c r="BG105" s="228">
        <v>8</v>
      </c>
      <c r="BH105" s="229">
        <v>1.8358000000000001</v>
      </c>
      <c r="BI105" s="230">
        <v>2889</v>
      </c>
      <c r="BJ105" s="230">
        <v>1449</v>
      </c>
      <c r="BK105" s="230">
        <v>1440</v>
      </c>
      <c r="BL105" s="229">
        <v>0.99360000000000004</v>
      </c>
      <c r="BM105" s="230">
        <v>1604</v>
      </c>
      <c r="BN105" s="230">
        <v>1036</v>
      </c>
      <c r="BO105" s="228">
        <v>568</v>
      </c>
      <c r="BP105" s="229">
        <v>0.54869999999999997</v>
      </c>
      <c r="BQ105" s="230">
        <v>5763</v>
      </c>
      <c r="BR105" s="230">
        <v>3258</v>
      </c>
      <c r="BS105" s="230">
        <v>2505</v>
      </c>
      <c r="BT105" s="229">
        <v>0.76870000000000005</v>
      </c>
      <c r="BU105" s="230">
        <v>24656335</v>
      </c>
      <c r="BV105" s="230">
        <v>16452224</v>
      </c>
      <c r="BW105" s="230">
        <v>8204111</v>
      </c>
      <c r="BX105" s="229">
        <v>0.49869999999999998</v>
      </c>
      <c r="BY105" s="230">
        <v>5872</v>
      </c>
      <c r="BZ105" s="230">
        <v>5709</v>
      </c>
      <c r="CA105" s="228">
        <v>163</v>
      </c>
      <c r="CB105" s="229">
        <v>2.8500000000000001E-2</v>
      </c>
      <c r="CC105" s="230">
        <v>5271</v>
      </c>
      <c r="CD105" s="230">
        <v>5224</v>
      </c>
      <c r="CE105" s="228">
        <v>47</v>
      </c>
      <c r="CF105" s="229">
        <v>8.9999999999999993E-3</v>
      </c>
      <c r="CG105" s="228">
        <v>567</v>
      </c>
      <c r="CH105" s="228">
        <v>447</v>
      </c>
      <c r="CI105" s="228">
        <v>120</v>
      </c>
      <c r="CJ105" s="229">
        <v>0.26829999999999998</v>
      </c>
      <c r="CK105" s="228">
        <v>34</v>
      </c>
      <c r="CL105" s="228">
        <v>38</v>
      </c>
      <c r="CM105" s="228">
        <v>-4</v>
      </c>
      <c r="CN105" s="229">
        <v>-0.1132</v>
      </c>
      <c r="CO105" s="230">
        <v>1800</v>
      </c>
      <c r="CP105" s="230">
        <v>2057</v>
      </c>
      <c r="CQ105" s="228">
        <v>-257</v>
      </c>
      <c r="CR105" s="229">
        <v>-0.12479999999999999</v>
      </c>
      <c r="CS105" s="230">
        <v>1340</v>
      </c>
      <c r="CT105" s="230">
        <v>1377</v>
      </c>
      <c r="CU105" s="228">
        <v>-37</v>
      </c>
      <c r="CV105" s="229">
        <v>-2.69E-2</v>
      </c>
      <c r="CW105" s="230">
        <v>9012</v>
      </c>
      <c r="CX105" s="230">
        <v>9143</v>
      </c>
      <c r="CY105" s="228">
        <v>-131</v>
      </c>
      <c r="CZ105" s="229">
        <v>-1.43E-2</v>
      </c>
      <c r="DA105" s="228">
        <v>15.06</v>
      </c>
      <c r="DB105" s="228">
        <v>16.28</v>
      </c>
      <c r="DC105" s="228">
        <v>-1.22</v>
      </c>
      <c r="DD105" s="228">
        <v>-1.22</v>
      </c>
      <c r="DE105" s="228">
        <v>19.649999999999999</v>
      </c>
      <c r="DF105" s="228">
        <v>19.62</v>
      </c>
      <c r="DG105" s="228">
        <v>-4.59</v>
      </c>
      <c r="DH105" s="228">
        <v>0.03</v>
      </c>
      <c r="DI105" s="228">
        <v>14.77</v>
      </c>
      <c r="DJ105" s="228">
        <v>16.22</v>
      </c>
      <c r="DK105" s="228">
        <v>-1.45</v>
      </c>
      <c r="DL105" s="228">
        <v>-1.45</v>
      </c>
      <c r="DM105" s="228">
        <v>15.58</v>
      </c>
      <c r="DN105" s="228">
        <v>16.37</v>
      </c>
      <c r="DO105" s="228">
        <v>-0.79</v>
      </c>
      <c r="DP105" s="228">
        <v>-0.79</v>
      </c>
      <c r="DQ105" s="228">
        <v>0.74</v>
      </c>
      <c r="DR105" s="228">
        <v>0.67</v>
      </c>
      <c r="DS105" s="228">
        <v>7.0000000000000007E-2</v>
      </c>
      <c r="DT105" s="229">
        <v>0.1045</v>
      </c>
      <c r="DU105" s="228">
        <v>410</v>
      </c>
      <c r="DV105" s="228">
        <v>400</v>
      </c>
      <c r="DW105" s="228">
        <v>0.56000000000000005</v>
      </c>
      <c r="DX105" s="228">
        <v>0.71</v>
      </c>
      <c r="DY105" s="228">
        <v>-0.15</v>
      </c>
      <c r="DZ105" s="229">
        <v>-0.21129999999999999</v>
      </c>
      <c r="EA105" s="229">
        <v>0.1023</v>
      </c>
      <c r="EB105" s="230">
        <v>11929600</v>
      </c>
      <c r="EC105" s="229">
        <v>5.1999999999999998E-3</v>
      </c>
      <c r="ED105" s="229">
        <v>0.1023</v>
      </c>
      <c r="EE105" s="228">
        <v>2</v>
      </c>
      <c r="EF105" s="229">
        <v>4.8999999999999998E-3</v>
      </c>
      <c r="EG105" s="230">
        <v>17385856</v>
      </c>
      <c r="EH105" s="230">
        <v>12443874</v>
      </c>
      <c r="EI105" s="229">
        <v>0.39710000000000001</v>
      </c>
      <c r="EJ105" s="229">
        <v>0.70509999999999995</v>
      </c>
      <c r="EK105" s="231">
        <v>2928.23</v>
      </c>
      <c r="EL105" s="231">
        <v>1587.61</v>
      </c>
      <c r="EM105" s="231">
        <v>1265.1600000000001</v>
      </c>
      <c r="EN105" s="228">
        <v>92.31</v>
      </c>
      <c r="EO105" s="231">
        <v>5781</v>
      </c>
      <c r="EP105" s="231">
        <v>3246.4</v>
      </c>
      <c r="EQ105" s="231">
        <v>2534.6</v>
      </c>
      <c r="ER105" s="229">
        <v>0.78069999999999995</v>
      </c>
      <c r="ES105" s="231">
        <v>1838.02</v>
      </c>
      <c r="ET105" s="231">
        <v>1318.29</v>
      </c>
      <c r="EU105" s="231">
        <v>5875.21</v>
      </c>
      <c r="EV105" s="231">
        <v>1251412841</v>
      </c>
      <c r="EW105" s="231">
        <v>9031.5300000000007</v>
      </c>
      <c r="EX105" s="231">
        <v>9086.7000000000007</v>
      </c>
      <c r="EY105" s="228">
        <v>-55.17</v>
      </c>
      <c r="EZ105" s="229">
        <v>-6.1000000000000004E-3</v>
      </c>
      <c r="FA105" s="229">
        <v>0.17710000000000001</v>
      </c>
      <c r="FB105" s="227" t="s">
        <v>555</v>
      </c>
      <c r="FC105">
        <f t="shared" si="1"/>
        <v>601</v>
      </c>
    </row>
    <row r="106" spans="1:159" ht="17.25" thickBot="1" x14ac:dyDescent="0.3">
      <c r="A106" s="226">
        <v>45946</v>
      </c>
      <c r="B106" s="227" t="s">
        <v>227</v>
      </c>
      <c r="C106" s="227" t="s">
        <v>243</v>
      </c>
      <c r="D106" s="228">
        <v>625</v>
      </c>
      <c r="E106" s="228">
        <v>12</v>
      </c>
      <c r="F106" s="231">
        <v>1024.9000000000001</v>
      </c>
      <c r="G106" s="231">
        <v>1005.8</v>
      </c>
      <c r="H106" s="228">
        <v>19.100000000000001</v>
      </c>
      <c r="I106" s="229">
        <v>1.9E-2</v>
      </c>
      <c r="J106" s="231">
        <v>1022.8</v>
      </c>
      <c r="K106" s="231">
        <v>1001.4</v>
      </c>
      <c r="L106" s="228">
        <v>21.4</v>
      </c>
      <c r="M106" s="229">
        <v>2.1399999999999999E-2</v>
      </c>
      <c r="N106" s="231">
        <v>1024.9000000000001</v>
      </c>
      <c r="O106" s="231">
        <v>1005.8</v>
      </c>
      <c r="P106" s="228">
        <v>19.100000000000001</v>
      </c>
      <c r="Q106" s="229">
        <v>1.9E-2</v>
      </c>
      <c r="R106" s="231">
        <v>1031</v>
      </c>
      <c r="S106" s="231">
        <v>1010.5</v>
      </c>
      <c r="T106" s="228">
        <v>20.5</v>
      </c>
      <c r="U106" s="229">
        <v>2.0299999999999999E-2</v>
      </c>
      <c r="V106" s="231">
        <v>1036</v>
      </c>
      <c r="W106" s="231">
        <v>1015.5</v>
      </c>
      <c r="X106" s="228">
        <v>20.5</v>
      </c>
      <c r="Y106" s="229">
        <v>2.0199999999999999E-2</v>
      </c>
      <c r="Z106" s="228">
        <v>2.1</v>
      </c>
      <c r="AA106" s="228">
        <v>4.4000000000000004</v>
      </c>
      <c r="AB106" s="228">
        <v>-2.2999999999999998</v>
      </c>
      <c r="AC106" s="229">
        <v>2.0999999999999999E-3</v>
      </c>
      <c r="AD106" s="228">
        <v>2.1</v>
      </c>
      <c r="AE106" s="228">
        <v>4.4000000000000004</v>
      </c>
      <c r="AF106" s="228">
        <v>-2.2999999999999998</v>
      </c>
      <c r="AG106" s="229">
        <v>2.0999999999999999E-3</v>
      </c>
      <c r="AH106" s="228">
        <v>8.1999999999999993</v>
      </c>
      <c r="AI106" s="228">
        <v>9.1</v>
      </c>
      <c r="AJ106" s="228">
        <v>-0.9</v>
      </c>
      <c r="AK106" s="229">
        <v>8.0000000000000002E-3</v>
      </c>
      <c r="AL106" s="228">
        <v>13.2</v>
      </c>
      <c r="AM106" s="228">
        <v>14.1</v>
      </c>
      <c r="AN106" s="228">
        <v>-0.9</v>
      </c>
      <c r="AO106" s="229">
        <v>1.29E-2</v>
      </c>
      <c r="AP106" s="231">
        <v>1019.25</v>
      </c>
      <c r="AQ106" s="231">
        <v>1025.24</v>
      </c>
      <c r="AR106" s="228">
        <v>0</v>
      </c>
      <c r="AS106" s="228">
        <v>305</v>
      </c>
      <c r="AT106" s="228">
        <v>250</v>
      </c>
      <c r="AU106" s="228">
        <v>55</v>
      </c>
      <c r="AV106" s="229">
        <v>0.22009999999999999</v>
      </c>
      <c r="AW106" s="228">
        <v>286</v>
      </c>
      <c r="AX106" s="228">
        <v>237</v>
      </c>
      <c r="AY106" s="228">
        <v>49</v>
      </c>
      <c r="AZ106" s="229">
        <v>0.2077</v>
      </c>
      <c r="BA106" s="228">
        <v>17</v>
      </c>
      <c r="BB106" s="228">
        <v>12</v>
      </c>
      <c r="BC106" s="228">
        <v>5</v>
      </c>
      <c r="BD106" s="229">
        <v>0.4451</v>
      </c>
      <c r="BE106" s="228">
        <v>1</v>
      </c>
      <c r="BF106" s="228">
        <v>1</v>
      </c>
      <c r="BG106" s="228">
        <v>1</v>
      </c>
      <c r="BH106" s="229">
        <v>0.57140000000000002</v>
      </c>
      <c r="BI106" s="230">
        <v>1073</v>
      </c>
      <c r="BJ106" s="228">
        <v>764</v>
      </c>
      <c r="BK106" s="228">
        <v>309</v>
      </c>
      <c r="BL106" s="229">
        <v>0.40479999999999999</v>
      </c>
      <c r="BM106" s="228">
        <v>397</v>
      </c>
      <c r="BN106" s="228">
        <v>184</v>
      </c>
      <c r="BO106" s="228">
        <v>213</v>
      </c>
      <c r="BP106" s="229">
        <v>1.1545000000000001</v>
      </c>
      <c r="BQ106" s="230">
        <v>1775</v>
      </c>
      <c r="BR106" s="230">
        <v>1198</v>
      </c>
      <c r="BS106" s="228">
        <v>577</v>
      </c>
      <c r="BT106" s="229">
        <v>0.48180000000000001</v>
      </c>
      <c r="BU106" s="230">
        <v>1264088</v>
      </c>
      <c r="BV106" s="230">
        <v>1659926</v>
      </c>
      <c r="BW106" s="230">
        <v>-395838</v>
      </c>
      <c r="BX106" s="229">
        <v>-0.23849999999999999</v>
      </c>
      <c r="BY106" s="230">
        <v>1468</v>
      </c>
      <c r="BZ106" s="230">
        <v>1517</v>
      </c>
      <c r="CA106" s="228">
        <v>-49</v>
      </c>
      <c r="CB106" s="229">
        <v>-3.2199999999999999E-2</v>
      </c>
      <c r="CC106" s="230">
        <v>1434</v>
      </c>
      <c r="CD106" s="230">
        <v>1485</v>
      </c>
      <c r="CE106" s="228">
        <v>-51</v>
      </c>
      <c r="CF106" s="229">
        <v>-3.4299999999999997E-2</v>
      </c>
      <c r="CG106" s="228">
        <v>29</v>
      </c>
      <c r="CH106" s="228">
        <v>27</v>
      </c>
      <c r="CI106" s="228">
        <v>2</v>
      </c>
      <c r="CJ106" s="229">
        <v>8.7900000000000006E-2</v>
      </c>
      <c r="CK106" s="228">
        <v>5</v>
      </c>
      <c r="CL106" s="228">
        <v>5</v>
      </c>
      <c r="CM106" s="228">
        <v>0</v>
      </c>
      <c r="CN106" s="229">
        <v>-5.33E-2</v>
      </c>
      <c r="CO106" s="228">
        <v>841</v>
      </c>
      <c r="CP106" s="228">
        <v>939</v>
      </c>
      <c r="CQ106" s="228">
        <v>-98</v>
      </c>
      <c r="CR106" s="229">
        <v>-0.104</v>
      </c>
      <c r="CS106" s="228">
        <v>430</v>
      </c>
      <c r="CT106" s="228">
        <v>423</v>
      </c>
      <c r="CU106" s="228">
        <v>7</v>
      </c>
      <c r="CV106" s="229">
        <v>1.5599999999999999E-2</v>
      </c>
      <c r="CW106" s="230">
        <v>2739</v>
      </c>
      <c r="CX106" s="230">
        <v>2879</v>
      </c>
      <c r="CY106" s="228">
        <v>-140</v>
      </c>
      <c r="CZ106" s="229">
        <v>-4.8599999999999997E-2</v>
      </c>
      <c r="DA106" s="228">
        <v>26.63</v>
      </c>
      <c r="DB106" s="228">
        <v>28.68</v>
      </c>
      <c r="DC106" s="228">
        <v>-2.0499999999999998</v>
      </c>
      <c r="DD106" s="228">
        <v>-2.0499999999999998</v>
      </c>
      <c r="DE106" s="228">
        <v>36.159999999999997</v>
      </c>
      <c r="DF106" s="228">
        <v>36.14</v>
      </c>
      <c r="DG106" s="228">
        <v>-9.5299999999999994</v>
      </c>
      <c r="DH106" s="228">
        <v>0.02</v>
      </c>
      <c r="DI106" s="228">
        <v>26.51</v>
      </c>
      <c r="DJ106" s="228">
        <v>28.89</v>
      </c>
      <c r="DK106" s="228">
        <v>-2.38</v>
      </c>
      <c r="DL106" s="228">
        <v>-2.38</v>
      </c>
      <c r="DM106" s="228">
        <v>26.94</v>
      </c>
      <c r="DN106" s="228">
        <v>27.84</v>
      </c>
      <c r="DO106" s="228">
        <v>-0.9</v>
      </c>
      <c r="DP106" s="228">
        <v>-0.9</v>
      </c>
      <c r="DQ106" s="228">
        <v>0.51</v>
      </c>
      <c r="DR106" s="228">
        <v>0.45</v>
      </c>
      <c r="DS106" s="228">
        <v>0.06</v>
      </c>
      <c r="DT106" s="229">
        <v>0.1333</v>
      </c>
      <c r="DU106" s="231">
        <v>1100</v>
      </c>
      <c r="DV106" s="231">
        <v>1000</v>
      </c>
      <c r="DW106" s="228">
        <v>0.37</v>
      </c>
      <c r="DX106" s="228">
        <v>0.24</v>
      </c>
      <c r="DY106" s="228">
        <v>0.13</v>
      </c>
      <c r="DZ106" s="229">
        <v>0.54169999999999996</v>
      </c>
      <c r="EA106" s="229">
        <v>2.3099999999999999E-2</v>
      </c>
      <c r="EB106" s="230">
        <v>310000</v>
      </c>
      <c r="EC106" s="229">
        <v>6.0000000000000001E-3</v>
      </c>
      <c r="ED106" s="229">
        <v>2.3099999999999999E-2</v>
      </c>
      <c r="EE106" s="228">
        <v>5.99</v>
      </c>
      <c r="EF106" s="229">
        <v>5.8999999999999999E-3</v>
      </c>
      <c r="EG106" s="230">
        <v>550612</v>
      </c>
      <c r="EH106" s="230">
        <v>1041296</v>
      </c>
      <c r="EI106" s="229">
        <v>-0.47120000000000001</v>
      </c>
      <c r="EJ106" s="229">
        <v>0.43559999999999999</v>
      </c>
      <c r="EK106" s="231">
        <v>1109.0899999999999</v>
      </c>
      <c r="EL106" s="228">
        <v>386.43</v>
      </c>
      <c r="EM106" s="228">
        <v>303.08999999999997</v>
      </c>
      <c r="EN106" s="228">
        <v>42.97</v>
      </c>
      <c r="EO106" s="231">
        <v>1798.61</v>
      </c>
      <c r="EP106" s="231">
        <v>1215.49</v>
      </c>
      <c r="EQ106" s="228">
        <v>583.12</v>
      </c>
      <c r="ER106" s="229">
        <v>0.47970000000000002</v>
      </c>
      <c r="ES106" s="228">
        <v>887.62</v>
      </c>
      <c r="ET106" s="228">
        <v>421.72</v>
      </c>
      <c r="EU106" s="231">
        <v>1468.39</v>
      </c>
      <c r="EV106" s="231">
        <v>54776702</v>
      </c>
      <c r="EW106" s="231">
        <v>2777.73</v>
      </c>
      <c r="EX106" s="231">
        <v>2892.03</v>
      </c>
      <c r="EY106" s="228">
        <v>-114.3</v>
      </c>
      <c r="EZ106" s="229">
        <v>-3.95E-2</v>
      </c>
      <c r="FA106" s="229">
        <v>0.4879</v>
      </c>
      <c r="FB106" s="227" t="s">
        <v>556</v>
      </c>
      <c r="FC106">
        <f t="shared" si="1"/>
        <v>34</v>
      </c>
    </row>
    <row r="107" spans="1:159" ht="17.25" thickBot="1" x14ac:dyDescent="0.3">
      <c r="A107" s="226">
        <v>45946</v>
      </c>
      <c r="B107" s="227" t="s">
        <v>175</v>
      </c>
      <c r="C107" s="227" t="s">
        <v>570</v>
      </c>
      <c r="D107" s="228">
        <v>2350</v>
      </c>
      <c r="E107" s="228">
        <v>12</v>
      </c>
      <c r="F107" s="228">
        <v>313.3</v>
      </c>
      <c r="G107" s="228">
        <v>313.95</v>
      </c>
      <c r="H107" s="228">
        <v>-0.65</v>
      </c>
      <c r="I107" s="229">
        <v>-2.0999999999999999E-3</v>
      </c>
      <c r="J107" s="228">
        <v>312.10000000000002</v>
      </c>
      <c r="K107" s="228">
        <v>312.64999999999998</v>
      </c>
      <c r="L107" s="228">
        <v>-0.55000000000000004</v>
      </c>
      <c r="M107" s="229">
        <v>-1.8E-3</v>
      </c>
      <c r="N107" s="228">
        <v>313.3</v>
      </c>
      <c r="O107" s="228">
        <v>313.95</v>
      </c>
      <c r="P107" s="228">
        <v>-0.65</v>
      </c>
      <c r="Q107" s="229">
        <v>-2.0999999999999999E-3</v>
      </c>
      <c r="R107" s="228">
        <v>315.05</v>
      </c>
      <c r="S107" s="228">
        <v>315.60000000000002</v>
      </c>
      <c r="T107" s="228">
        <v>-0.55000000000000004</v>
      </c>
      <c r="U107" s="229">
        <v>-1.6999999999999999E-3</v>
      </c>
      <c r="V107" s="228">
        <v>316.95</v>
      </c>
      <c r="W107" s="228">
        <v>317.55</v>
      </c>
      <c r="X107" s="228">
        <v>-0.6</v>
      </c>
      <c r="Y107" s="229">
        <v>-1.9E-3</v>
      </c>
      <c r="Z107" s="228">
        <v>1.2</v>
      </c>
      <c r="AA107" s="228">
        <v>1.3</v>
      </c>
      <c r="AB107" s="228">
        <v>-0.1</v>
      </c>
      <c r="AC107" s="229">
        <v>3.8E-3</v>
      </c>
      <c r="AD107" s="228">
        <v>1.2</v>
      </c>
      <c r="AE107" s="228">
        <v>1.3</v>
      </c>
      <c r="AF107" s="228">
        <v>-0.1</v>
      </c>
      <c r="AG107" s="229">
        <v>3.8E-3</v>
      </c>
      <c r="AH107" s="228">
        <v>2.95</v>
      </c>
      <c r="AI107" s="228">
        <v>2.95</v>
      </c>
      <c r="AJ107" s="228">
        <v>0</v>
      </c>
      <c r="AK107" s="229">
        <v>9.4999999999999998E-3</v>
      </c>
      <c r="AL107" s="228">
        <v>4.8499999999999996</v>
      </c>
      <c r="AM107" s="228">
        <v>4.9000000000000004</v>
      </c>
      <c r="AN107" s="228">
        <v>-0.05</v>
      </c>
      <c r="AO107" s="229">
        <v>1.55E-2</v>
      </c>
      <c r="AP107" s="228">
        <v>313.49</v>
      </c>
      <c r="AQ107" s="228">
        <v>315.07</v>
      </c>
      <c r="AR107" s="228">
        <v>0</v>
      </c>
      <c r="AS107" s="228">
        <v>576</v>
      </c>
      <c r="AT107" s="228">
        <v>920</v>
      </c>
      <c r="AU107" s="228">
        <v>-344</v>
      </c>
      <c r="AV107" s="229">
        <v>-0.374</v>
      </c>
      <c r="AW107" s="228">
        <v>417</v>
      </c>
      <c r="AX107" s="228">
        <v>688</v>
      </c>
      <c r="AY107" s="228">
        <v>-271</v>
      </c>
      <c r="AZ107" s="229">
        <v>-0.39429999999999998</v>
      </c>
      <c r="BA107" s="228">
        <v>146</v>
      </c>
      <c r="BB107" s="228">
        <v>215</v>
      </c>
      <c r="BC107" s="228">
        <v>-69</v>
      </c>
      <c r="BD107" s="229">
        <v>-0.31979999999999997</v>
      </c>
      <c r="BE107" s="228">
        <v>14</v>
      </c>
      <c r="BF107" s="228">
        <v>18</v>
      </c>
      <c r="BG107" s="228">
        <v>-4</v>
      </c>
      <c r="BH107" s="229">
        <v>-0.24490000000000001</v>
      </c>
      <c r="BI107" s="230">
        <v>2462</v>
      </c>
      <c r="BJ107" s="230">
        <v>3486</v>
      </c>
      <c r="BK107" s="230">
        <v>-1024</v>
      </c>
      <c r="BL107" s="229">
        <v>-0.29380000000000001</v>
      </c>
      <c r="BM107" s="230">
        <v>1092</v>
      </c>
      <c r="BN107" s="230">
        <v>1280</v>
      </c>
      <c r="BO107" s="228">
        <v>-187</v>
      </c>
      <c r="BP107" s="229">
        <v>-0.1464</v>
      </c>
      <c r="BQ107" s="230">
        <v>4130</v>
      </c>
      <c r="BR107" s="230">
        <v>5686</v>
      </c>
      <c r="BS107" s="230">
        <v>-1556</v>
      </c>
      <c r="BT107" s="229">
        <v>-0.27360000000000001</v>
      </c>
      <c r="BU107" s="230">
        <v>11314434</v>
      </c>
      <c r="BV107" s="230">
        <v>15704187</v>
      </c>
      <c r="BW107" s="230">
        <v>-4389753</v>
      </c>
      <c r="BX107" s="229">
        <v>-0.27950000000000003</v>
      </c>
      <c r="BY107" s="230">
        <v>4427</v>
      </c>
      <c r="BZ107" s="230">
        <v>4327</v>
      </c>
      <c r="CA107" s="228">
        <v>100</v>
      </c>
      <c r="CB107" s="229">
        <v>2.3099999999999999E-2</v>
      </c>
      <c r="CC107" s="230">
        <v>3857</v>
      </c>
      <c r="CD107" s="230">
        <v>3840</v>
      </c>
      <c r="CE107" s="228">
        <v>17</v>
      </c>
      <c r="CF107" s="229">
        <v>4.4999999999999997E-3</v>
      </c>
      <c r="CG107" s="228">
        <v>520</v>
      </c>
      <c r="CH107" s="228">
        <v>443</v>
      </c>
      <c r="CI107" s="228">
        <v>77</v>
      </c>
      <c r="CJ107" s="229">
        <v>0.1736</v>
      </c>
      <c r="CK107" s="228">
        <v>50</v>
      </c>
      <c r="CL107" s="228">
        <v>44</v>
      </c>
      <c r="CM107" s="228">
        <v>6</v>
      </c>
      <c r="CN107" s="229">
        <v>0.1343</v>
      </c>
      <c r="CO107" s="230">
        <v>2305</v>
      </c>
      <c r="CP107" s="230">
        <v>1975</v>
      </c>
      <c r="CQ107" s="228">
        <v>330</v>
      </c>
      <c r="CR107" s="229">
        <v>0.1671</v>
      </c>
      <c r="CS107" s="230">
        <v>1351</v>
      </c>
      <c r="CT107" s="230">
        <v>1236</v>
      </c>
      <c r="CU107" s="228">
        <v>115</v>
      </c>
      <c r="CV107" s="229">
        <v>9.2899999999999996E-2</v>
      </c>
      <c r="CW107" s="230">
        <v>8083</v>
      </c>
      <c r="CX107" s="230">
        <v>7538</v>
      </c>
      <c r="CY107" s="228">
        <v>545</v>
      </c>
      <c r="CZ107" s="229">
        <v>7.2300000000000003E-2</v>
      </c>
      <c r="DA107" s="228">
        <v>30.06</v>
      </c>
      <c r="DB107" s="228">
        <v>29.44</v>
      </c>
      <c r="DC107" s="228">
        <v>0.62</v>
      </c>
      <c r="DD107" s="228">
        <v>0.62</v>
      </c>
      <c r="DE107" s="228">
        <v>36.159999999999997</v>
      </c>
      <c r="DF107" s="228">
        <v>36.25</v>
      </c>
      <c r="DG107" s="228">
        <v>-6.1</v>
      </c>
      <c r="DH107" s="228">
        <v>-0.09</v>
      </c>
      <c r="DI107" s="228">
        <v>30.16</v>
      </c>
      <c r="DJ107" s="228">
        <v>29.33</v>
      </c>
      <c r="DK107" s="228">
        <v>0.83</v>
      </c>
      <c r="DL107" s="228">
        <v>0.83</v>
      </c>
      <c r="DM107" s="228">
        <v>29.85</v>
      </c>
      <c r="DN107" s="228">
        <v>29.73</v>
      </c>
      <c r="DO107" s="228">
        <v>0.12</v>
      </c>
      <c r="DP107" s="228">
        <v>0.12</v>
      </c>
      <c r="DQ107" s="228">
        <v>0.59</v>
      </c>
      <c r="DR107" s="228">
        <v>0.63</v>
      </c>
      <c r="DS107" s="228">
        <v>-0.04</v>
      </c>
      <c r="DT107" s="229">
        <v>-6.3500000000000001E-2</v>
      </c>
      <c r="DU107" s="228">
        <v>320</v>
      </c>
      <c r="DV107" s="228">
        <v>300</v>
      </c>
      <c r="DW107" s="228">
        <v>0.44</v>
      </c>
      <c r="DX107" s="228">
        <v>0.37</v>
      </c>
      <c r="DY107" s="228">
        <v>7.0000000000000007E-2</v>
      </c>
      <c r="DZ107" s="229">
        <v>0.18920000000000001</v>
      </c>
      <c r="EA107" s="229">
        <v>0.12870000000000001</v>
      </c>
      <c r="EB107" s="230">
        <v>15547600</v>
      </c>
      <c r="EC107" s="229">
        <v>5.5999999999999999E-3</v>
      </c>
      <c r="ED107" s="229">
        <v>0.12870000000000001</v>
      </c>
      <c r="EE107" s="228">
        <v>1.58</v>
      </c>
      <c r="EF107" s="229">
        <v>5.0000000000000001E-3</v>
      </c>
      <c r="EG107" s="230">
        <v>5869412</v>
      </c>
      <c r="EH107" s="230">
        <v>7651724</v>
      </c>
      <c r="EI107" s="229">
        <v>-0.2329</v>
      </c>
      <c r="EJ107" s="229">
        <v>0.51880000000000004</v>
      </c>
      <c r="EK107" s="231">
        <v>2582.37</v>
      </c>
      <c r="EL107" s="231">
        <v>1077.18</v>
      </c>
      <c r="EM107" s="228">
        <v>577.44000000000005</v>
      </c>
      <c r="EN107" s="228">
        <v>72.22</v>
      </c>
      <c r="EO107" s="231">
        <v>4236.99</v>
      </c>
      <c r="EP107" s="231">
        <v>5820.59</v>
      </c>
      <c r="EQ107" s="231">
        <v>-1583.59</v>
      </c>
      <c r="ER107" s="229">
        <v>-0.27210000000000001</v>
      </c>
      <c r="ES107" s="231">
        <v>2401.31</v>
      </c>
      <c r="ET107" s="231">
        <v>1322.15</v>
      </c>
      <c r="EU107" s="231">
        <v>4430.66</v>
      </c>
      <c r="EV107" s="231">
        <v>446457456</v>
      </c>
      <c r="EW107" s="231">
        <v>8154.13</v>
      </c>
      <c r="EX107" s="231">
        <v>7602.83</v>
      </c>
      <c r="EY107" s="228">
        <v>551.29999999999995</v>
      </c>
      <c r="EZ107" s="229">
        <v>7.2499999999999995E-2</v>
      </c>
      <c r="FA107" s="229">
        <v>0.57779999999999998</v>
      </c>
      <c r="FB107" s="227" t="s">
        <v>567</v>
      </c>
      <c r="FC107">
        <f t="shared" si="1"/>
        <v>570</v>
      </c>
    </row>
    <row r="108" spans="1:159" ht="17.25" thickBot="1" x14ac:dyDescent="0.3">
      <c r="A108" s="226">
        <v>45946</v>
      </c>
      <c r="B108" s="227" t="s">
        <v>161</v>
      </c>
      <c r="C108" s="227" t="s">
        <v>580</v>
      </c>
      <c r="D108" s="228">
        <v>1000</v>
      </c>
      <c r="E108" s="228">
        <v>12</v>
      </c>
      <c r="F108" s="228">
        <v>549.35</v>
      </c>
      <c r="G108" s="228">
        <v>546.85</v>
      </c>
      <c r="H108" s="228">
        <v>2.5</v>
      </c>
      <c r="I108" s="229">
        <v>4.5999999999999999E-3</v>
      </c>
      <c r="J108" s="228">
        <v>548.6</v>
      </c>
      <c r="K108" s="228">
        <v>545.75</v>
      </c>
      <c r="L108" s="228">
        <v>2.85</v>
      </c>
      <c r="M108" s="229">
        <v>5.1999999999999998E-3</v>
      </c>
      <c r="N108" s="228">
        <v>549.35</v>
      </c>
      <c r="O108" s="228">
        <v>546.85</v>
      </c>
      <c r="P108" s="228">
        <v>2.5</v>
      </c>
      <c r="Q108" s="229">
        <v>4.5999999999999999E-3</v>
      </c>
      <c r="R108" s="228">
        <v>552.5</v>
      </c>
      <c r="S108" s="228">
        <v>549.9</v>
      </c>
      <c r="T108" s="228">
        <v>2.6</v>
      </c>
      <c r="U108" s="229">
        <v>4.7000000000000002E-3</v>
      </c>
      <c r="V108" s="228">
        <v>557.9</v>
      </c>
      <c r="W108" s="228">
        <v>552.5</v>
      </c>
      <c r="X108" s="228">
        <v>5.4</v>
      </c>
      <c r="Y108" s="229">
        <v>9.7999999999999997E-3</v>
      </c>
      <c r="Z108" s="228">
        <v>0.75</v>
      </c>
      <c r="AA108" s="228">
        <v>1.1000000000000001</v>
      </c>
      <c r="AB108" s="228">
        <v>-0.35</v>
      </c>
      <c r="AC108" s="229">
        <v>1.4E-3</v>
      </c>
      <c r="AD108" s="228">
        <v>0.75</v>
      </c>
      <c r="AE108" s="228">
        <v>1.1000000000000001</v>
      </c>
      <c r="AF108" s="228">
        <v>-0.35</v>
      </c>
      <c r="AG108" s="229">
        <v>1.4E-3</v>
      </c>
      <c r="AH108" s="228">
        <v>3.9</v>
      </c>
      <c r="AI108" s="228">
        <v>4.1500000000000004</v>
      </c>
      <c r="AJ108" s="228">
        <v>-0.25</v>
      </c>
      <c r="AK108" s="229">
        <v>7.1000000000000004E-3</v>
      </c>
      <c r="AL108" s="228">
        <v>9.3000000000000007</v>
      </c>
      <c r="AM108" s="228">
        <v>6.75</v>
      </c>
      <c r="AN108" s="228">
        <v>2.5499999999999998</v>
      </c>
      <c r="AO108" s="229">
        <v>1.7000000000000001E-2</v>
      </c>
      <c r="AP108" s="228">
        <v>549.49</v>
      </c>
      <c r="AQ108" s="228">
        <v>552.66999999999996</v>
      </c>
      <c r="AR108" s="228">
        <v>0</v>
      </c>
      <c r="AS108" s="228">
        <v>203</v>
      </c>
      <c r="AT108" s="228">
        <v>140</v>
      </c>
      <c r="AU108" s="228">
        <v>63</v>
      </c>
      <c r="AV108" s="229">
        <v>0.44629999999999997</v>
      </c>
      <c r="AW108" s="228">
        <v>182</v>
      </c>
      <c r="AX108" s="228">
        <v>123</v>
      </c>
      <c r="AY108" s="228">
        <v>59</v>
      </c>
      <c r="AZ108" s="229">
        <v>0.47689999999999999</v>
      </c>
      <c r="BA108" s="228">
        <v>20</v>
      </c>
      <c r="BB108" s="228">
        <v>16</v>
      </c>
      <c r="BC108" s="228">
        <v>3</v>
      </c>
      <c r="BD108" s="229">
        <v>0.2102</v>
      </c>
      <c r="BE108" s="228">
        <v>1</v>
      </c>
      <c r="BF108" s="228">
        <v>0</v>
      </c>
      <c r="BG108" s="228">
        <v>0</v>
      </c>
      <c r="BH108" s="229">
        <v>0.57140000000000002</v>
      </c>
      <c r="BI108" s="228">
        <v>683</v>
      </c>
      <c r="BJ108" s="228">
        <v>371</v>
      </c>
      <c r="BK108" s="228">
        <v>312</v>
      </c>
      <c r="BL108" s="229">
        <v>0.84089999999999998</v>
      </c>
      <c r="BM108" s="228">
        <v>155</v>
      </c>
      <c r="BN108" s="228">
        <v>85</v>
      </c>
      <c r="BO108" s="228">
        <v>69</v>
      </c>
      <c r="BP108" s="229">
        <v>0.8155</v>
      </c>
      <c r="BQ108" s="230">
        <v>1041</v>
      </c>
      <c r="BR108" s="228">
        <v>596</v>
      </c>
      <c r="BS108" s="228">
        <v>444</v>
      </c>
      <c r="BT108" s="229">
        <v>0.74460000000000004</v>
      </c>
      <c r="BU108" s="230">
        <v>2558099</v>
      </c>
      <c r="BV108" s="230">
        <v>1788199</v>
      </c>
      <c r="BW108" s="230">
        <v>769900</v>
      </c>
      <c r="BX108" s="229">
        <v>0.43049999999999999</v>
      </c>
      <c r="BY108" s="230">
        <v>2032</v>
      </c>
      <c r="BZ108" s="230">
        <v>2064</v>
      </c>
      <c r="CA108" s="228">
        <v>-32</v>
      </c>
      <c r="CB108" s="229">
        <v>-1.55E-2</v>
      </c>
      <c r="CC108" s="230">
        <v>1997</v>
      </c>
      <c r="CD108" s="230">
        <v>2034</v>
      </c>
      <c r="CE108" s="228">
        <v>-37</v>
      </c>
      <c r="CF108" s="229">
        <v>-1.83E-2</v>
      </c>
      <c r="CG108" s="228">
        <v>34</v>
      </c>
      <c r="CH108" s="228">
        <v>29</v>
      </c>
      <c r="CI108" s="228">
        <v>5</v>
      </c>
      <c r="CJ108" s="229">
        <v>0.17730000000000001</v>
      </c>
      <c r="CK108" s="228">
        <v>2</v>
      </c>
      <c r="CL108" s="228">
        <v>2</v>
      </c>
      <c r="CM108" s="228">
        <v>0</v>
      </c>
      <c r="CN108" s="229">
        <v>6.0600000000000001E-2</v>
      </c>
      <c r="CO108" s="228">
        <v>519</v>
      </c>
      <c r="CP108" s="228">
        <v>481</v>
      </c>
      <c r="CQ108" s="228">
        <v>39</v>
      </c>
      <c r="CR108" s="229">
        <v>8.0799999999999997E-2</v>
      </c>
      <c r="CS108" s="228">
        <v>231</v>
      </c>
      <c r="CT108" s="228">
        <v>222</v>
      </c>
      <c r="CU108" s="228">
        <v>9</v>
      </c>
      <c r="CV108" s="229">
        <v>4.1399999999999999E-2</v>
      </c>
      <c r="CW108" s="230">
        <v>2783</v>
      </c>
      <c r="CX108" s="230">
        <v>2767</v>
      </c>
      <c r="CY108" s="228">
        <v>16</v>
      </c>
      <c r="CZ108" s="229">
        <v>5.7999999999999996E-3</v>
      </c>
      <c r="DA108" s="228">
        <v>36.700000000000003</v>
      </c>
      <c r="DB108" s="228">
        <v>34.86</v>
      </c>
      <c r="DC108" s="228">
        <v>1.84</v>
      </c>
      <c r="DD108" s="228">
        <v>1.84</v>
      </c>
      <c r="DE108" s="228">
        <v>45.27</v>
      </c>
      <c r="DF108" s="228">
        <v>45.38</v>
      </c>
      <c r="DG108" s="228">
        <v>-8.57</v>
      </c>
      <c r="DH108" s="228">
        <v>-0.11</v>
      </c>
      <c r="DI108" s="228">
        <v>36.86</v>
      </c>
      <c r="DJ108" s="228">
        <v>35.020000000000003</v>
      </c>
      <c r="DK108" s="228">
        <v>1.84</v>
      </c>
      <c r="DL108" s="228">
        <v>1.84</v>
      </c>
      <c r="DM108" s="228">
        <v>36.01</v>
      </c>
      <c r="DN108" s="228">
        <v>34.159999999999997</v>
      </c>
      <c r="DO108" s="228">
        <v>1.85</v>
      </c>
      <c r="DP108" s="228">
        <v>1.85</v>
      </c>
      <c r="DQ108" s="228">
        <v>0.44</v>
      </c>
      <c r="DR108" s="228">
        <v>0.46</v>
      </c>
      <c r="DS108" s="228">
        <v>-0.02</v>
      </c>
      <c r="DT108" s="229">
        <v>-4.3499999999999997E-2</v>
      </c>
      <c r="DU108" s="228">
        <v>560</v>
      </c>
      <c r="DV108" s="228">
        <v>530</v>
      </c>
      <c r="DW108" s="228">
        <v>0.23</v>
      </c>
      <c r="DX108" s="228">
        <v>0.23</v>
      </c>
      <c r="DY108" s="228">
        <v>0</v>
      </c>
      <c r="DZ108" s="229">
        <v>0</v>
      </c>
      <c r="EA108" s="229">
        <v>1.7500000000000002E-2</v>
      </c>
      <c r="EB108" s="230">
        <v>552000</v>
      </c>
      <c r="EC108" s="229">
        <v>5.7000000000000002E-3</v>
      </c>
      <c r="ED108" s="229">
        <v>1.7500000000000002E-2</v>
      </c>
      <c r="EE108" s="228">
        <v>3.18</v>
      </c>
      <c r="EF108" s="229">
        <v>5.7999999999999996E-3</v>
      </c>
      <c r="EG108" s="230">
        <v>1468620</v>
      </c>
      <c r="EH108" s="230">
        <v>1102228</v>
      </c>
      <c r="EI108" s="229">
        <v>0.33239999999999997</v>
      </c>
      <c r="EJ108" s="229">
        <v>0.57410000000000005</v>
      </c>
      <c r="EK108" s="228">
        <v>711.99</v>
      </c>
      <c r="EL108" s="228">
        <v>155.13999999999999</v>
      </c>
      <c r="EM108" s="228">
        <v>202.77</v>
      </c>
      <c r="EN108" s="228">
        <v>28.48</v>
      </c>
      <c r="EO108" s="231">
        <v>1069.9000000000001</v>
      </c>
      <c r="EP108" s="228">
        <v>609.15</v>
      </c>
      <c r="EQ108" s="228">
        <v>460.75</v>
      </c>
      <c r="ER108" s="229">
        <v>0.75639999999999996</v>
      </c>
      <c r="ES108" s="228">
        <v>530.75</v>
      </c>
      <c r="ET108" s="228">
        <v>223.19</v>
      </c>
      <c r="EU108" s="231">
        <v>2032.6</v>
      </c>
      <c r="EV108" s="231">
        <v>80203755</v>
      </c>
      <c r="EW108" s="231">
        <v>2786.54</v>
      </c>
      <c r="EX108" s="231">
        <v>2759.84</v>
      </c>
      <c r="EY108" s="228">
        <v>26.7</v>
      </c>
      <c r="EZ108" s="229">
        <v>9.7000000000000003E-3</v>
      </c>
      <c r="FA108" s="229">
        <v>0.63160000000000005</v>
      </c>
      <c r="FB108" s="227" t="s">
        <v>556</v>
      </c>
      <c r="FC108">
        <f t="shared" si="1"/>
        <v>35</v>
      </c>
    </row>
    <row r="109" spans="1:159" ht="17.25" thickBot="1" x14ac:dyDescent="0.3">
      <c r="A109" s="226">
        <v>45946</v>
      </c>
      <c r="B109" s="227" t="s">
        <v>227</v>
      </c>
      <c r="C109" s="227" t="s">
        <v>244</v>
      </c>
      <c r="D109" s="228">
        <v>675</v>
      </c>
      <c r="E109" s="228">
        <v>12</v>
      </c>
      <c r="F109" s="231">
        <v>1173.5999999999999</v>
      </c>
      <c r="G109" s="231">
        <v>1165.5</v>
      </c>
      <c r="H109" s="228">
        <v>8.1</v>
      </c>
      <c r="I109" s="229">
        <v>6.8999999999999999E-3</v>
      </c>
      <c r="J109" s="231">
        <v>1172.0999999999999</v>
      </c>
      <c r="K109" s="231">
        <v>1160.8</v>
      </c>
      <c r="L109" s="228">
        <v>11.3</v>
      </c>
      <c r="M109" s="229">
        <v>9.7000000000000003E-3</v>
      </c>
      <c r="N109" s="231">
        <v>1173.5999999999999</v>
      </c>
      <c r="O109" s="231">
        <v>1165.5</v>
      </c>
      <c r="P109" s="228">
        <v>8.1</v>
      </c>
      <c r="Q109" s="229">
        <v>6.8999999999999999E-3</v>
      </c>
      <c r="R109" s="231">
        <v>1180.2</v>
      </c>
      <c r="S109" s="231">
        <v>1172</v>
      </c>
      <c r="T109" s="228">
        <v>8.1999999999999993</v>
      </c>
      <c r="U109" s="229">
        <v>7.0000000000000001E-3</v>
      </c>
      <c r="V109" s="231">
        <v>1186.2</v>
      </c>
      <c r="W109" s="231">
        <v>1178.4000000000001</v>
      </c>
      <c r="X109" s="228">
        <v>7.8</v>
      </c>
      <c r="Y109" s="229">
        <v>6.6E-3</v>
      </c>
      <c r="Z109" s="228">
        <v>1.5</v>
      </c>
      <c r="AA109" s="228">
        <v>4.7</v>
      </c>
      <c r="AB109" s="228">
        <v>-3.2</v>
      </c>
      <c r="AC109" s="229">
        <v>1.2999999999999999E-3</v>
      </c>
      <c r="AD109" s="228">
        <v>1.5</v>
      </c>
      <c r="AE109" s="228">
        <v>4.7</v>
      </c>
      <c r="AF109" s="228">
        <v>-3.2</v>
      </c>
      <c r="AG109" s="229">
        <v>1.2999999999999999E-3</v>
      </c>
      <c r="AH109" s="228">
        <v>8.1</v>
      </c>
      <c r="AI109" s="228">
        <v>11.2</v>
      </c>
      <c r="AJ109" s="228">
        <v>-3.1</v>
      </c>
      <c r="AK109" s="229">
        <v>6.8999999999999999E-3</v>
      </c>
      <c r="AL109" s="228">
        <v>14.1</v>
      </c>
      <c r="AM109" s="228">
        <v>17.600000000000001</v>
      </c>
      <c r="AN109" s="228">
        <v>-3.5</v>
      </c>
      <c r="AO109" s="229">
        <v>1.2E-2</v>
      </c>
      <c r="AP109" s="231">
        <v>1171.6600000000001</v>
      </c>
      <c r="AQ109" s="231">
        <v>1177.78</v>
      </c>
      <c r="AR109" s="228">
        <v>0</v>
      </c>
      <c r="AS109" s="228">
        <v>253</v>
      </c>
      <c r="AT109" s="228">
        <v>226</v>
      </c>
      <c r="AU109" s="228">
        <v>27</v>
      </c>
      <c r="AV109" s="229">
        <v>0.1217</v>
      </c>
      <c r="AW109" s="228">
        <v>231</v>
      </c>
      <c r="AX109" s="228">
        <v>198</v>
      </c>
      <c r="AY109" s="228">
        <v>32</v>
      </c>
      <c r="AZ109" s="229">
        <v>0.16170000000000001</v>
      </c>
      <c r="BA109" s="228">
        <v>21</v>
      </c>
      <c r="BB109" s="228">
        <v>26</v>
      </c>
      <c r="BC109" s="228">
        <v>-5</v>
      </c>
      <c r="BD109" s="229">
        <v>-0.1981</v>
      </c>
      <c r="BE109" s="228">
        <v>2</v>
      </c>
      <c r="BF109" s="228">
        <v>2</v>
      </c>
      <c r="BG109" s="228">
        <v>0</v>
      </c>
      <c r="BH109" s="229">
        <v>0.26090000000000002</v>
      </c>
      <c r="BI109" s="228">
        <v>594</v>
      </c>
      <c r="BJ109" s="228">
        <v>490</v>
      </c>
      <c r="BK109" s="228">
        <v>104</v>
      </c>
      <c r="BL109" s="229">
        <v>0.21310000000000001</v>
      </c>
      <c r="BM109" s="228">
        <v>284</v>
      </c>
      <c r="BN109" s="228">
        <v>231</v>
      </c>
      <c r="BO109" s="228">
        <v>53</v>
      </c>
      <c r="BP109" s="229">
        <v>0.2319</v>
      </c>
      <c r="BQ109" s="230">
        <v>1131</v>
      </c>
      <c r="BR109" s="228">
        <v>946</v>
      </c>
      <c r="BS109" s="228">
        <v>185</v>
      </c>
      <c r="BT109" s="229">
        <v>0.1958</v>
      </c>
      <c r="BU109" s="230">
        <v>743187</v>
      </c>
      <c r="BV109" s="230">
        <v>1299409</v>
      </c>
      <c r="BW109" s="230">
        <v>-556222</v>
      </c>
      <c r="BX109" s="229">
        <v>-0.42809999999999998</v>
      </c>
      <c r="BY109" s="230">
        <v>5294</v>
      </c>
      <c r="BZ109" s="230">
        <v>5293</v>
      </c>
      <c r="CA109" s="228">
        <v>1</v>
      </c>
      <c r="CB109" s="229">
        <v>1E-4</v>
      </c>
      <c r="CC109" s="230">
        <v>5222</v>
      </c>
      <c r="CD109" s="230">
        <v>5225</v>
      </c>
      <c r="CE109" s="228">
        <v>-3</v>
      </c>
      <c r="CF109" s="229">
        <v>-5.9999999999999995E-4</v>
      </c>
      <c r="CG109" s="228">
        <v>66</v>
      </c>
      <c r="CH109" s="228">
        <v>62</v>
      </c>
      <c r="CI109" s="228">
        <v>4</v>
      </c>
      <c r="CJ109" s="229">
        <v>5.8599999999999999E-2</v>
      </c>
      <c r="CK109" s="228">
        <v>6</v>
      </c>
      <c r="CL109" s="228">
        <v>6</v>
      </c>
      <c r="CM109" s="228">
        <v>0</v>
      </c>
      <c r="CN109" s="229">
        <v>-2.7E-2</v>
      </c>
      <c r="CO109" s="228">
        <v>730</v>
      </c>
      <c r="CP109" s="228">
        <v>730</v>
      </c>
      <c r="CQ109" s="228">
        <v>0</v>
      </c>
      <c r="CR109" s="229">
        <v>2.9999999999999997E-4</v>
      </c>
      <c r="CS109" s="228">
        <v>502</v>
      </c>
      <c r="CT109" s="228">
        <v>473</v>
      </c>
      <c r="CU109" s="228">
        <v>28</v>
      </c>
      <c r="CV109" s="229">
        <v>5.9700000000000003E-2</v>
      </c>
      <c r="CW109" s="230">
        <v>6526</v>
      </c>
      <c r="CX109" s="230">
        <v>6496</v>
      </c>
      <c r="CY109" s="228">
        <v>29</v>
      </c>
      <c r="CZ109" s="229">
        <v>4.4999999999999997E-3</v>
      </c>
      <c r="DA109" s="228">
        <v>25.73</v>
      </c>
      <c r="DB109" s="228">
        <v>26.36</v>
      </c>
      <c r="DC109" s="228">
        <v>-0.63</v>
      </c>
      <c r="DD109" s="228">
        <v>-0.63</v>
      </c>
      <c r="DE109" s="228">
        <v>29.52</v>
      </c>
      <c r="DF109" s="228">
        <v>29.58</v>
      </c>
      <c r="DG109" s="228">
        <v>-3.79</v>
      </c>
      <c r="DH109" s="228">
        <v>-0.06</v>
      </c>
      <c r="DI109" s="228">
        <v>25.54</v>
      </c>
      <c r="DJ109" s="228">
        <v>26.17</v>
      </c>
      <c r="DK109" s="228">
        <v>-0.63</v>
      </c>
      <c r="DL109" s="228">
        <v>-0.63</v>
      </c>
      <c r="DM109" s="228">
        <v>26.13</v>
      </c>
      <c r="DN109" s="228">
        <v>26.78</v>
      </c>
      <c r="DO109" s="228">
        <v>-0.65</v>
      </c>
      <c r="DP109" s="228">
        <v>-0.65</v>
      </c>
      <c r="DQ109" s="228">
        <v>0.69</v>
      </c>
      <c r="DR109" s="228">
        <v>0.65</v>
      </c>
      <c r="DS109" s="228">
        <v>0.04</v>
      </c>
      <c r="DT109" s="229">
        <v>6.1499999999999999E-2</v>
      </c>
      <c r="DU109" s="231">
        <v>1300</v>
      </c>
      <c r="DV109" s="231">
        <v>1100</v>
      </c>
      <c r="DW109" s="228">
        <v>0.48</v>
      </c>
      <c r="DX109" s="228">
        <v>0.47</v>
      </c>
      <c r="DY109" s="228">
        <v>0.01</v>
      </c>
      <c r="DZ109" s="229">
        <v>2.1299999999999999E-2</v>
      </c>
      <c r="EA109" s="229">
        <v>1.35E-2</v>
      </c>
      <c r="EB109" s="230">
        <v>579825</v>
      </c>
      <c r="EC109" s="229">
        <v>5.5999999999999999E-3</v>
      </c>
      <c r="ED109" s="229">
        <v>1.35E-2</v>
      </c>
      <c r="EE109" s="228">
        <v>6.12</v>
      </c>
      <c r="EF109" s="229">
        <v>5.1999999999999998E-3</v>
      </c>
      <c r="EG109" s="230">
        <v>405453</v>
      </c>
      <c r="EH109" s="230">
        <v>841878</v>
      </c>
      <c r="EI109" s="229">
        <v>-0.51839999999999997</v>
      </c>
      <c r="EJ109" s="229">
        <v>0.54559999999999997</v>
      </c>
      <c r="EK109" s="228">
        <v>609.66</v>
      </c>
      <c r="EL109" s="228">
        <v>278.99</v>
      </c>
      <c r="EM109" s="228">
        <v>253.05</v>
      </c>
      <c r="EN109" s="228">
        <v>42</v>
      </c>
      <c r="EO109" s="231">
        <v>1141.7</v>
      </c>
      <c r="EP109" s="228">
        <v>951.29</v>
      </c>
      <c r="EQ109" s="228">
        <v>190.41</v>
      </c>
      <c r="ER109" s="229">
        <v>0.20019999999999999</v>
      </c>
      <c r="ES109" s="228">
        <v>752.22</v>
      </c>
      <c r="ET109" s="228">
        <v>470.74</v>
      </c>
      <c r="EU109" s="231">
        <v>5294.02</v>
      </c>
      <c r="EV109" s="231">
        <v>133166619</v>
      </c>
      <c r="EW109" s="231">
        <v>6516.97</v>
      </c>
      <c r="EX109" s="231">
        <v>6451.33</v>
      </c>
      <c r="EY109" s="228">
        <v>65.64</v>
      </c>
      <c r="EZ109" s="229">
        <v>1.0200000000000001E-2</v>
      </c>
      <c r="FA109" s="229">
        <v>0.41749999999999998</v>
      </c>
      <c r="FB109" s="227" t="s">
        <v>555</v>
      </c>
      <c r="FC109">
        <f t="shared" si="1"/>
        <v>72</v>
      </c>
    </row>
    <row r="110" spans="1:159" ht="17.25" thickBot="1" x14ac:dyDescent="0.3">
      <c r="A110" s="226">
        <v>45946</v>
      </c>
      <c r="B110" s="227" t="s">
        <v>168</v>
      </c>
      <c r="C110" s="227" t="s">
        <v>245</v>
      </c>
      <c r="D110" s="228">
        <v>1250</v>
      </c>
      <c r="E110" s="228">
        <v>12</v>
      </c>
      <c r="F110" s="228">
        <v>596.5</v>
      </c>
      <c r="G110" s="228">
        <v>587.25</v>
      </c>
      <c r="H110" s="228">
        <v>9.25</v>
      </c>
      <c r="I110" s="229">
        <v>1.5800000000000002E-2</v>
      </c>
      <c r="J110" s="228">
        <v>595.29999999999995</v>
      </c>
      <c r="K110" s="228">
        <v>584.70000000000005</v>
      </c>
      <c r="L110" s="228">
        <v>10.6</v>
      </c>
      <c r="M110" s="229">
        <v>1.8100000000000002E-2</v>
      </c>
      <c r="N110" s="228">
        <v>596.5</v>
      </c>
      <c r="O110" s="228">
        <v>587.25</v>
      </c>
      <c r="P110" s="228">
        <v>9.25</v>
      </c>
      <c r="Q110" s="229">
        <v>1.5800000000000002E-2</v>
      </c>
      <c r="R110" s="228">
        <v>600.1</v>
      </c>
      <c r="S110" s="228">
        <v>590.29999999999995</v>
      </c>
      <c r="T110" s="228">
        <v>9.8000000000000007</v>
      </c>
      <c r="U110" s="229">
        <v>1.66E-2</v>
      </c>
      <c r="V110" s="228">
        <v>603.1</v>
      </c>
      <c r="W110" s="228">
        <v>594.75</v>
      </c>
      <c r="X110" s="228">
        <v>8.35</v>
      </c>
      <c r="Y110" s="229">
        <v>1.4E-2</v>
      </c>
      <c r="Z110" s="228">
        <v>1.2</v>
      </c>
      <c r="AA110" s="228">
        <v>2.5499999999999998</v>
      </c>
      <c r="AB110" s="228">
        <v>-1.35</v>
      </c>
      <c r="AC110" s="229">
        <v>2E-3</v>
      </c>
      <c r="AD110" s="228">
        <v>1.2</v>
      </c>
      <c r="AE110" s="228">
        <v>2.5499999999999998</v>
      </c>
      <c r="AF110" s="228">
        <v>-1.35</v>
      </c>
      <c r="AG110" s="229">
        <v>2E-3</v>
      </c>
      <c r="AH110" s="228">
        <v>4.8</v>
      </c>
      <c r="AI110" s="228">
        <v>5.6</v>
      </c>
      <c r="AJ110" s="228">
        <v>-0.8</v>
      </c>
      <c r="AK110" s="229">
        <v>8.0999999999999996E-3</v>
      </c>
      <c r="AL110" s="228">
        <v>7.8</v>
      </c>
      <c r="AM110" s="228">
        <v>10.050000000000001</v>
      </c>
      <c r="AN110" s="228">
        <v>-2.25</v>
      </c>
      <c r="AO110" s="229">
        <v>1.3100000000000001E-2</v>
      </c>
      <c r="AP110" s="228">
        <v>593.6</v>
      </c>
      <c r="AQ110" s="228">
        <v>595.44000000000005</v>
      </c>
      <c r="AR110" s="228">
        <v>0</v>
      </c>
      <c r="AS110" s="228">
        <v>194</v>
      </c>
      <c r="AT110" s="228">
        <v>132</v>
      </c>
      <c r="AU110" s="228">
        <v>62</v>
      </c>
      <c r="AV110" s="229">
        <v>0.4703</v>
      </c>
      <c r="AW110" s="228">
        <v>166</v>
      </c>
      <c r="AX110" s="228">
        <v>114</v>
      </c>
      <c r="AY110" s="228">
        <v>52</v>
      </c>
      <c r="AZ110" s="229">
        <v>0.4597</v>
      </c>
      <c r="BA110" s="228">
        <v>26</v>
      </c>
      <c r="BB110" s="228">
        <v>16</v>
      </c>
      <c r="BC110" s="228">
        <v>11</v>
      </c>
      <c r="BD110" s="229">
        <v>0.66979999999999995</v>
      </c>
      <c r="BE110" s="228">
        <v>2</v>
      </c>
      <c r="BF110" s="228">
        <v>2</v>
      </c>
      <c r="BG110" s="228">
        <v>-1</v>
      </c>
      <c r="BH110" s="229">
        <v>-0.34379999999999999</v>
      </c>
      <c r="BI110" s="228">
        <v>674</v>
      </c>
      <c r="BJ110" s="228">
        <v>551</v>
      </c>
      <c r="BK110" s="228">
        <v>123</v>
      </c>
      <c r="BL110" s="229">
        <v>0.22389999999999999</v>
      </c>
      <c r="BM110" s="228">
        <v>178</v>
      </c>
      <c r="BN110" s="228">
        <v>133</v>
      </c>
      <c r="BO110" s="228">
        <v>45</v>
      </c>
      <c r="BP110" s="229">
        <v>0.33689999999999998</v>
      </c>
      <c r="BQ110" s="230">
        <v>1046</v>
      </c>
      <c r="BR110" s="228">
        <v>816</v>
      </c>
      <c r="BS110" s="228">
        <v>230</v>
      </c>
      <c r="BT110" s="229">
        <v>0.28220000000000001</v>
      </c>
      <c r="BU110" s="230">
        <v>1306948</v>
      </c>
      <c r="BV110" s="230">
        <v>909052</v>
      </c>
      <c r="BW110" s="230">
        <v>397896</v>
      </c>
      <c r="BX110" s="229">
        <v>0.43769999999999998</v>
      </c>
      <c r="BY110" s="230">
        <v>1329</v>
      </c>
      <c r="BZ110" s="230">
        <v>1343</v>
      </c>
      <c r="CA110" s="228">
        <v>-14</v>
      </c>
      <c r="CB110" s="229">
        <v>-1.0200000000000001E-2</v>
      </c>
      <c r="CC110" s="230">
        <v>1260</v>
      </c>
      <c r="CD110" s="230">
        <v>1279</v>
      </c>
      <c r="CE110" s="228">
        <v>-19</v>
      </c>
      <c r="CF110" s="229">
        <v>-1.4800000000000001E-2</v>
      </c>
      <c r="CG110" s="228">
        <v>59</v>
      </c>
      <c r="CH110" s="228">
        <v>53</v>
      </c>
      <c r="CI110" s="228">
        <v>6</v>
      </c>
      <c r="CJ110" s="229">
        <v>0.1066</v>
      </c>
      <c r="CK110" s="228">
        <v>11</v>
      </c>
      <c r="CL110" s="228">
        <v>11</v>
      </c>
      <c r="CM110" s="228">
        <v>0</v>
      </c>
      <c r="CN110" s="229">
        <v>-3.3099999999999997E-2</v>
      </c>
      <c r="CO110" s="228">
        <v>695</v>
      </c>
      <c r="CP110" s="228">
        <v>769</v>
      </c>
      <c r="CQ110" s="228">
        <v>-74</v>
      </c>
      <c r="CR110" s="229">
        <v>-9.6100000000000005E-2</v>
      </c>
      <c r="CS110" s="228">
        <v>299</v>
      </c>
      <c r="CT110" s="228">
        <v>323</v>
      </c>
      <c r="CU110" s="228">
        <v>-23</v>
      </c>
      <c r="CV110" s="229">
        <v>-7.2599999999999998E-2</v>
      </c>
      <c r="CW110" s="230">
        <v>2324</v>
      </c>
      <c r="CX110" s="230">
        <v>2435</v>
      </c>
      <c r="CY110" s="228">
        <v>-111</v>
      </c>
      <c r="CZ110" s="229">
        <v>-4.5600000000000002E-2</v>
      </c>
      <c r="DA110" s="228">
        <v>26.81</v>
      </c>
      <c r="DB110" s="228">
        <v>28.42</v>
      </c>
      <c r="DC110" s="228">
        <v>-1.61</v>
      </c>
      <c r="DD110" s="228">
        <v>-1.61</v>
      </c>
      <c r="DE110" s="228">
        <v>34.01</v>
      </c>
      <c r="DF110" s="228">
        <v>34.01</v>
      </c>
      <c r="DG110" s="228">
        <v>-7.2</v>
      </c>
      <c r="DH110" s="228">
        <v>0</v>
      </c>
      <c r="DI110" s="228">
        <v>27.13</v>
      </c>
      <c r="DJ110" s="228">
        <v>28.7</v>
      </c>
      <c r="DK110" s="228">
        <v>-1.57</v>
      </c>
      <c r="DL110" s="228">
        <v>-1.57</v>
      </c>
      <c r="DM110" s="228">
        <v>25.59</v>
      </c>
      <c r="DN110" s="228">
        <v>27.26</v>
      </c>
      <c r="DO110" s="228">
        <v>-1.67</v>
      </c>
      <c r="DP110" s="228">
        <v>-1.67</v>
      </c>
      <c r="DQ110" s="228">
        <v>0.43</v>
      </c>
      <c r="DR110" s="228">
        <v>0.42</v>
      </c>
      <c r="DS110" s="228">
        <v>0.01</v>
      </c>
      <c r="DT110" s="229">
        <v>2.3800000000000002E-2</v>
      </c>
      <c r="DU110" s="228">
        <v>650</v>
      </c>
      <c r="DV110" s="228">
        <v>550</v>
      </c>
      <c r="DW110" s="228">
        <v>0.26</v>
      </c>
      <c r="DX110" s="228">
        <v>0.24</v>
      </c>
      <c r="DY110" s="228">
        <v>0.02</v>
      </c>
      <c r="DZ110" s="229">
        <v>8.3299999999999999E-2</v>
      </c>
      <c r="EA110" s="229">
        <v>5.2400000000000002E-2</v>
      </c>
      <c r="EB110" s="230">
        <v>1080000</v>
      </c>
      <c r="EC110" s="229">
        <v>6.0000000000000001E-3</v>
      </c>
      <c r="ED110" s="229">
        <v>5.2400000000000002E-2</v>
      </c>
      <c r="EE110" s="228">
        <v>1.84</v>
      </c>
      <c r="EF110" s="229">
        <v>3.0999999999999999E-3</v>
      </c>
      <c r="EG110" s="230">
        <v>752055</v>
      </c>
      <c r="EH110" s="230">
        <v>533095</v>
      </c>
      <c r="EI110" s="229">
        <v>0.41070000000000001</v>
      </c>
      <c r="EJ110" s="229">
        <v>0.57540000000000002</v>
      </c>
      <c r="EK110" s="228">
        <v>701.74</v>
      </c>
      <c r="EL110" s="228">
        <v>174.8</v>
      </c>
      <c r="EM110" s="228">
        <v>193.09</v>
      </c>
      <c r="EN110" s="228">
        <v>22.01</v>
      </c>
      <c r="EO110" s="231">
        <v>1069.6199999999999</v>
      </c>
      <c r="EP110" s="228">
        <v>832.74</v>
      </c>
      <c r="EQ110" s="228">
        <v>236.89</v>
      </c>
      <c r="ER110" s="229">
        <v>0.28449999999999998</v>
      </c>
      <c r="ES110" s="228">
        <v>743.33</v>
      </c>
      <c r="ET110" s="228">
        <v>297.24</v>
      </c>
      <c r="EU110" s="231">
        <v>1329.92</v>
      </c>
      <c r="EV110" s="231">
        <v>48884739</v>
      </c>
      <c r="EW110" s="231">
        <v>2370.5</v>
      </c>
      <c r="EX110" s="231">
        <v>2460.5300000000002</v>
      </c>
      <c r="EY110" s="228">
        <v>-90.03</v>
      </c>
      <c r="EZ110" s="229">
        <v>-3.6600000000000001E-2</v>
      </c>
      <c r="FA110" s="229">
        <v>0.79690000000000005</v>
      </c>
      <c r="FB110" s="227" t="s">
        <v>556</v>
      </c>
      <c r="FC110">
        <f t="shared" si="1"/>
        <v>69</v>
      </c>
    </row>
    <row r="111" spans="1:159" ht="17.25" thickBot="1" x14ac:dyDescent="0.3">
      <c r="A111" s="226">
        <v>45946</v>
      </c>
      <c r="B111" s="227" t="s">
        <v>168</v>
      </c>
      <c r="C111" s="227" t="s">
        <v>582</v>
      </c>
      <c r="D111" s="228">
        <v>1175</v>
      </c>
      <c r="E111" s="228">
        <v>12</v>
      </c>
      <c r="F111" s="228">
        <v>488.45</v>
      </c>
      <c r="G111" s="228">
        <v>478.7</v>
      </c>
      <c r="H111" s="228">
        <v>9.75</v>
      </c>
      <c r="I111" s="229">
        <v>2.0400000000000001E-2</v>
      </c>
      <c r="J111" s="228">
        <v>487.15</v>
      </c>
      <c r="K111" s="228">
        <v>477</v>
      </c>
      <c r="L111" s="228">
        <v>10.15</v>
      </c>
      <c r="M111" s="229">
        <v>2.1299999999999999E-2</v>
      </c>
      <c r="N111" s="228">
        <v>488.45</v>
      </c>
      <c r="O111" s="228">
        <v>478.7</v>
      </c>
      <c r="P111" s="228">
        <v>9.75</v>
      </c>
      <c r="Q111" s="229">
        <v>2.0400000000000001E-2</v>
      </c>
      <c r="R111" s="228">
        <v>491.3</v>
      </c>
      <c r="S111" s="228">
        <v>481.5</v>
      </c>
      <c r="T111" s="228">
        <v>9.8000000000000007</v>
      </c>
      <c r="U111" s="229">
        <v>2.0400000000000001E-2</v>
      </c>
      <c r="V111" s="228">
        <v>494.65</v>
      </c>
      <c r="W111" s="228">
        <v>484.65</v>
      </c>
      <c r="X111" s="228">
        <v>10</v>
      </c>
      <c r="Y111" s="229">
        <v>2.06E-2</v>
      </c>
      <c r="Z111" s="228">
        <v>1.3</v>
      </c>
      <c r="AA111" s="228">
        <v>1.7</v>
      </c>
      <c r="AB111" s="228">
        <v>-0.4</v>
      </c>
      <c r="AC111" s="229">
        <v>2.7000000000000001E-3</v>
      </c>
      <c r="AD111" s="228">
        <v>1.3</v>
      </c>
      <c r="AE111" s="228">
        <v>1.7</v>
      </c>
      <c r="AF111" s="228">
        <v>-0.4</v>
      </c>
      <c r="AG111" s="229">
        <v>2.7000000000000001E-3</v>
      </c>
      <c r="AH111" s="228">
        <v>4.1500000000000004</v>
      </c>
      <c r="AI111" s="228">
        <v>4.5</v>
      </c>
      <c r="AJ111" s="228">
        <v>-0.35</v>
      </c>
      <c r="AK111" s="229">
        <v>8.5000000000000006E-3</v>
      </c>
      <c r="AL111" s="228">
        <v>7.5</v>
      </c>
      <c r="AM111" s="228">
        <v>7.65</v>
      </c>
      <c r="AN111" s="228">
        <v>-0.15</v>
      </c>
      <c r="AO111" s="229">
        <v>1.54E-2</v>
      </c>
      <c r="AP111" s="228">
        <v>488.02</v>
      </c>
      <c r="AQ111" s="228">
        <v>490.9</v>
      </c>
      <c r="AR111" s="228">
        <v>0</v>
      </c>
      <c r="AS111" s="228">
        <v>274</v>
      </c>
      <c r="AT111" s="228">
        <v>152</v>
      </c>
      <c r="AU111" s="228">
        <v>122</v>
      </c>
      <c r="AV111" s="229">
        <v>0.79859999999999998</v>
      </c>
      <c r="AW111" s="228">
        <v>237</v>
      </c>
      <c r="AX111" s="228">
        <v>138</v>
      </c>
      <c r="AY111" s="228">
        <v>99</v>
      </c>
      <c r="AZ111" s="229">
        <v>0.71730000000000005</v>
      </c>
      <c r="BA111" s="228">
        <v>36</v>
      </c>
      <c r="BB111" s="228">
        <v>13</v>
      </c>
      <c r="BC111" s="228">
        <v>23</v>
      </c>
      <c r="BD111" s="229">
        <v>1.7249000000000001</v>
      </c>
      <c r="BE111" s="228">
        <v>2</v>
      </c>
      <c r="BF111" s="228">
        <v>1</v>
      </c>
      <c r="BG111" s="228">
        <v>0</v>
      </c>
      <c r="BH111" s="229">
        <v>0.15379999999999999</v>
      </c>
      <c r="BI111" s="230">
        <v>1484</v>
      </c>
      <c r="BJ111" s="228">
        <v>598</v>
      </c>
      <c r="BK111" s="228">
        <v>885</v>
      </c>
      <c r="BL111" s="229">
        <v>1.4791000000000001</v>
      </c>
      <c r="BM111" s="228">
        <v>555</v>
      </c>
      <c r="BN111" s="228">
        <v>194</v>
      </c>
      <c r="BO111" s="228">
        <v>361</v>
      </c>
      <c r="BP111" s="229">
        <v>1.8604000000000001</v>
      </c>
      <c r="BQ111" s="230">
        <v>2313</v>
      </c>
      <c r="BR111" s="228">
        <v>945</v>
      </c>
      <c r="BS111" s="230">
        <v>1368</v>
      </c>
      <c r="BT111" s="229">
        <v>1.4476</v>
      </c>
      <c r="BU111" s="230">
        <v>4711212</v>
      </c>
      <c r="BV111" s="230">
        <v>1618362</v>
      </c>
      <c r="BW111" s="230">
        <v>3092850</v>
      </c>
      <c r="BX111" s="229">
        <v>1.9111</v>
      </c>
      <c r="BY111" s="230">
        <v>1490</v>
      </c>
      <c r="BZ111" s="230">
        <v>1534</v>
      </c>
      <c r="CA111" s="228">
        <v>-44</v>
      </c>
      <c r="CB111" s="229">
        <v>-2.87E-2</v>
      </c>
      <c r="CC111" s="230">
        <v>1420</v>
      </c>
      <c r="CD111" s="230">
        <v>1466</v>
      </c>
      <c r="CE111" s="228">
        <v>-47</v>
      </c>
      <c r="CF111" s="229">
        <v>-3.1800000000000002E-2</v>
      </c>
      <c r="CG111" s="228">
        <v>64</v>
      </c>
      <c r="CH111" s="228">
        <v>61</v>
      </c>
      <c r="CI111" s="228">
        <v>3</v>
      </c>
      <c r="CJ111" s="229">
        <v>4.1300000000000003E-2</v>
      </c>
      <c r="CK111" s="228">
        <v>6</v>
      </c>
      <c r="CL111" s="228">
        <v>6</v>
      </c>
      <c r="CM111" s="228">
        <v>0</v>
      </c>
      <c r="CN111" s="229">
        <v>1.7999999999999999E-2</v>
      </c>
      <c r="CO111" s="228">
        <v>801</v>
      </c>
      <c r="CP111" s="228">
        <v>827</v>
      </c>
      <c r="CQ111" s="228">
        <v>-26</v>
      </c>
      <c r="CR111" s="229">
        <v>-3.1899999999999998E-2</v>
      </c>
      <c r="CS111" s="228">
        <v>392</v>
      </c>
      <c r="CT111" s="228">
        <v>403</v>
      </c>
      <c r="CU111" s="228">
        <v>-11</v>
      </c>
      <c r="CV111" s="229">
        <v>-2.6800000000000001E-2</v>
      </c>
      <c r="CW111" s="230">
        <v>2683</v>
      </c>
      <c r="CX111" s="230">
        <v>2764</v>
      </c>
      <c r="CY111" s="228">
        <v>-81</v>
      </c>
      <c r="CZ111" s="229">
        <v>-2.9399999999999999E-2</v>
      </c>
      <c r="DA111" s="228">
        <v>33.369999999999997</v>
      </c>
      <c r="DB111" s="228">
        <v>34.130000000000003</v>
      </c>
      <c r="DC111" s="228">
        <v>-0.76</v>
      </c>
      <c r="DD111" s="228">
        <v>-0.76</v>
      </c>
      <c r="DE111" s="228">
        <v>51.78</v>
      </c>
      <c r="DF111" s="228">
        <v>51.83</v>
      </c>
      <c r="DG111" s="228">
        <v>-18.41</v>
      </c>
      <c r="DH111" s="228">
        <v>-0.05</v>
      </c>
      <c r="DI111" s="228">
        <v>33.75</v>
      </c>
      <c r="DJ111" s="228">
        <v>34.69</v>
      </c>
      <c r="DK111" s="228">
        <v>-0.94</v>
      </c>
      <c r="DL111" s="228">
        <v>-0.94</v>
      </c>
      <c r="DM111" s="228">
        <v>32.36</v>
      </c>
      <c r="DN111" s="228">
        <v>32.39</v>
      </c>
      <c r="DO111" s="228">
        <v>-0.03</v>
      </c>
      <c r="DP111" s="228">
        <v>-0.03</v>
      </c>
      <c r="DQ111" s="228">
        <v>0.49</v>
      </c>
      <c r="DR111" s="228">
        <v>0.49</v>
      </c>
      <c r="DS111" s="228">
        <v>0</v>
      </c>
      <c r="DT111" s="229">
        <v>0</v>
      </c>
      <c r="DU111" s="228">
        <v>500</v>
      </c>
      <c r="DV111" s="228">
        <v>480</v>
      </c>
      <c r="DW111" s="228">
        <v>0.37</v>
      </c>
      <c r="DX111" s="228">
        <v>0.32</v>
      </c>
      <c r="DY111" s="228">
        <v>0.05</v>
      </c>
      <c r="DZ111" s="229">
        <v>0.15620000000000001</v>
      </c>
      <c r="EA111" s="229">
        <v>4.7100000000000003E-2</v>
      </c>
      <c r="EB111" s="230">
        <v>1382975</v>
      </c>
      <c r="EC111" s="229">
        <v>5.7999999999999996E-3</v>
      </c>
      <c r="ED111" s="229">
        <v>4.7100000000000003E-2</v>
      </c>
      <c r="EE111" s="228">
        <v>2.88</v>
      </c>
      <c r="EF111" s="229">
        <v>5.8999999999999999E-3</v>
      </c>
      <c r="EG111" s="230">
        <v>1532617</v>
      </c>
      <c r="EH111" s="230">
        <v>469516</v>
      </c>
      <c r="EI111" s="229">
        <v>2.2642000000000002</v>
      </c>
      <c r="EJ111" s="229">
        <v>0.32529999999999998</v>
      </c>
      <c r="EK111" s="231">
        <v>1550.74</v>
      </c>
      <c r="EL111" s="228">
        <v>543.33000000000004</v>
      </c>
      <c r="EM111" s="228">
        <v>274.27</v>
      </c>
      <c r="EN111" s="228">
        <v>22.98</v>
      </c>
      <c r="EO111" s="231">
        <v>2368.35</v>
      </c>
      <c r="EP111" s="228">
        <v>953.88</v>
      </c>
      <c r="EQ111" s="231">
        <v>1414.47</v>
      </c>
      <c r="ER111" s="229">
        <v>1.4829000000000001</v>
      </c>
      <c r="ES111" s="228">
        <v>843.41</v>
      </c>
      <c r="ET111" s="228">
        <v>375.78</v>
      </c>
      <c r="EU111" s="231">
        <v>1490.2</v>
      </c>
      <c r="EV111" s="231">
        <v>57552009</v>
      </c>
      <c r="EW111" s="231">
        <v>2709.38</v>
      </c>
      <c r="EX111" s="231">
        <v>2754.9</v>
      </c>
      <c r="EY111" s="228">
        <v>-45.52</v>
      </c>
      <c r="EZ111" s="229">
        <v>-1.6500000000000001E-2</v>
      </c>
      <c r="FA111" s="229">
        <v>0.95440000000000003</v>
      </c>
      <c r="FB111" s="227" t="s">
        <v>556</v>
      </c>
      <c r="FC111">
        <f t="shared" si="1"/>
        <v>70</v>
      </c>
    </row>
    <row r="112" spans="1:159" ht="17.25" thickBot="1" x14ac:dyDescent="0.3">
      <c r="A112" s="226">
        <v>45946</v>
      </c>
      <c r="B112" s="227" t="s">
        <v>184</v>
      </c>
      <c r="C112" s="227" t="s">
        <v>677</v>
      </c>
      <c r="D112" s="228">
        <v>100</v>
      </c>
      <c r="E112" s="228">
        <v>12</v>
      </c>
      <c r="F112" s="231">
        <v>6999</v>
      </c>
      <c r="G112" s="231">
        <v>6970.5</v>
      </c>
      <c r="H112" s="228">
        <v>28.5</v>
      </c>
      <c r="I112" s="229">
        <v>4.1000000000000003E-3</v>
      </c>
      <c r="J112" s="231">
        <v>6991.5</v>
      </c>
      <c r="K112" s="231">
        <v>6958.5</v>
      </c>
      <c r="L112" s="228">
        <v>33</v>
      </c>
      <c r="M112" s="229">
        <v>4.7000000000000002E-3</v>
      </c>
      <c r="N112" s="231">
        <v>6999</v>
      </c>
      <c r="O112" s="231">
        <v>6970.5</v>
      </c>
      <c r="P112" s="228">
        <v>28.5</v>
      </c>
      <c r="Q112" s="229">
        <v>4.1000000000000003E-3</v>
      </c>
      <c r="R112" s="231">
        <v>7036</v>
      </c>
      <c r="S112" s="231">
        <v>7008.5</v>
      </c>
      <c r="T112" s="228">
        <v>27.5</v>
      </c>
      <c r="U112" s="229">
        <v>3.8999999999999998E-3</v>
      </c>
      <c r="V112" s="231">
        <v>7082</v>
      </c>
      <c r="W112" s="231">
        <v>7045</v>
      </c>
      <c r="X112" s="228">
        <v>37</v>
      </c>
      <c r="Y112" s="229">
        <v>5.3E-3</v>
      </c>
      <c r="Z112" s="228">
        <v>7.5</v>
      </c>
      <c r="AA112" s="228">
        <v>12</v>
      </c>
      <c r="AB112" s="228">
        <v>-4.5</v>
      </c>
      <c r="AC112" s="229">
        <v>1.1000000000000001E-3</v>
      </c>
      <c r="AD112" s="228">
        <v>7.5</v>
      </c>
      <c r="AE112" s="228">
        <v>12</v>
      </c>
      <c r="AF112" s="228">
        <v>-4.5</v>
      </c>
      <c r="AG112" s="229">
        <v>1.1000000000000001E-3</v>
      </c>
      <c r="AH112" s="228">
        <v>44.5</v>
      </c>
      <c r="AI112" s="228">
        <v>50</v>
      </c>
      <c r="AJ112" s="228">
        <v>-5.5</v>
      </c>
      <c r="AK112" s="229">
        <v>6.4000000000000003E-3</v>
      </c>
      <c r="AL112" s="228">
        <v>90.5</v>
      </c>
      <c r="AM112" s="228">
        <v>86.5</v>
      </c>
      <c r="AN112" s="228">
        <v>4</v>
      </c>
      <c r="AO112" s="229">
        <v>1.29E-2</v>
      </c>
      <c r="AP112" s="231">
        <v>7048.59</v>
      </c>
      <c r="AQ112" s="231">
        <v>7076.99</v>
      </c>
      <c r="AR112" s="228">
        <v>0</v>
      </c>
      <c r="AS112" s="228">
        <v>391</v>
      </c>
      <c r="AT112" s="228">
        <v>199</v>
      </c>
      <c r="AU112" s="228">
        <v>191</v>
      </c>
      <c r="AV112" s="229">
        <v>0.95960000000000001</v>
      </c>
      <c r="AW112" s="228">
        <v>334</v>
      </c>
      <c r="AX112" s="228">
        <v>184</v>
      </c>
      <c r="AY112" s="228">
        <v>150</v>
      </c>
      <c r="AZ112" s="229">
        <v>0.81610000000000005</v>
      </c>
      <c r="BA112" s="228">
        <v>54</v>
      </c>
      <c r="BB112" s="228">
        <v>15</v>
      </c>
      <c r="BC112" s="228">
        <v>39</v>
      </c>
      <c r="BD112" s="229">
        <v>2.5952999999999999</v>
      </c>
      <c r="BE112" s="228">
        <v>3</v>
      </c>
      <c r="BF112" s="228">
        <v>1</v>
      </c>
      <c r="BG112" s="228">
        <v>2</v>
      </c>
      <c r="BH112" s="229">
        <v>3.7778</v>
      </c>
      <c r="BI112" s="230">
        <v>2615</v>
      </c>
      <c r="BJ112" s="230">
        <v>1323</v>
      </c>
      <c r="BK112" s="230">
        <v>1292</v>
      </c>
      <c r="BL112" s="229">
        <v>0.97670000000000001</v>
      </c>
      <c r="BM112" s="228">
        <v>720</v>
      </c>
      <c r="BN112" s="228">
        <v>493</v>
      </c>
      <c r="BO112" s="228">
        <v>227</v>
      </c>
      <c r="BP112" s="229">
        <v>0.46100000000000002</v>
      </c>
      <c r="BQ112" s="230">
        <v>3726</v>
      </c>
      <c r="BR112" s="230">
        <v>2015</v>
      </c>
      <c r="BS112" s="230">
        <v>1711</v>
      </c>
      <c r="BT112" s="229">
        <v>0.84889999999999999</v>
      </c>
      <c r="BU112" s="230">
        <v>663608</v>
      </c>
      <c r="BV112" s="230">
        <v>265902</v>
      </c>
      <c r="BW112" s="230">
        <v>397706</v>
      </c>
      <c r="BX112" s="229">
        <v>1.4957</v>
      </c>
      <c r="BY112" s="230">
        <v>1051</v>
      </c>
      <c r="BZ112" s="230">
        <v>1006</v>
      </c>
      <c r="CA112" s="228">
        <v>46</v>
      </c>
      <c r="CB112" s="229">
        <v>4.5499999999999999E-2</v>
      </c>
      <c r="CC112" s="228">
        <v>964</v>
      </c>
      <c r="CD112" s="228">
        <v>938</v>
      </c>
      <c r="CE112" s="228">
        <v>25</v>
      </c>
      <c r="CF112" s="229">
        <v>2.7099999999999999E-2</v>
      </c>
      <c r="CG112" s="228">
        <v>77</v>
      </c>
      <c r="CH112" s="228">
        <v>57</v>
      </c>
      <c r="CI112" s="228">
        <v>19</v>
      </c>
      <c r="CJ112" s="229">
        <v>0.33779999999999999</v>
      </c>
      <c r="CK112" s="228">
        <v>11</v>
      </c>
      <c r="CL112" s="228">
        <v>10</v>
      </c>
      <c r="CM112" s="228">
        <v>1</v>
      </c>
      <c r="CN112" s="229">
        <v>9.35E-2</v>
      </c>
      <c r="CO112" s="230">
        <v>1624</v>
      </c>
      <c r="CP112" s="230">
        <v>1549</v>
      </c>
      <c r="CQ112" s="228">
        <v>75</v>
      </c>
      <c r="CR112" s="229">
        <v>4.8500000000000001E-2</v>
      </c>
      <c r="CS112" s="228">
        <v>688</v>
      </c>
      <c r="CT112" s="228">
        <v>679</v>
      </c>
      <c r="CU112" s="228">
        <v>10</v>
      </c>
      <c r="CV112" s="229">
        <v>1.4200000000000001E-2</v>
      </c>
      <c r="CW112" s="230">
        <v>3363</v>
      </c>
      <c r="CX112" s="230">
        <v>3233</v>
      </c>
      <c r="CY112" s="228">
        <v>131</v>
      </c>
      <c r="CZ112" s="229">
        <v>4.0399999999999998E-2</v>
      </c>
      <c r="DA112" s="228">
        <v>41.15</v>
      </c>
      <c r="DB112" s="228">
        <v>40.71</v>
      </c>
      <c r="DC112" s="228">
        <v>0.44</v>
      </c>
      <c r="DD112" s="228">
        <v>0.44</v>
      </c>
      <c r="DE112" s="228">
        <v>55.71</v>
      </c>
      <c r="DF112" s="228">
        <v>55.85</v>
      </c>
      <c r="DG112" s="228">
        <v>-14.56</v>
      </c>
      <c r="DH112" s="228">
        <v>-0.14000000000000001</v>
      </c>
      <c r="DI112" s="228">
        <v>41.33</v>
      </c>
      <c r="DJ112" s="228">
        <v>40.71</v>
      </c>
      <c r="DK112" s="228">
        <v>0.62</v>
      </c>
      <c r="DL112" s="228">
        <v>0.62</v>
      </c>
      <c r="DM112" s="228">
        <v>40.520000000000003</v>
      </c>
      <c r="DN112" s="228">
        <v>40.72</v>
      </c>
      <c r="DO112" s="228">
        <v>-0.2</v>
      </c>
      <c r="DP112" s="228">
        <v>-0.2</v>
      </c>
      <c r="DQ112" s="228">
        <v>0.42</v>
      </c>
      <c r="DR112" s="228">
        <v>0.44</v>
      </c>
      <c r="DS112" s="228">
        <v>-0.02</v>
      </c>
      <c r="DT112" s="229">
        <v>-4.5499999999999999E-2</v>
      </c>
      <c r="DU112" s="231">
        <v>7000</v>
      </c>
      <c r="DV112" s="231">
        <v>7000</v>
      </c>
      <c r="DW112" s="228">
        <v>0.28000000000000003</v>
      </c>
      <c r="DX112" s="228">
        <v>0.37</v>
      </c>
      <c r="DY112" s="228">
        <v>-0.09</v>
      </c>
      <c r="DZ112" s="229">
        <v>-0.2432</v>
      </c>
      <c r="EA112" s="229">
        <v>8.3199999999999996E-2</v>
      </c>
      <c r="EB112" s="230">
        <v>95900</v>
      </c>
      <c r="EC112" s="229">
        <v>5.3E-3</v>
      </c>
      <c r="ED112" s="229">
        <v>8.3199999999999996E-2</v>
      </c>
      <c r="EE112" s="228">
        <v>28.4</v>
      </c>
      <c r="EF112" s="229">
        <v>4.0000000000000001E-3</v>
      </c>
      <c r="EG112" s="230">
        <v>213564</v>
      </c>
      <c r="EH112" s="230">
        <v>98948</v>
      </c>
      <c r="EI112" s="229">
        <v>1.1583000000000001</v>
      </c>
      <c r="EJ112" s="229">
        <v>0.32179999999999997</v>
      </c>
      <c r="EK112" s="231">
        <v>2801.92</v>
      </c>
      <c r="EL112" s="228">
        <v>696.39</v>
      </c>
      <c r="EM112" s="228">
        <v>393.92</v>
      </c>
      <c r="EN112" s="228">
        <v>58.54</v>
      </c>
      <c r="EO112" s="231">
        <v>3892.24</v>
      </c>
      <c r="EP112" s="231">
        <v>2081.5500000000002</v>
      </c>
      <c r="EQ112" s="231">
        <v>1810.69</v>
      </c>
      <c r="ER112" s="229">
        <v>0.86990000000000001</v>
      </c>
      <c r="ES112" s="231">
        <v>1736.6</v>
      </c>
      <c r="ET112" s="228">
        <v>668.29</v>
      </c>
      <c r="EU112" s="231">
        <v>1051.8499999999999</v>
      </c>
      <c r="EV112" s="231">
        <v>4667784</v>
      </c>
      <c r="EW112" s="231">
        <v>3456.74</v>
      </c>
      <c r="EX112" s="231">
        <v>3316.76</v>
      </c>
      <c r="EY112" s="228">
        <v>139.97999999999999</v>
      </c>
      <c r="EZ112" s="229">
        <v>4.2200000000000001E-2</v>
      </c>
      <c r="FA112" s="229">
        <v>1.0295000000000001</v>
      </c>
      <c r="FB112" s="227" t="s">
        <v>555</v>
      </c>
      <c r="FC112">
        <f t="shared" si="1"/>
        <v>87</v>
      </c>
    </row>
    <row r="113" spans="1:159" ht="17.25" thickBot="1" x14ac:dyDescent="0.3">
      <c r="A113" s="226">
        <v>45946</v>
      </c>
      <c r="B113" s="227" t="s">
        <v>161</v>
      </c>
      <c r="C113" s="227" t="s">
        <v>610</v>
      </c>
      <c r="D113" s="228">
        <v>175</v>
      </c>
      <c r="E113" s="228">
        <v>12</v>
      </c>
      <c r="F113" s="231">
        <v>4171.5</v>
      </c>
      <c r="G113" s="231">
        <v>4436.2</v>
      </c>
      <c r="H113" s="228">
        <v>-264.7</v>
      </c>
      <c r="I113" s="229">
        <v>-5.9700000000000003E-2</v>
      </c>
      <c r="J113" s="231">
        <v>4172.6000000000004</v>
      </c>
      <c r="K113" s="231">
        <v>4420.6000000000004</v>
      </c>
      <c r="L113" s="228">
        <v>-248</v>
      </c>
      <c r="M113" s="229">
        <v>-5.6099999999999997E-2</v>
      </c>
      <c r="N113" s="231">
        <v>4171.5</v>
      </c>
      <c r="O113" s="231">
        <v>4436.2</v>
      </c>
      <c r="P113" s="228">
        <v>-264.7</v>
      </c>
      <c r="Q113" s="229">
        <v>-5.9700000000000003E-2</v>
      </c>
      <c r="R113" s="231">
        <v>4177.5</v>
      </c>
      <c r="S113" s="231">
        <v>4467.6000000000004</v>
      </c>
      <c r="T113" s="228">
        <v>-290.10000000000002</v>
      </c>
      <c r="U113" s="229">
        <v>-6.4899999999999999E-2</v>
      </c>
      <c r="V113" s="231">
        <v>4192.3</v>
      </c>
      <c r="W113" s="231">
        <v>4504</v>
      </c>
      <c r="X113" s="228">
        <v>-311.7</v>
      </c>
      <c r="Y113" s="229">
        <v>-6.9199999999999998E-2</v>
      </c>
      <c r="Z113" s="228">
        <v>-1.1000000000000001</v>
      </c>
      <c r="AA113" s="228">
        <v>15.6</v>
      </c>
      <c r="AB113" s="228">
        <v>-16.7</v>
      </c>
      <c r="AC113" s="229">
        <v>-2.9999999999999997E-4</v>
      </c>
      <c r="AD113" s="228">
        <v>-1.1000000000000001</v>
      </c>
      <c r="AE113" s="228">
        <v>15.6</v>
      </c>
      <c r="AF113" s="228">
        <v>-16.7</v>
      </c>
      <c r="AG113" s="229">
        <v>-2.9999999999999997E-4</v>
      </c>
      <c r="AH113" s="228">
        <v>4.9000000000000004</v>
      </c>
      <c r="AI113" s="228">
        <v>47</v>
      </c>
      <c r="AJ113" s="228">
        <v>-42.1</v>
      </c>
      <c r="AK113" s="229">
        <v>1.1999999999999999E-3</v>
      </c>
      <c r="AL113" s="228">
        <v>19.7</v>
      </c>
      <c r="AM113" s="228">
        <v>83.4</v>
      </c>
      <c r="AN113" s="228">
        <v>-63.7</v>
      </c>
      <c r="AO113" s="229">
        <v>4.7000000000000002E-3</v>
      </c>
      <c r="AP113" s="231">
        <v>4164.0600000000004</v>
      </c>
      <c r="AQ113" s="231">
        <v>4180.8</v>
      </c>
      <c r="AR113" s="228">
        <v>0</v>
      </c>
      <c r="AS113" s="230">
        <v>1403</v>
      </c>
      <c r="AT113" s="228">
        <v>350</v>
      </c>
      <c r="AU113" s="230">
        <v>1053</v>
      </c>
      <c r="AV113" s="229">
        <v>3.0074999999999998</v>
      </c>
      <c r="AW113" s="230">
        <v>1242</v>
      </c>
      <c r="AX113" s="228">
        <v>339</v>
      </c>
      <c r="AY113" s="228">
        <v>903</v>
      </c>
      <c r="AZ113" s="229">
        <v>2.6680000000000001</v>
      </c>
      <c r="BA113" s="228">
        <v>151</v>
      </c>
      <c r="BB113" s="228">
        <v>11</v>
      </c>
      <c r="BC113" s="228">
        <v>140</v>
      </c>
      <c r="BD113" s="229">
        <v>12.3742</v>
      </c>
      <c r="BE113" s="228">
        <v>10</v>
      </c>
      <c r="BF113" s="228">
        <v>0</v>
      </c>
      <c r="BG113" s="228">
        <v>10</v>
      </c>
      <c r="BH113" s="229">
        <v>33.75</v>
      </c>
      <c r="BI113" s="230">
        <v>4894</v>
      </c>
      <c r="BJ113" s="230">
        <v>1402</v>
      </c>
      <c r="BK113" s="230">
        <v>3492</v>
      </c>
      <c r="BL113" s="229">
        <v>2.4914999999999998</v>
      </c>
      <c r="BM113" s="230">
        <v>2001</v>
      </c>
      <c r="BN113" s="228">
        <v>509</v>
      </c>
      <c r="BO113" s="230">
        <v>1492</v>
      </c>
      <c r="BP113" s="229">
        <v>2.9312999999999998</v>
      </c>
      <c r="BQ113" s="230">
        <v>8299</v>
      </c>
      <c r="BR113" s="230">
        <v>2261</v>
      </c>
      <c r="BS113" s="230">
        <v>6038</v>
      </c>
      <c r="BT113" s="229">
        <v>2.6703999999999999</v>
      </c>
      <c r="BU113" s="230">
        <v>2314896</v>
      </c>
      <c r="BV113" s="230">
        <v>351214</v>
      </c>
      <c r="BW113" s="230">
        <v>1963682</v>
      </c>
      <c r="BX113" s="229">
        <v>5.5911</v>
      </c>
      <c r="BY113" s="228">
        <v>656</v>
      </c>
      <c r="BZ113" s="228">
        <v>583</v>
      </c>
      <c r="CA113" s="228">
        <v>72</v>
      </c>
      <c r="CB113" s="229">
        <v>0.1242</v>
      </c>
      <c r="CC113" s="228">
        <v>590</v>
      </c>
      <c r="CD113" s="228">
        <v>574</v>
      </c>
      <c r="CE113" s="228">
        <v>16</v>
      </c>
      <c r="CF113" s="229">
        <v>2.8400000000000002E-2</v>
      </c>
      <c r="CG113" s="228">
        <v>59</v>
      </c>
      <c r="CH113" s="228">
        <v>8</v>
      </c>
      <c r="CI113" s="228">
        <v>52</v>
      </c>
      <c r="CJ113" s="229">
        <v>6.5462999999999996</v>
      </c>
      <c r="CK113" s="228">
        <v>6</v>
      </c>
      <c r="CL113" s="228">
        <v>1</v>
      </c>
      <c r="CM113" s="228">
        <v>5</v>
      </c>
      <c r="CN113" s="229">
        <v>3.875</v>
      </c>
      <c r="CO113" s="228">
        <v>812</v>
      </c>
      <c r="CP113" s="228">
        <v>314</v>
      </c>
      <c r="CQ113" s="228">
        <v>499</v>
      </c>
      <c r="CR113" s="229">
        <v>1.5899000000000001</v>
      </c>
      <c r="CS113" s="228">
        <v>308</v>
      </c>
      <c r="CT113" s="228">
        <v>209</v>
      </c>
      <c r="CU113" s="228">
        <v>100</v>
      </c>
      <c r="CV113" s="229">
        <v>0.47689999999999999</v>
      </c>
      <c r="CW113" s="230">
        <v>1776</v>
      </c>
      <c r="CX113" s="230">
        <v>1106</v>
      </c>
      <c r="CY113" s="228">
        <v>671</v>
      </c>
      <c r="CZ113" s="229">
        <v>0.60660000000000003</v>
      </c>
      <c r="DA113" s="228">
        <v>34.15</v>
      </c>
      <c r="DB113" s="228">
        <v>37.22</v>
      </c>
      <c r="DC113" s="228">
        <v>-3.07</v>
      </c>
      <c r="DD113" s="228">
        <v>-3.07</v>
      </c>
      <c r="DE113" s="228">
        <v>48.88</v>
      </c>
      <c r="DF113" s="228">
        <v>48.29</v>
      </c>
      <c r="DG113" s="228">
        <v>-14.73</v>
      </c>
      <c r="DH113" s="228">
        <v>0.59</v>
      </c>
      <c r="DI113" s="228">
        <v>34.39</v>
      </c>
      <c r="DJ113" s="228">
        <v>36.82</v>
      </c>
      <c r="DK113" s="228">
        <v>-2.4300000000000002</v>
      </c>
      <c r="DL113" s="228">
        <v>-2.4300000000000002</v>
      </c>
      <c r="DM113" s="228">
        <v>33.549999999999997</v>
      </c>
      <c r="DN113" s="228">
        <v>38.299999999999997</v>
      </c>
      <c r="DO113" s="228">
        <v>-4.75</v>
      </c>
      <c r="DP113" s="228">
        <v>-4.75</v>
      </c>
      <c r="DQ113" s="228">
        <v>0.38</v>
      </c>
      <c r="DR113" s="228">
        <v>0.67</v>
      </c>
      <c r="DS113" s="228">
        <v>-0.28999999999999998</v>
      </c>
      <c r="DT113" s="229">
        <v>-0.43280000000000002</v>
      </c>
      <c r="DU113" s="231">
        <v>4500</v>
      </c>
      <c r="DV113" s="231">
        <v>4200</v>
      </c>
      <c r="DW113" s="228">
        <v>0.41</v>
      </c>
      <c r="DX113" s="228">
        <v>0.36</v>
      </c>
      <c r="DY113" s="228">
        <v>0.05</v>
      </c>
      <c r="DZ113" s="229">
        <v>0.1389</v>
      </c>
      <c r="EA113" s="229">
        <v>9.9400000000000002E-2</v>
      </c>
      <c r="EB113" s="230">
        <v>21700</v>
      </c>
      <c r="EC113" s="229">
        <v>1.4E-3</v>
      </c>
      <c r="ED113" s="229">
        <v>9.9400000000000002E-2</v>
      </c>
      <c r="EE113" s="228">
        <v>16.739999999999998</v>
      </c>
      <c r="EF113" s="229">
        <v>4.0000000000000001E-3</v>
      </c>
      <c r="EG113" s="230">
        <v>949569</v>
      </c>
      <c r="EH113" s="230">
        <v>150398</v>
      </c>
      <c r="EI113" s="229">
        <v>5.3136999999999999</v>
      </c>
      <c r="EJ113" s="229">
        <v>0.41020000000000001</v>
      </c>
      <c r="EK113" s="231">
        <v>5200.37</v>
      </c>
      <c r="EL113" s="231">
        <v>1998.39</v>
      </c>
      <c r="EM113" s="231">
        <v>1401.57</v>
      </c>
      <c r="EN113" s="228">
        <v>29.2</v>
      </c>
      <c r="EO113" s="231">
        <v>8600.34</v>
      </c>
      <c r="EP113" s="231">
        <v>2449.56</v>
      </c>
      <c r="EQ113" s="231">
        <v>6150.78</v>
      </c>
      <c r="ER113" s="229">
        <v>2.5110000000000001</v>
      </c>
      <c r="ES113" s="228">
        <v>862.16</v>
      </c>
      <c r="ET113" s="228">
        <v>303.39</v>
      </c>
      <c r="EU113" s="228">
        <v>655.67</v>
      </c>
      <c r="EV113" s="231">
        <v>9313740</v>
      </c>
      <c r="EW113" s="231">
        <v>1821.21</v>
      </c>
      <c r="EX113" s="231">
        <v>1169.9100000000001</v>
      </c>
      <c r="EY113" s="228">
        <v>651.29999999999995</v>
      </c>
      <c r="EZ113" s="229">
        <v>0.55669999999999997</v>
      </c>
      <c r="FA113" s="229">
        <v>0.45710000000000001</v>
      </c>
      <c r="FB113" s="227" t="s">
        <v>567</v>
      </c>
      <c r="FC113">
        <f t="shared" si="1"/>
        <v>66</v>
      </c>
    </row>
    <row r="114" spans="1:159" ht="17.25" thickBot="1" x14ac:dyDescent="0.3">
      <c r="A114" s="226">
        <v>45946</v>
      </c>
      <c r="B114" s="227" t="s">
        <v>175</v>
      </c>
      <c r="C114" s="227" t="s">
        <v>684</v>
      </c>
      <c r="D114" s="228">
        <v>450</v>
      </c>
      <c r="E114" s="228">
        <v>12</v>
      </c>
      <c r="F114" s="231">
        <v>1127.5999999999999</v>
      </c>
      <c r="G114" s="231">
        <v>1131.5</v>
      </c>
      <c r="H114" s="228">
        <v>-3.9</v>
      </c>
      <c r="I114" s="229">
        <v>-3.3999999999999998E-3</v>
      </c>
      <c r="J114" s="231">
        <v>1123.9000000000001</v>
      </c>
      <c r="K114" s="231">
        <v>1127.8</v>
      </c>
      <c r="L114" s="228">
        <v>-3.9</v>
      </c>
      <c r="M114" s="229">
        <v>-3.5000000000000001E-3</v>
      </c>
      <c r="N114" s="231">
        <v>1127.5999999999999</v>
      </c>
      <c r="O114" s="231">
        <v>1131.5</v>
      </c>
      <c r="P114" s="228">
        <v>-3.9</v>
      </c>
      <c r="Q114" s="229">
        <v>-3.3999999999999998E-3</v>
      </c>
      <c r="R114" s="231">
        <v>1122.9000000000001</v>
      </c>
      <c r="S114" s="231">
        <v>1125.5999999999999</v>
      </c>
      <c r="T114" s="228">
        <v>-2.7</v>
      </c>
      <c r="U114" s="229">
        <v>-2.3999999999999998E-3</v>
      </c>
      <c r="V114" s="231">
        <v>1122.5999999999999</v>
      </c>
      <c r="W114" s="231">
        <v>1125</v>
      </c>
      <c r="X114" s="228">
        <v>-2.4</v>
      </c>
      <c r="Y114" s="229">
        <v>-2.0999999999999999E-3</v>
      </c>
      <c r="Z114" s="228">
        <v>3.7</v>
      </c>
      <c r="AA114" s="228">
        <v>3.7</v>
      </c>
      <c r="AB114" s="228">
        <v>0</v>
      </c>
      <c r="AC114" s="229">
        <v>3.3E-3</v>
      </c>
      <c r="AD114" s="228">
        <v>3.7</v>
      </c>
      <c r="AE114" s="228">
        <v>3.7</v>
      </c>
      <c r="AF114" s="228">
        <v>0</v>
      </c>
      <c r="AG114" s="229">
        <v>3.3E-3</v>
      </c>
      <c r="AH114" s="228">
        <v>-1</v>
      </c>
      <c r="AI114" s="228">
        <v>-2.2000000000000002</v>
      </c>
      <c r="AJ114" s="228">
        <v>1.2</v>
      </c>
      <c r="AK114" s="229">
        <v>-8.9999999999999998E-4</v>
      </c>
      <c r="AL114" s="228">
        <v>-1.3</v>
      </c>
      <c r="AM114" s="228">
        <v>-2.8</v>
      </c>
      <c r="AN114" s="228">
        <v>1.5</v>
      </c>
      <c r="AO114" s="229">
        <v>-1.1999999999999999E-3</v>
      </c>
      <c r="AP114" s="231">
        <v>1127.9100000000001</v>
      </c>
      <c r="AQ114" s="231">
        <v>1121.75</v>
      </c>
      <c r="AR114" s="228">
        <v>0</v>
      </c>
      <c r="AS114" s="228">
        <v>77</v>
      </c>
      <c r="AT114" s="228">
        <v>125</v>
      </c>
      <c r="AU114" s="228">
        <v>-48</v>
      </c>
      <c r="AV114" s="229">
        <v>-0.38350000000000001</v>
      </c>
      <c r="AW114" s="228">
        <v>68</v>
      </c>
      <c r="AX114" s="228">
        <v>112</v>
      </c>
      <c r="AY114" s="228">
        <v>-44</v>
      </c>
      <c r="AZ114" s="229">
        <v>-0.39269999999999999</v>
      </c>
      <c r="BA114" s="228">
        <v>9</v>
      </c>
      <c r="BB114" s="228">
        <v>12</v>
      </c>
      <c r="BC114" s="228">
        <v>-4</v>
      </c>
      <c r="BD114" s="229">
        <v>-0.30859999999999999</v>
      </c>
      <c r="BE114" s="228">
        <v>1</v>
      </c>
      <c r="BF114" s="228">
        <v>1</v>
      </c>
      <c r="BG114" s="228">
        <v>0</v>
      </c>
      <c r="BH114" s="229">
        <v>-0.26319999999999999</v>
      </c>
      <c r="BI114" s="228">
        <v>150</v>
      </c>
      <c r="BJ114" s="228">
        <v>252</v>
      </c>
      <c r="BK114" s="228">
        <v>-102</v>
      </c>
      <c r="BL114" s="229">
        <v>-0.40660000000000002</v>
      </c>
      <c r="BM114" s="228">
        <v>76</v>
      </c>
      <c r="BN114" s="228">
        <v>94</v>
      </c>
      <c r="BO114" s="228">
        <v>-18</v>
      </c>
      <c r="BP114" s="229">
        <v>-0.1903</v>
      </c>
      <c r="BQ114" s="228">
        <v>303</v>
      </c>
      <c r="BR114" s="228">
        <v>472</v>
      </c>
      <c r="BS114" s="228">
        <v>-168</v>
      </c>
      <c r="BT114" s="229">
        <v>-0.35720000000000002</v>
      </c>
      <c r="BU114" s="230">
        <v>533560</v>
      </c>
      <c r="BV114" s="230">
        <v>668189</v>
      </c>
      <c r="BW114" s="230">
        <v>-134629</v>
      </c>
      <c r="BX114" s="229">
        <v>-0.20150000000000001</v>
      </c>
      <c r="BY114" s="228">
        <v>268</v>
      </c>
      <c r="BZ114" s="228">
        <v>266</v>
      </c>
      <c r="CA114" s="228">
        <v>2</v>
      </c>
      <c r="CB114" s="229">
        <v>8.6E-3</v>
      </c>
      <c r="CC114" s="228">
        <v>243</v>
      </c>
      <c r="CD114" s="228">
        <v>242</v>
      </c>
      <c r="CE114" s="228">
        <v>1</v>
      </c>
      <c r="CF114" s="229">
        <v>5.1999999999999998E-3</v>
      </c>
      <c r="CG114" s="228">
        <v>22</v>
      </c>
      <c r="CH114" s="228">
        <v>21</v>
      </c>
      <c r="CI114" s="228">
        <v>1</v>
      </c>
      <c r="CJ114" s="229">
        <v>3.0800000000000001E-2</v>
      </c>
      <c r="CK114" s="228">
        <v>3</v>
      </c>
      <c r="CL114" s="228">
        <v>3</v>
      </c>
      <c r="CM114" s="228">
        <v>0</v>
      </c>
      <c r="CN114" s="229">
        <v>0.1167</v>
      </c>
      <c r="CO114" s="228">
        <v>214</v>
      </c>
      <c r="CP114" s="228">
        <v>215</v>
      </c>
      <c r="CQ114" s="228">
        <v>-1</v>
      </c>
      <c r="CR114" s="229">
        <v>-4.0000000000000001E-3</v>
      </c>
      <c r="CS114" s="228">
        <v>119</v>
      </c>
      <c r="CT114" s="228">
        <v>116</v>
      </c>
      <c r="CU114" s="228">
        <v>3</v>
      </c>
      <c r="CV114" s="229">
        <v>2.6200000000000001E-2</v>
      </c>
      <c r="CW114" s="228">
        <v>602</v>
      </c>
      <c r="CX114" s="228">
        <v>597</v>
      </c>
      <c r="CY114" s="228">
        <v>4</v>
      </c>
      <c r="CZ114" s="229">
        <v>7.4999999999999997E-3</v>
      </c>
      <c r="DA114" s="228">
        <v>35.58</v>
      </c>
      <c r="DB114" s="228">
        <v>36.85</v>
      </c>
      <c r="DC114" s="228">
        <v>-1.27</v>
      </c>
      <c r="DD114" s="228">
        <v>-1.27</v>
      </c>
      <c r="DE114" s="228">
        <v>56.15</v>
      </c>
      <c r="DF114" s="228">
        <v>56.28</v>
      </c>
      <c r="DG114" s="228">
        <v>-20.57</v>
      </c>
      <c r="DH114" s="228">
        <v>-0.13</v>
      </c>
      <c r="DI114" s="228">
        <v>35.32</v>
      </c>
      <c r="DJ114" s="228">
        <v>36.880000000000003</v>
      </c>
      <c r="DK114" s="228">
        <v>-1.56</v>
      </c>
      <c r="DL114" s="228">
        <v>-1.56</v>
      </c>
      <c r="DM114" s="228">
        <v>36.11</v>
      </c>
      <c r="DN114" s="228">
        <v>36.76</v>
      </c>
      <c r="DO114" s="228">
        <v>-0.65</v>
      </c>
      <c r="DP114" s="228">
        <v>-0.65</v>
      </c>
      <c r="DQ114" s="228">
        <v>0.56000000000000005</v>
      </c>
      <c r="DR114" s="228">
        <v>0.54</v>
      </c>
      <c r="DS114" s="228">
        <v>0.02</v>
      </c>
      <c r="DT114" s="229">
        <v>3.6999999999999998E-2</v>
      </c>
      <c r="DU114" s="231">
        <v>1200</v>
      </c>
      <c r="DV114" s="231">
        <v>1100</v>
      </c>
      <c r="DW114" s="228">
        <v>0.51</v>
      </c>
      <c r="DX114" s="228">
        <v>0.37</v>
      </c>
      <c r="DY114" s="228">
        <v>0.14000000000000001</v>
      </c>
      <c r="DZ114" s="229">
        <v>0.37840000000000001</v>
      </c>
      <c r="EA114" s="229">
        <v>9.4899999999999998E-2</v>
      </c>
      <c r="EB114" s="230">
        <v>216900</v>
      </c>
      <c r="EC114" s="229">
        <v>-4.1999999999999997E-3</v>
      </c>
      <c r="ED114" s="229">
        <v>9.4899999999999998E-2</v>
      </c>
      <c r="EE114" s="228">
        <v>-6.16</v>
      </c>
      <c r="EF114" s="229">
        <v>-5.4999999999999997E-3</v>
      </c>
      <c r="EG114" s="230">
        <v>259073</v>
      </c>
      <c r="EH114" s="230">
        <v>243751</v>
      </c>
      <c r="EI114" s="229">
        <v>6.2899999999999998E-2</v>
      </c>
      <c r="EJ114" s="229">
        <v>0.48559999999999998</v>
      </c>
      <c r="EK114" s="228">
        <v>156.37</v>
      </c>
      <c r="EL114" s="228">
        <v>74.69</v>
      </c>
      <c r="EM114" s="228">
        <v>77.150000000000006</v>
      </c>
      <c r="EN114" s="228">
        <v>39.049999999999997</v>
      </c>
      <c r="EO114" s="228">
        <v>308.2</v>
      </c>
      <c r="EP114" s="228">
        <v>480.64</v>
      </c>
      <c r="EQ114" s="228">
        <v>-172.44</v>
      </c>
      <c r="ER114" s="229">
        <v>-0.35880000000000001</v>
      </c>
      <c r="ES114" s="228">
        <v>221.56</v>
      </c>
      <c r="ET114" s="228">
        <v>112.57</v>
      </c>
      <c r="EU114" s="228">
        <v>268.37</v>
      </c>
      <c r="EV114" s="231">
        <v>19911179</v>
      </c>
      <c r="EW114" s="228">
        <v>602.5</v>
      </c>
      <c r="EX114" s="228">
        <v>599.34</v>
      </c>
      <c r="EY114" s="228">
        <v>3.16</v>
      </c>
      <c r="EZ114" s="229">
        <v>5.3E-3</v>
      </c>
      <c r="FA114" s="229">
        <v>0.2681</v>
      </c>
      <c r="FB114" s="227" t="s">
        <v>567</v>
      </c>
      <c r="FC114">
        <f t="shared" si="1"/>
        <v>25</v>
      </c>
    </row>
    <row r="115" spans="1:159" ht="17.25" thickBot="1" x14ac:dyDescent="0.3">
      <c r="A115" s="226">
        <v>45946</v>
      </c>
      <c r="B115" s="227" t="s">
        <v>172</v>
      </c>
      <c r="C115" s="227" t="s">
        <v>246</v>
      </c>
      <c r="D115" s="228">
        <v>400</v>
      </c>
      <c r="E115" s="228">
        <v>12</v>
      </c>
      <c r="F115" s="231">
        <v>2208</v>
      </c>
      <c r="G115" s="231">
        <v>2153</v>
      </c>
      <c r="H115" s="228">
        <v>55</v>
      </c>
      <c r="I115" s="229">
        <v>2.5499999999999998E-2</v>
      </c>
      <c r="J115" s="231">
        <v>2205.4</v>
      </c>
      <c r="K115" s="231">
        <v>2149.6</v>
      </c>
      <c r="L115" s="228">
        <v>55.8</v>
      </c>
      <c r="M115" s="229">
        <v>2.5999999999999999E-2</v>
      </c>
      <c r="N115" s="231">
        <v>2208</v>
      </c>
      <c r="O115" s="231">
        <v>2153</v>
      </c>
      <c r="P115" s="228">
        <v>55</v>
      </c>
      <c r="Q115" s="229">
        <v>2.5499999999999998E-2</v>
      </c>
      <c r="R115" s="231">
        <v>2218.6</v>
      </c>
      <c r="S115" s="231">
        <v>2165.6999999999998</v>
      </c>
      <c r="T115" s="228">
        <v>52.9</v>
      </c>
      <c r="U115" s="229">
        <v>2.4400000000000002E-2</v>
      </c>
      <c r="V115" s="231">
        <v>2233</v>
      </c>
      <c r="W115" s="231">
        <v>2178.5</v>
      </c>
      <c r="X115" s="228">
        <v>54.5</v>
      </c>
      <c r="Y115" s="229">
        <v>2.5000000000000001E-2</v>
      </c>
      <c r="Z115" s="228">
        <v>2.6</v>
      </c>
      <c r="AA115" s="228">
        <v>3.4</v>
      </c>
      <c r="AB115" s="228">
        <v>-0.8</v>
      </c>
      <c r="AC115" s="229">
        <v>1.1999999999999999E-3</v>
      </c>
      <c r="AD115" s="228">
        <v>2.6</v>
      </c>
      <c r="AE115" s="228">
        <v>3.4</v>
      </c>
      <c r="AF115" s="228">
        <v>-0.8</v>
      </c>
      <c r="AG115" s="229">
        <v>1.1999999999999999E-3</v>
      </c>
      <c r="AH115" s="228">
        <v>13.2</v>
      </c>
      <c r="AI115" s="228">
        <v>16.100000000000001</v>
      </c>
      <c r="AJ115" s="228">
        <v>-2.9</v>
      </c>
      <c r="AK115" s="229">
        <v>6.0000000000000001E-3</v>
      </c>
      <c r="AL115" s="228">
        <v>27.6</v>
      </c>
      <c r="AM115" s="228">
        <v>28.9</v>
      </c>
      <c r="AN115" s="228">
        <v>-1.3</v>
      </c>
      <c r="AO115" s="229">
        <v>1.2500000000000001E-2</v>
      </c>
      <c r="AP115" s="231">
        <v>2194.96</v>
      </c>
      <c r="AQ115" s="231">
        <v>2204.1</v>
      </c>
      <c r="AR115" s="228">
        <v>0</v>
      </c>
      <c r="AS115" s="230">
        <v>1999</v>
      </c>
      <c r="AT115" s="228">
        <v>596</v>
      </c>
      <c r="AU115" s="230">
        <v>1404</v>
      </c>
      <c r="AV115" s="229">
        <v>2.3570000000000002</v>
      </c>
      <c r="AW115" s="230">
        <v>1816</v>
      </c>
      <c r="AX115" s="228">
        <v>527</v>
      </c>
      <c r="AY115" s="230">
        <v>1289</v>
      </c>
      <c r="AZ115" s="229">
        <v>2.4481000000000002</v>
      </c>
      <c r="BA115" s="228">
        <v>172</v>
      </c>
      <c r="BB115" s="228">
        <v>67</v>
      </c>
      <c r="BC115" s="228">
        <v>106</v>
      </c>
      <c r="BD115" s="229">
        <v>1.5853999999999999</v>
      </c>
      <c r="BE115" s="228">
        <v>11</v>
      </c>
      <c r="BF115" s="228">
        <v>2</v>
      </c>
      <c r="BG115" s="228">
        <v>9</v>
      </c>
      <c r="BH115" s="229">
        <v>3.92</v>
      </c>
      <c r="BI115" s="230">
        <v>6218</v>
      </c>
      <c r="BJ115" s="230">
        <v>1588</v>
      </c>
      <c r="BK115" s="230">
        <v>4630</v>
      </c>
      <c r="BL115" s="229">
        <v>2.9156</v>
      </c>
      <c r="BM115" s="230">
        <v>4093</v>
      </c>
      <c r="BN115" s="230">
        <v>1061</v>
      </c>
      <c r="BO115" s="230">
        <v>3032</v>
      </c>
      <c r="BP115" s="229">
        <v>2.8569</v>
      </c>
      <c r="BQ115" s="230">
        <v>12310</v>
      </c>
      <c r="BR115" s="230">
        <v>3245</v>
      </c>
      <c r="BS115" s="230">
        <v>9065</v>
      </c>
      <c r="BT115" s="229">
        <v>2.7938999999999998</v>
      </c>
      <c r="BU115" s="230">
        <v>7163163</v>
      </c>
      <c r="BV115" s="230">
        <v>2362248</v>
      </c>
      <c r="BW115" s="230">
        <v>4800915</v>
      </c>
      <c r="BX115" s="229">
        <v>2.0324</v>
      </c>
      <c r="BY115" s="230">
        <v>7460</v>
      </c>
      <c r="BZ115" s="230">
        <v>7372</v>
      </c>
      <c r="CA115" s="228">
        <v>88</v>
      </c>
      <c r="CB115" s="229">
        <v>1.1900000000000001E-2</v>
      </c>
      <c r="CC115" s="230">
        <v>7015</v>
      </c>
      <c r="CD115" s="230">
        <v>7001</v>
      </c>
      <c r="CE115" s="228">
        <v>14</v>
      </c>
      <c r="CF115" s="229">
        <v>2E-3</v>
      </c>
      <c r="CG115" s="228">
        <v>279</v>
      </c>
      <c r="CH115" s="228">
        <v>206</v>
      </c>
      <c r="CI115" s="228">
        <v>73</v>
      </c>
      <c r="CJ115" s="229">
        <v>0.35360000000000003</v>
      </c>
      <c r="CK115" s="228">
        <v>166</v>
      </c>
      <c r="CL115" s="228">
        <v>165</v>
      </c>
      <c r="CM115" s="228">
        <v>1</v>
      </c>
      <c r="CN115" s="229">
        <v>5.8999999999999999E-3</v>
      </c>
      <c r="CO115" s="230">
        <v>1926</v>
      </c>
      <c r="CP115" s="230">
        <v>1892</v>
      </c>
      <c r="CQ115" s="228">
        <v>34</v>
      </c>
      <c r="CR115" s="229">
        <v>1.8200000000000001E-2</v>
      </c>
      <c r="CS115" s="230">
        <v>2097</v>
      </c>
      <c r="CT115" s="230">
        <v>1917</v>
      </c>
      <c r="CU115" s="228">
        <v>179</v>
      </c>
      <c r="CV115" s="229">
        <v>9.3600000000000003E-2</v>
      </c>
      <c r="CW115" s="230">
        <v>11483</v>
      </c>
      <c r="CX115" s="230">
        <v>11181</v>
      </c>
      <c r="CY115" s="228">
        <v>302</v>
      </c>
      <c r="CZ115" s="229">
        <v>2.7E-2</v>
      </c>
      <c r="DA115" s="228">
        <v>24.81</v>
      </c>
      <c r="DB115" s="228">
        <v>23.05</v>
      </c>
      <c r="DC115" s="228">
        <v>1.76</v>
      </c>
      <c r="DD115" s="228">
        <v>1.76</v>
      </c>
      <c r="DE115" s="228">
        <v>27.62</v>
      </c>
      <c r="DF115" s="228">
        <v>27.47</v>
      </c>
      <c r="DG115" s="228">
        <v>-2.81</v>
      </c>
      <c r="DH115" s="228">
        <v>0.15</v>
      </c>
      <c r="DI115" s="228">
        <v>22.94</v>
      </c>
      <c r="DJ115" s="228">
        <v>22.61</v>
      </c>
      <c r="DK115" s="228">
        <v>0.33</v>
      </c>
      <c r="DL115" s="228">
        <v>0.33</v>
      </c>
      <c r="DM115" s="228">
        <v>27.67</v>
      </c>
      <c r="DN115" s="228">
        <v>23.72</v>
      </c>
      <c r="DO115" s="228">
        <v>3.95</v>
      </c>
      <c r="DP115" s="228">
        <v>3.95</v>
      </c>
      <c r="DQ115" s="228">
        <v>1.0900000000000001</v>
      </c>
      <c r="DR115" s="228">
        <v>1.01</v>
      </c>
      <c r="DS115" s="228">
        <v>0.08</v>
      </c>
      <c r="DT115" s="229">
        <v>7.9200000000000007E-2</v>
      </c>
      <c r="DU115" s="231">
        <v>2200</v>
      </c>
      <c r="DV115" s="231">
        <v>2100</v>
      </c>
      <c r="DW115" s="228">
        <v>0.66</v>
      </c>
      <c r="DX115" s="228">
        <v>0.67</v>
      </c>
      <c r="DY115" s="228">
        <v>-0.01</v>
      </c>
      <c r="DZ115" s="229">
        <v>-1.49E-2</v>
      </c>
      <c r="EA115" s="229">
        <v>5.9700000000000003E-2</v>
      </c>
      <c r="EB115" s="230">
        <v>1681200</v>
      </c>
      <c r="EC115" s="229">
        <v>4.7999999999999996E-3</v>
      </c>
      <c r="ED115" s="229">
        <v>5.9700000000000003E-2</v>
      </c>
      <c r="EE115" s="228">
        <v>9.14</v>
      </c>
      <c r="EF115" s="229">
        <v>4.1999999999999997E-3</v>
      </c>
      <c r="EG115" s="230">
        <v>4577329</v>
      </c>
      <c r="EH115" s="230">
        <v>1697493</v>
      </c>
      <c r="EI115" s="229">
        <v>1.6964999999999999</v>
      </c>
      <c r="EJ115" s="229">
        <v>0.63900000000000001</v>
      </c>
      <c r="EK115" s="231">
        <v>6344.67</v>
      </c>
      <c r="EL115" s="231">
        <v>3954.28</v>
      </c>
      <c r="EM115" s="231">
        <v>1988.25</v>
      </c>
      <c r="EN115" s="228">
        <v>75.23</v>
      </c>
      <c r="EO115" s="231">
        <v>12287.19</v>
      </c>
      <c r="EP115" s="231">
        <v>3199.07</v>
      </c>
      <c r="EQ115" s="231">
        <v>9088.1200000000008</v>
      </c>
      <c r="ER115" s="229">
        <v>2.8409</v>
      </c>
      <c r="ES115" s="231">
        <v>1902.65</v>
      </c>
      <c r="ET115" s="231">
        <v>1965.06</v>
      </c>
      <c r="EU115" s="231">
        <v>7462.99</v>
      </c>
      <c r="EV115" s="231">
        <v>215751979</v>
      </c>
      <c r="EW115" s="231">
        <v>11330.7</v>
      </c>
      <c r="EX115" s="231">
        <v>10830.5</v>
      </c>
      <c r="EY115" s="228">
        <v>500.2</v>
      </c>
      <c r="EZ115" s="229">
        <v>4.6199999999999998E-2</v>
      </c>
      <c r="FA115" s="229">
        <v>0.24099999999999999</v>
      </c>
      <c r="FB115" s="227" t="s">
        <v>555</v>
      </c>
      <c r="FC115">
        <f t="shared" si="1"/>
        <v>445</v>
      </c>
    </row>
    <row r="116" spans="1:159" ht="17.25" thickBot="1" x14ac:dyDescent="0.3">
      <c r="A116" s="226">
        <v>45946</v>
      </c>
      <c r="B116" s="227" t="s">
        <v>221</v>
      </c>
      <c r="C116" s="227" t="s">
        <v>577</v>
      </c>
      <c r="D116" s="228">
        <v>400</v>
      </c>
      <c r="E116" s="228">
        <v>12</v>
      </c>
      <c r="F116" s="231">
        <v>1163.0999999999999</v>
      </c>
      <c r="G116" s="231">
        <v>1162</v>
      </c>
      <c r="H116" s="228">
        <v>1.1000000000000001</v>
      </c>
      <c r="I116" s="229">
        <v>8.9999999999999998E-4</v>
      </c>
      <c r="J116" s="231">
        <v>1161.9000000000001</v>
      </c>
      <c r="K116" s="231">
        <v>1165.8</v>
      </c>
      <c r="L116" s="228">
        <v>-3.9</v>
      </c>
      <c r="M116" s="229">
        <v>-3.3E-3</v>
      </c>
      <c r="N116" s="231">
        <v>1163.0999999999999</v>
      </c>
      <c r="O116" s="231">
        <v>1162</v>
      </c>
      <c r="P116" s="228">
        <v>1.1000000000000001</v>
      </c>
      <c r="Q116" s="229">
        <v>8.9999999999999998E-4</v>
      </c>
      <c r="R116" s="231">
        <v>1155.7</v>
      </c>
      <c r="S116" s="231">
        <v>1154.4000000000001</v>
      </c>
      <c r="T116" s="228">
        <v>1.3</v>
      </c>
      <c r="U116" s="229">
        <v>1.1000000000000001E-3</v>
      </c>
      <c r="V116" s="231">
        <v>1152.3</v>
      </c>
      <c r="W116" s="231">
        <v>1153.7</v>
      </c>
      <c r="X116" s="228">
        <v>-1.4</v>
      </c>
      <c r="Y116" s="229">
        <v>-1.1999999999999999E-3</v>
      </c>
      <c r="Z116" s="228">
        <v>1.2</v>
      </c>
      <c r="AA116" s="228">
        <v>-3.8</v>
      </c>
      <c r="AB116" s="228">
        <v>5</v>
      </c>
      <c r="AC116" s="229">
        <v>1E-3</v>
      </c>
      <c r="AD116" s="228">
        <v>1.2</v>
      </c>
      <c r="AE116" s="228">
        <v>-3.8</v>
      </c>
      <c r="AF116" s="228">
        <v>5</v>
      </c>
      <c r="AG116" s="229">
        <v>1E-3</v>
      </c>
      <c r="AH116" s="228">
        <v>-6.2</v>
      </c>
      <c r="AI116" s="228">
        <v>-11.4</v>
      </c>
      <c r="AJ116" s="228">
        <v>5.2</v>
      </c>
      <c r="AK116" s="229">
        <v>-5.3E-3</v>
      </c>
      <c r="AL116" s="228">
        <v>-9.6</v>
      </c>
      <c r="AM116" s="228">
        <v>-12.1</v>
      </c>
      <c r="AN116" s="228">
        <v>2.5</v>
      </c>
      <c r="AO116" s="229">
        <v>-8.3000000000000001E-3</v>
      </c>
      <c r="AP116" s="231">
        <v>1157.77</v>
      </c>
      <c r="AQ116" s="231">
        <v>1148.6099999999999</v>
      </c>
      <c r="AR116" s="228">
        <v>0</v>
      </c>
      <c r="AS116" s="228">
        <v>120</v>
      </c>
      <c r="AT116" s="228">
        <v>88</v>
      </c>
      <c r="AU116" s="228">
        <v>33</v>
      </c>
      <c r="AV116" s="229">
        <v>0.37130000000000002</v>
      </c>
      <c r="AW116" s="228">
        <v>103</v>
      </c>
      <c r="AX116" s="228">
        <v>71</v>
      </c>
      <c r="AY116" s="228">
        <v>32</v>
      </c>
      <c r="AZ116" s="229">
        <v>0.45350000000000001</v>
      </c>
      <c r="BA116" s="228">
        <v>17</v>
      </c>
      <c r="BB116" s="228">
        <v>17</v>
      </c>
      <c r="BC116" s="228">
        <v>0</v>
      </c>
      <c r="BD116" s="229">
        <v>1.6799999999999999E-2</v>
      </c>
      <c r="BE116" s="228">
        <v>1</v>
      </c>
      <c r="BF116" s="228">
        <v>1</v>
      </c>
      <c r="BG116" s="228">
        <v>0</v>
      </c>
      <c r="BH116" s="229">
        <v>0.53849999999999998</v>
      </c>
      <c r="BI116" s="228">
        <v>147</v>
      </c>
      <c r="BJ116" s="228">
        <v>209</v>
      </c>
      <c r="BK116" s="228">
        <v>-62</v>
      </c>
      <c r="BL116" s="229">
        <v>-0.29530000000000001</v>
      </c>
      <c r="BM116" s="228">
        <v>66</v>
      </c>
      <c r="BN116" s="228">
        <v>70</v>
      </c>
      <c r="BO116" s="228">
        <v>-4</v>
      </c>
      <c r="BP116" s="229">
        <v>-5.9900000000000002E-2</v>
      </c>
      <c r="BQ116" s="228">
        <v>333</v>
      </c>
      <c r="BR116" s="228">
        <v>367</v>
      </c>
      <c r="BS116" s="228">
        <v>-33</v>
      </c>
      <c r="BT116" s="229">
        <v>-9.0800000000000006E-2</v>
      </c>
      <c r="BU116" s="230">
        <v>719021</v>
      </c>
      <c r="BV116" s="230">
        <v>442293</v>
      </c>
      <c r="BW116" s="230">
        <v>276728</v>
      </c>
      <c r="BX116" s="229">
        <v>0.62570000000000003</v>
      </c>
      <c r="BY116" s="228">
        <v>566</v>
      </c>
      <c r="BZ116" s="228">
        <v>599</v>
      </c>
      <c r="CA116" s="228">
        <v>-33</v>
      </c>
      <c r="CB116" s="229">
        <v>-5.5800000000000002E-2</v>
      </c>
      <c r="CC116" s="228">
        <v>499</v>
      </c>
      <c r="CD116" s="228">
        <v>540</v>
      </c>
      <c r="CE116" s="228">
        <v>-41</v>
      </c>
      <c r="CF116" s="229">
        <v>-7.5999999999999998E-2</v>
      </c>
      <c r="CG116" s="228">
        <v>61</v>
      </c>
      <c r="CH116" s="228">
        <v>54</v>
      </c>
      <c r="CI116" s="228">
        <v>7</v>
      </c>
      <c r="CJ116" s="229">
        <v>0.1258</v>
      </c>
      <c r="CK116" s="228">
        <v>6</v>
      </c>
      <c r="CL116" s="228">
        <v>5</v>
      </c>
      <c r="CM116" s="228">
        <v>1</v>
      </c>
      <c r="CN116" s="229">
        <v>0.1356</v>
      </c>
      <c r="CO116" s="228">
        <v>390</v>
      </c>
      <c r="CP116" s="228">
        <v>397</v>
      </c>
      <c r="CQ116" s="228">
        <v>-7</v>
      </c>
      <c r="CR116" s="229">
        <v>-1.7500000000000002E-2</v>
      </c>
      <c r="CS116" s="228">
        <v>269</v>
      </c>
      <c r="CT116" s="228">
        <v>266</v>
      </c>
      <c r="CU116" s="228">
        <v>3</v>
      </c>
      <c r="CV116" s="229">
        <v>0.01</v>
      </c>
      <c r="CW116" s="230">
        <v>1225</v>
      </c>
      <c r="CX116" s="230">
        <v>1263</v>
      </c>
      <c r="CY116" s="228">
        <v>-38</v>
      </c>
      <c r="CZ116" s="229">
        <v>-2.9899999999999999E-2</v>
      </c>
      <c r="DA116" s="228">
        <v>33.229999999999997</v>
      </c>
      <c r="DB116" s="228">
        <v>33.07</v>
      </c>
      <c r="DC116" s="228">
        <v>0.16</v>
      </c>
      <c r="DD116" s="228">
        <v>0.16</v>
      </c>
      <c r="DE116" s="228">
        <v>44.88</v>
      </c>
      <c r="DF116" s="228">
        <v>44.99</v>
      </c>
      <c r="DG116" s="228">
        <v>-11.65</v>
      </c>
      <c r="DH116" s="228">
        <v>-0.11</v>
      </c>
      <c r="DI116" s="228">
        <v>33</v>
      </c>
      <c r="DJ116" s="228">
        <v>32.549999999999997</v>
      </c>
      <c r="DK116" s="228">
        <v>0.45</v>
      </c>
      <c r="DL116" s="228">
        <v>0.45</v>
      </c>
      <c r="DM116" s="228">
        <v>33.76</v>
      </c>
      <c r="DN116" s="228">
        <v>34.630000000000003</v>
      </c>
      <c r="DO116" s="228">
        <v>-0.87</v>
      </c>
      <c r="DP116" s="228">
        <v>-0.87</v>
      </c>
      <c r="DQ116" s="228">
        <v>0.69</v>
      </c>
      <c r="DR116" s="228">
        <v>0.67</v>
      </c>
      <c r="DS116" s="228">
        <v>0.02</v>
      </c>
      <c r="DT116" s="229">
        <v>2.9899999999999999E-2</v>
      </c>
      <c r="DU116" s="231">
        <v>1200</v>
      </c>
      <c r="DV116" s="231">
        <v>1060</v>
      </c>
      <c r="DW116" s="228">
        <v>0.45</v>
      </c>
      <c r="DX116" s="228">
        <v>0.33</v>
      </c>
      <c r="DY116" s="228">
        <v>0.12</v>
      </c>
      <c r="DZ116" s="229">
        <v>0.36359999999999998</v>
      </c>
      <c r="EA116" s="229">
        <v>0.11849999999999999</v>
      </c>
      <c r="EB116" s="230">
        <v>511600</v>
      </c>
      <c r="EC116" s="229">
        <v>-6.4000000000000003E-3</v>
      </c>
      <c r="ED116" s="229">
        <v>0.11849999999999999</v>
      </c>
      <c r="EE116" s="228">
        <v>-9.16</v>
      </c>
      <c r="EF116" s="229">
        <v>-7.9000000000000008E-3</v>
      </c>
      <c r="EG116" s="230">
        <v>357755</v>
      </c>
      <c r="EH116" s="230">
        <v>163782</v>
      </c>
      <c r="EI116" s="229">
        <v>1.1842999999999999</v>
      </c>
      <c r="EJ116" s="229">
        <v>0.49759999999999999</v>
      </c>
      <c r="EK116" s="228">
        <v>154.19999999999999</v>
      </c>
      <c r="EL116" s="228">
        <v>64.989999999999995</v>
      </c>
      <c r="EM116" s="228">
        <v>119.76</v>
      </c>
      <c r="EN116" s="228">
        <v>18.41</v>
      </c>
      <c r="EO116" s="228">
        <v>338.95</v>
      </c>
      <c r="EP116" s="228">
        <v>374.27</v>
      </c>
      <c r="EQ116" s="228">
        <v>-35.33</v>
      </c>
      <c r="ER116" s="229">
        <v>-9.4399999999999998E-2</v>
      </c>
      <c r="ES116" s="228">
        <v>415.51</v>
      </c>
      <c r="ET116" s="228">
        <v>256.67</v>
      </c>
      <c r="EU116" s="228">
        <v>565.19000000000005</v>
      </c>
      <c r="EV116" s="231">
        <v>24568295</v>
      </c>
      <c r="EW116" s="231">
        <v>1237.3800000000001</v>
      </c>
      <c r="EX116" s="231">
        <v>1275.22</v>
      </c>
      <c r="EY116" s="228">
        <v>-37.840000000000003</v>
      </c>
      <c r="EZ116" s="229">
        <v>-2.9700000000000001E-2</v>
      </c>
      <c r="FA116" s="229">
        <v>0.42859999999999998</v>
      </c>
      <c r="FB116" s="227" t="s">
        <v>556</v>
      </c>
      <c r="FC116">
        <f t="shared" si="1"/>
        <v>67</v>
      </c>
    </row>
    <row r="117" spans="1:159" ht="17.25" thickBot="1" x14ac:dyDescent="0.3">
      <c r="A117" s="226">
        <v>45946</v>
      </c>
      <c r="B117" s="227" t="s">
        <v>170</v>
      </c>
      <c r="C117" s="227" t="s">
        <v>535</v>
      </c>
      <c r="D117" s="228">
        <v>1700</v>
      </c>
      <c r="E117" s="228">
        <v>12</v>
      </c>
      <c r="F117" s="228">
        <v>876.6</v>
      </c>
      <c r="G117" s="228">
        <v>879.35</v>
      </c>
      <c r="H117" s="228">
        <v>-2.75</v>
      </c>
      <c r="I117" s="229">
        <v>-3.0999999999999999E-3</v>
      </c>
      <c r="J117" s="228">
        <v>872.85</v>
      </c>
      <c r="K117" s="228">
        <v>875.3</v>
      </c>
      <c r="L117" s="228">
        <v>-2.4500000000000002</v>
      </c>
      <c r="M117" s="229">
        <v>-2.8E-3</v>
      </c>
      <c r="N117" s="228">
        <v>876.6</v>
      </c>
      <c r="O117" s="228">
        <v>879.35</v>
      </c>
      <c r="P117" s="228">
        <v>-2.75</v>
      </c>
      <c r="Q117" s="229">
        <v>-3.0999999999999999E-3</v>
      </c>
      <c r="R117" s="228">
        <v>880.5</v>
      </c>
      <c r="S117" s="228">
        <v>883.05</v>
      </c>
      <c r="T117" s="228">
        <v>-2.5499999999999998</v>
      </c>
      <c r="U117" s="229">
        <v>-2.8999999999999998E-3</v>
      </c>
      <c r="V117" s="228">
        <v>885.5</v>
      </c>
      <c r="W117" s="228">
        <v>888.7</v>
      </c>
      <c r="X117" s="228">
        <v>-3.2</v>
      </c>
      <c r="Y117" s="229">
        <v>-3.5999999999999999E-3</v>
      </c>
      <c r="Z117" s="228">
        <v>3.75</v>
      </c>
      <c r="AA117" s="228">
        <v>4.05</v>
      </c>
      <c r="AB117" s="228">
        <v>-0.3</v>
      </c>
      <c r="AC117" s="229">
        <v>4.3E-3</v>
      </c>
      <c r="AD117" s="228">
        <v>3.75</v>
      </c>
      <c r="AE117" s="228">
        <v>4.05</v>
      </c>
      <c r="AF117" s="228">
        <v>-0.3</v>
      </c>
      <c r="AG117" s="229">
        <v>4.3E-3</v>
      </c>
      <c r="AH117" s="228">
        <v>7.65</v>
      </c>
      <c r="AI117" s="228">
        <v>7.75</v>
      </c>
      <c r="AJ117" s="228">
        <v>-0.1</v>
      </c>
      <c r="AK117" s="229">
        <v>8.8000000000000005E-3</v>
      </c>
      <c r="AL117" s="228">
        <v>12.65</v>
      </c>
      <c r="AM117" s="228">
        <v>13.4</v>
      </c>
      <c r="AN117" s="228">
        <v>-0.75</v>
      </c>
      <c r="AO117" s="229">
        <v>1.4500000000000001E-2</v>
      </c>
      <c r="AP117" s="228">
        <v>881.64</v>
      </c>
      <c r="AQ117" s="228">
        <v>885.59</v>
      </c>
      <c r="AR117" s="228">
        <v>0</v>
      </c>
      <c r="AS117" s="228">
        <v>360</v>
      </c>
      <c r="AT117" s="228">
        <v>289</v>
      </c>
      <c r="AU117" s="228">
        <v>71</v>
      </c>
      <c r="AV117" s="229">
        <v>0.24510000000000001</v>
      </c>
      <c r="AW117" s="228">
        <v>309</v>
      </c>
      <c r="AX117" s="228">
        <v>235</v>
      </c>
      <c r="AY117" s="228">
        <v>74</v>
      </c>
      <c r="AZ117" s="229">
        <v>0.31409999999999999</v>
      </c>
      <c r="BA117" s="228">
        <v>48</v>
      </c>
      <c r="BB117" s="228">
        <v>53</v>
      </c>
      <c r="BC117" s="228">
        <v>-5</v>
      </c>
      <c r="BD117" s="229">
        <v>-8.7099999999999997E-2</v>
      </c>
      <c r="BE117" s="228">
        <v>3</v>
      </c>
      <c r="BF117" s="228">
        <v>1</v>
      </c>
      <c r="BG117" s="228">
        <v>2</v>
      </c>
      <c r="BH117" s="229">
        <v>1.8332999999999999</v>
      </c>
      <c r="BI117" s="228">
        <v>840</v>
      </c>
      <c r="BJ117" s="228">
        <v>594</v>
      </c>
      <c r="BK117" s="228">
        <v>246</v>
      </c>
      <c r="BL117" s="229">
        <v>0.41470000000000001</v>
      </c>
      <c r="BM117" s="228">
        <v>322</v>
      </c>
      <c r="BN117" s="228">
        <v>269</v>
      </c>
      <c r="BO117" s="228">
        <v>53</v>
      </c>
      <c r="BP117" s="229">
        <v>0.1981</v>
      </c>
      <c r="BQ117" s="230">
        <v>1521</v>
      </c>
      <c r="BR117" s="230">
        <v>1151</v>
      </c>
      <c r="BS117" s="228">
        <v>370</v>
      </c>
      <c r="BT117" s="229">
        <v>0.3216</v>
      </c>
      <c r="BU117" s="230">
        <v>1071706</v>
      </c>
      <c r="BV117" s="230">
        <v>800531</v>
      </c>
      <c r="BW117" s="230">
        <v>271175</v>
      </c>
      <c r="BX117" s="229">
        <v>0.3387</v>
      </c>
      <c r="BY117" s="230">
        <v>2167</v>
      </c>
      <c r="BZ117" s="230">
        <v>2095</v>
      </c>
      <c r="CA117" s="228">
        <v>72</v>
      </c>
      <c r="CB117" s="229">
        <v>3.44E-2</v>
      </c>
      <c r="CC117" s="230">
        <v>1970</v>
      </c>
      <c r="CD117" s="230">
        <v>1919</v>
      </c>
      <c r="CE117" s="228">
        <v>51</v>
      </c>
      <c r="CF117" s="229">
        <v>2.6499999999999999E-2</v>
      </c>
      <c r="CG117" s="228">
        <v>190</v>
      </c>
      <c r="CH117" s="228">
        <v>169</v>
      </c>
      <c r="CI117" s="228">
        <v>21</v>
      </c>
      <c r="CJ117" s="229">
        <v>0.1226</v>
      </c>
      <c r="CK117" s="228">
        <v>7</v>
      </c>
      <c r="CL117" s="228">
        <v>7</v>
      </c>
      <c r="CM117" s="228">
        <v>0</v>
      </c>
      <c r="CN117" s="229">
        <v>6.5199999999999994E-2</v>
      </c>
      <c r="CO117" s="230">
        <v>1369</v>
      </c>
      <c r="CP117" s="230">
        <v>1332</v>
      </c>
      <c r="CQ117" s="228">
        <v>37</v>
      </c>
      <c r="CR117" s="229">
        <v>2.7400000000000001E-2</v>
      </c>
      <c r="CS117" s="228">
        <v>737</v>
      </c>
      <c r="CT117" s="228">
        <v>726</v>
      </c>
      <c r="CU117" s="228">
        <v>11</v>
      </c>
      <c r="CV117" s="229">
        <v>1.54E-2</v>
      </c>
      <c r="CW117" s="230">
        <v>4273</v>
      </c>
      <c r="CX117" s="230">
        <v>4153</v>
      </c>
      <c r="CY117" s="228">
        <v>120</v>
      </c>
      <c r="CZ117" s="229">
        <v>2.8799999999999999E-2</v>
      </c>
      <c r="DA117" s="228">
        <v>39.11</v>
      </c>
      <c r="DB117" s="228">
        <v>39.33</v>
      </c>
      <c r="DC117" s="228">
        <v>-0.22</v>
      </c>
      <c r="DD117" s="228">
        <v>-0.22</v>
      </c>
      <c r="DE117" s="228">
        <v>40.81</v>
      </c>
      <c r="DF117" s="228">
        <v>40.909999999999997</v>
      </c>
      <c r="DG117" s="228">
        <v>-1.7</v>
      </c>
      <c r="DH117" s="228">
        <v>-0.1</v>
      </c>
      <c r="DI117" s="228">
        <v>39.549999999999997</v>
      </c>
      <c r="DJ117" s="228">
        <v>39.61</v>
      </c>
      <c r="DK117" s="228">
        <v>-0.06</v>
      </c>
      <c r="DL117" s="228">
        <v>-0.06</v>
      </c>
      <c r="DM117" s="228">
        <v>37.97</v>
      </c>
      <c r="DN117" s="228">
        <v>38.71</v>
      </c>
      <c r="DO117" s="228">
        <v>-0.74</v>
      </c>
      <c r="DP117" s="228">
        <v>-0.74</v>
      </c>
      <c r="DQ117" s="228">
        <v>0.54</v>
      </c>
      <c r="DR117" s="228">
        <v>0.54</v>
      </c>
      <c r="DS117" s="228">
        <v>0</v>
      </c>
      <c r="DT117" s="229">
        <v>0</v>
      </c>
      <c r="DU117" s="228">
        <v>900</v>
      </c>
      <c r="DV117" s="228">
        <v>880</v>
      </c>
      <c r="DW117" s="228">
        <v>0.38</v>
      </c>
      <c r="DX117" s="228">
        <v>0.45</v>
      </c>
      <c r="DY117" s="228">
        <v>-7.0000000000000007E-2</v>
      </c>
      <c r="DZ117" s="229">
        <v>-0.15559999999999999</v>
      </c>
      <c r="EA117" s="229">
        <v>9.0899999999999995E-2</v>
      </c>
      <c r="EB117" s="230">
        <v>2006000</v>
      </c>
      <c r="EC117" s="229">
        <v>4.4000000000000003E-3</v>
      </c>
      <c r="ED117" s="229">
        <v>9.0899999999999995E-2</v>
      </c>
      <c r="EE117" s="228">
        <v>3.95</v>
      </c>
      <c r="EF117" s="229">
        <v>4.4999999999999997E-3</v>
      </c>
      <c r="EG117" s="230">
        <v>604953</v>
      </c>
      <c r="EH117" s="230">
        <v>446047</v>
      </c>
      <c r="EI117" s="229">
        <v>0.35630000000000001</v>
      </c>
      <c r="EJ117" s="229">
        <v>0.5645</v>
      </c>
      <c r="EK117" s="228">
        <v>887.25</v>
      </c>
      <c r="EL117" s="228">
        <v>318.12</v>
      </c>
      <c r="EM117" s="228">
        <v>361.9</v>
      </c>
      <c r="EN117" s="228">
        <v>46.81</v>
      </c>
      <c r="EO117" s="231">
        <v>1567.27</v>
      </c>
      <c r="EP117" s="231">
        <v>1180.74</v>
      </c>
      <c r="EQ117" s="228">
        <v>386.53</v>
      </c>
      <c r="ER117" s="229">
        <v>0.32740000000000002</v>
      </c>
      <c r="ES117" s="231">
        <v>1442.22</v>
      </c>
      <c r="ET117" s="228">
        <v>706.25</v>
      </c>
      <c r="EU117" s="231">
        <v>2168.15</v>
      </c>
      <c r="EV117" s="231">
        <v>58629477</v>
      </c>
      <c r="EW117" s="231">
        <v>4316.6099999999997</v>
      </c>
      <c r="EX117" s="231">
        <v>4201.75</v>
      </c>
      <c r="EY117" s="228">
        <v>114.86</v>
      </c>
      <c r="EZ117" s="229">
        <v>2.7300000000000001E-2</v>
      </c>
      <c r="FA117" s="229">
        <v>0.83140000000000003</v>
      </c>
      <c r="FB117" s="227" t="s">
        <v>567</v>
      </c>
      <c r="FC117">
        <f t="shared" si="1"/>
        <v>197</v>
      </c>
    </row>
    <row r="118" spans="1:159" ht="17.25" thickBot="1" x14ac:dyDescent="0.3">
      <c r="A118" s="226">
        <v>45946</v>
      </c>
      <c r="B118" s="227" t="s">
        <v>175</v>
      </c>
      <c r="C118" s="227" t="s">
        <v>248</v>
      </c>
      <c r="D118" s="228">
        <v>1000</v>
      </c>
      <c r="E118" s="228">
        <v>12</v>
      </c>
      <c r="F118" s="228">
        <v>570.25</v>
      </c>
      <c r="G118" s="228">
        <v>571.6</v>
      </c>
      <c r="H118" s="228">
        <v>-1.35</v>
      </c>
      <c r="I118" s="229">
        <v>-2.3999999999999998E-3</v>
      </c>
      <c r="J118" s="228">
        <v>569.29999999999995</v>
      </c>
      <c r="K118" s="228">
        <v>569.1</v>
      </c>
      <c r="L118" s="228">
        <v>0.2</v>
      </c>
      <c r="M118" s="229">
        <v>4.0000000000000002E-4</v>
      </c>
      <c r="N118" s="228">
        <v>570.25</v>
      </c>
      <c r="O118" s="228">
        <v>571.6</v>
      </c>
      <c r="P118" s="228">
        <v>-1.35</v>
      </c>
      <c r="Q118" s="229">
        <v>-2.3999999999999998E-3</v>
      </c>
      <c r="R118" s="228">
        <v>573.5</v>
      </c>
      <c r="S118" s="228">
        <v>574.54999999999995</v>
      </c>
      <c r="T118" s="228">
        <v>-1.05</v>
      </c>
      <c r="U118" s="229">
        <v>-1.8E-3</v>
      </c>
      <c r="V118" s="228">
        <v>577.35</v>
      </c>
      <c r="W118" s="228">
        <v>578.29999999999995</v>
      </c>
      <c r="X118" s="228">
        <v>-0.95</v>
      </c>
      <c r="Y118" s="229">
        <v>-1.6000000000000001E-3</v>
      </c>
      <c r="Z118" s="228">
        <v>0.95</v>
      </c>
      <c r="AA118" s="228">
        <v>2.5</v>
      </c>
      <c r="AB118" s="228">
        <v>-1.55</v>
      </c>
      <c r="AC118" s="229">
        <v>1.6999999999999999E-3</v>
      </c>
      <c r="AD118" s="228">
        <v>0.95</v>
      </c>
      <c r="AE118" s="228">
        <v>2.5</v>
      </c>
      <c r="AF118" s="228">
        <v>-1.55</v>
      </c>
      <c r="AG118" s="229">
        <v>1.6999999999999999E-3</v>
      </c>
      <c r="AH118" s="228">
        <v>4.2</v>
      </c>
      <c r="AI118" s="228">
        <v>5.45</v>
      </c>
      <c r="AJ118" s="228">
        <v>-1.25</v>
      </c>
      <c r="AK118" s="229">
        <v>7.4000000000000003E-3</v>
      </c>
      <c r="AL118" s="228">
        <v>8.0500000000000007</v>
      </c>
      <c r="AM118" s="228">
        <v>9.1999999999999993</v>
      </c>
      <c r="AN118" s="228">
        <v>-1.1499999999999999</v>
      </c>
      <c r="AO118" s="229">
        <v>1.41E-2</v>
      </c>
      <c r="AP118" s="228">
        <v>570</v>
      </c>
      <c r="AQ118" s="228">
        <v>572.78</v>
      </c>
      <c r="AR118" s="228">
        <v>0</v>
      </c>
      <c r="AS118" s="228">
        <v>148</v>
      </c>
      <c r="AT118" s="228">
        <v>135</v>
      </c>
      <c r="AU118" s="228">
        <v>13</v>
      </c>
      <c r="AV118" s="229">
        <v>9.4899999999999998E-2</v>
      </c>
      <c r="AW118" s="228">
        <v>115</v>
      </c>
      <c r="AX118" s="228">
        <v>118</v>
      </c>
      <c r="AY118" s="228">
        <v>-3</v>
      </c>
      <c r="AZ118" s="229">
        <v>-2.52E-2</v>
      </c>
      <c r="BA118" s="228">
        <v>33</v>
      </c>
      <c r="BB118" s="228">
        <v>16</v>
      </c>
      <c r="BC118" s="228">
        <v>16</v>
      </c>
      <c r="BD118" s="229">
        <v>1.0035000000000001</v>
      </c>
      <c r="BE118" s="228">
        <v>1</v>
      </c>
      <c r="BF118" s="228">
        <v>1</v>
      </c>
      <c r="BG118" s="228">
        <v>-1</v>
      </c>
      <c r="BH118" s="229">
        <v>-0.5</v>
      </c>
      <c r="BI118" s="228">
        <v>265</v>
      </c>
      <c r="BJ118" s="228">
        <v>263</v>
      </c>
      <c r="BK118" s="228">
        <v>2</v>
      </c>
      <c r="BL118" s="229">
        <v>7.6E-3</v>
      </c>
      <c r="BM118" s="228">
        <v>95</v>
      </c>
      <c r="BN118" s="228">
        <v>113</v>
      </c>
      <c r="BO118" s="228">
        <v>-18</v>
      </c>
      <c r="BP118" s="229">
        <v>-0.16170000000000001</v>
      </c>
      <c r="BQ118" s="228">
        <v>508</v>
      </c>
      <c r="BR118" s="228">
        <v>511</v>
      </c>
      <c r="BS118" s="228">
        <v>-3</v>
      </c>
      <c r="BT118" s="229">
        <v>-6.7000000000000002E-3</v>
      </c>
      <c r="BU118" s="230">
        <v>601388</v>
      </c>
      <c r="BV118" s="230">
        <v>1079718</v>
      </c>
      <c r="BW118" s="230">
        <v>-478330</v>
      </c>
      <c r="BX118" s="229">
        <v>-0.443</v>
      </c>
      <c r="BY118" s="230">
        <v>1835</v>
      </c>
      <c r="BZ118" s="230">
        <v>1810</v>
      </c>
      <c r="CA118" s="228">
        <v>25</v>
      </c>
      <c r="CB118" s="229">
        <v>1.37E-2</v>
      </c>
      <c r="CC118" s="230">
        <v>1722</v>
      </c>
      <c r="CD118" s="230">
        <v>1718</v>
      </c>
      <c r="CE118" s="228">
        <v>4</v>
      </c>
      <c r="CF118" s="229">
        <v>2.0999999999999999E-3</v>
      </c>
      <c r="CG118" s="228">
        <v>110</v>
      </c>
      <c r="CH118" s="228">
        <v>90</v>
      </c>
      <c r="CI118" s="228">
        <v>21</v>
      </c>
      <c r="CJ118" s="229">
        <v>0.23380000000000001</v>
      </c>
      <c r="CK118" s="228">
        <v>3</v>
      </c>
      <c r="CL118" s="228">
        <v>3</v>
      </c>
      <c r="CM118" s="228">
        <v>0</v>
      </c>
      <c r="CN118" s="229">
        <v>0.14000000000000001</v>
      </c>
      <c r="CO118" s="228">
        <v>560</v>
      </c>
      <c r="CP118" s="228">
        <v>541</v>
      </c>
      <c r="CQ118" s="228">
        <v>19</v>
      </c>
      <c r="CR118" s="229">
        <v>3.5499999999999997E-2</v>
      </c>
      <c r="CS118" s="228">
        <v>398</v>
      </c>
      <c r="CT118" s="228">
        <v>398</v>
      </c>
      <c r="CU118" s="228">
        <v>0</v>
      </c>
      <c r="CV118" s="229">
        <v>5.9999999999999995E-4</v>
      </c>
      <c r="CW118" s="230">
        <v>2794</v>
      </c>
      <c r="CX118" s="230">
        <v>2750</v>
      </c>
      <c r="CY118" s="228">
        <v>44</v>
      </c>
      <c r="CZ118" s="229">
        <v>1.61E-2</v>
      </c>
      <c r="DA118" s="228">
        <v>20.61</v>
      </c>
      <c r="DB118" s="228">
        <v>20.99</v>
      </c>
      <c r="DC118" s="228">
        <v>-0.38</v>
      </c>
      <c r="DD118" s="228">
        <v>-0.38</v>
      </c>
      <c r="DE118" s="228">
        <v>34.58</v>
      </c>
      <c r="DF118" s="228">
        <v>34.67</v>
      </c>
      <c r="DG118" s="228">
        <v>-13.97</v>
      </c>
      <c r="DH118" s="228">
        <v>-0.09</v>
      </c>
      <c r="DI118" s="228">
        <v>20.94</v>
      </c>
      <c r="DJ118" s="228">
        <v>21.11</v>
      </c>
      <c r="DK118" s="228">
        <v>-0.17</v>
      </c>
      <c r="DL118" s="228">
        <v>-0.17</v>
      </c>
      <c r="DM118" s="228">
        <v>19.71</v>
      </c>
      <c r="DN118" s="228">
        <v>20.71</v>
      </c>
      <c r="DO118" s="228">
        <v>-1</v>
      </c>
      <c r="DP118" s="228">
        <v>-1</v>
      </c>
      <c r="DQ118" s="228">
        <v>0.71</v>
      </c>
      <c r="DR118" s="228">
        <v>0.74</v>
      </c>
      <c r="DS118" s="228">
        <v>-0.03</v>
      </c>
      <c r="DT118" s="229">
        <v>-4.0500000000000001E-2</v>
      </c>
      <c r="DU118" s="228">
        <v>600</v>
      </c>
      <c r="DV118" s="228">
        <v>580</v>
      </c>
      <c r="DW118" s="228">
        <v>0.36</v>
      </c>
      <c r="DX118" s="228">
        <v>0.43</v>
      </c>
      <c r="DY118" s="228">
        <v>-7.0000000000000007E-2</v>
      </c>
      <c r="DZ118" s="229">
        <v>-0.1628</v>
      </c>
      <c r="EA118" s="229">
        <v>6.2E-2</v>
      </c>
      <c r="EB118" s="230">
        <v>1620000</v>
      </c>
      <c r="EC118" s="229">
        <v>5.7000000000000002E-3</v>
      </c>
      <c r="ED118" s="229">
        <v>6.2E-2</v>
      </c>
      <c r="EE118" s="228">
        <v>2.78</v>
      </c>
      <c r="EF118" s="229">
        <v>4.8999999999999998E-3</v>
      </c>
      <c r="EG118" s="230">
        <v>321590</v>
      </c>
      <c r="EH118" s="230">
        <v>645457</v>
      </c>
      <c r="EI118" s="229">
        <v>-0.50180000000000002</v>
      </c>
      <c r="EJ118" s="229">
        <v>0.53469999999999995</v>
      </c>
      <c r="EK118" s="228">
        <v>273.07</v>
      </c>
      <c r="EL118" s="228">
        <v>94.26</v>
      </c>
      <c r="EM118" s="228">
        <v>148.13999999999999</v>
      </c>
      <c r="EN118" s="228">
        <v>29</v>
      </c>
      <c r="EO118" s="228">
        <v>515.47</v>
      </c>
      <c r="EP118" s="228">
        <v>520.34</v>
      </c>
      <c r="EQ118" s="228">
        <v>-4.87</v>
      </c>
      <c r="ER118" s="229">
        <v>-9.4000000000000004E-3</v>
      </c>
      <c r="ES118" s="228">
        <v>582.87</v>
      </c>
      <c r="ET118" s="228">
        <v>401.42</v>
      </c>
      <c r="EU118" s="231">
        <v>1836.02</v>
      </c>
      <c r="EV118" s="231">
        <v>45183075</v>
      </c>
      <c r="EW118" s="231">
        <v>2820.3</v>
      </c>
      <c r="EX118" s="231">
        <v>2779.46</v>
      </c>
      <c r="EY118" s="228">
        <v>40.840000000000003</v>
      </c>
      <c r="EZ118" s="229">
        <v>1.47E-2</v>
      </c>
      <c r="FA118" s="229">
        <v>1.0845</v>
      </c>
      <c r="FB118" s="227" t="s">
        <v>567</v>
      </c>
      <c r="FC118">
        <f t="shared" si="1"/>
        <v>113</v>
      </c>
    </row>
    <row r="119" spans="1:159" ht="17.25" thickBot="1" x14ac:dyDescent="0.3">
      <c r="A119" s="226">
        <v>45946</v>
      </c>
      <c r="B119" s="227" t="s">
        <v>175</v>
      </c>
      <c r="C119" s="227" t="s">
        <v>607</v>
      </c>
      <c r="D119" s="228">
        <v>700</v>
      </c>
      <c r="E119" s="228">
        <v>12</v>
      </c>
      <c r="F119" s="228">
        <v>894.85</v>
      </c>
      <c r="G119" s="228">
        <v>902.7</v>
      </c>
      <c r="H119" s="228">
        <v>-7.85</v>
      </c>
      <c r="I119" s="229">
        <v>-8.6999999999999994E-3</v>
      </c>
      <c r="J119" s="228">
        <v>894.15</v>
      </c>
      <c r="K119" s="228">
        <v>898.95</v>
      </c>
      <c r="L119" s="228">
        <v>-4.8</v>
      </c>
      <c r="M119" s="229">
        <v>-5.3E-3</v>
      </c>
      <c r="N119" s="228">
        <v>894.85</v>
      </c>
      <c r="O119" s="228">
        <v>902.7</v>
      </c>
      <c r="P119" s="228">
        <v>-7.85</v>
      </c>
      <c r="Q119" s="229">
        <v>-8.6999999999999994E-3</v>
      </c>
      <c r="R119" s="228">
        <v>897.9</v>
      </c>
      <c r="S119" s="228">
        <v>905.55</v>
      </c>
      <c r="T119" s="228">
        <v>-7.65</v>
      </c>
      <c r="U119" s="229">
        <v>-8.3999999999999995E-3</v>
      </c>
      <c r="V119" s="228">
        <v>902.2</v>
      </c>
      <c r="W119" s="228">
        <v>909.1</v>
      </c>
      <c r="X119" s="228">
        <v>-6.9</v>
      </c>
      <c r="Y119" s="229">
        <v>-7.6E-3</v>
      </c>
      <c r="Z119" s="228">
        <v>0.7</v>
      </c>
      <c r="AA119" s="228">
        <v>3.75</v>
      </c>
      <c r="AB119" s="228">
        <v>-3.05</v>
      </c>
      <c r="AC119" s="229">
        <v>8.0000000000000004E-4</v>
      </c>
      <c r="AD119" s="228">
        <v>0.7</v>
      </c>
      <c r="AE119" s="228">
        <v>3.75</v>
      </c>
      <c r="AF119" s="228">
        <v>-3.05</v>
      </c>
      <c r="AG119" s="229">
        <v>8.0000000000000004E-4</v>
      </c>
      <c r="AH119" s="228">
        <v>3.75</v>
      </c>
      <c r="AI119" s="228">
        <v>6.6</v>
      </c>
      <c r="AJ119" s="228">
        <v>-2.85</v>
      </c>
      <c r="AK119" s="229">
        <v>4.1999999999999997E-3</v>
      </c>
      <c r="AL119" s="228">
        <v>8.0500000000000007</v>
      </c>
      <c r="AM119" s="228">
        <v>10.15</v>
      </c>
      <c r="AN119" s="228">
        <v>-2.1</v>
      </c>
      <c r="AO119" s="229">
        <v>8.9999999999999993E-3</v>
      </c>
      <c r="AP119" s="228">
        <v>897.76</v>
      </c>
      <c r="AQ119" s="228">
        <v>900.02</v>
      </c>
      <c r="AR119" s="228">
        <v>0</v>
      </c>
      <c r="AS119" s="228">
        <v>194</v>
      </c>
      <c r="AT119" s="228">
        <v>102</v>
      </c>
      <c r="AU119" s="228">
        <v>92</v>
      </c>
      <c r="AV119" s="229">
        <v>0.90769999999999995</v>
      </c>
      <c r="AW119" s="228">
        <v>159</v>
      </c>
      <c r="AX119" s="228">
        <v>87</v>
      </c>
      <c r="AY119" s="228">
        <v>72</v>
      </c>
      <c r="AZ119" s="229">
        <v>0.8256</v>
      </c>
      <c r="BA119" s="228">
        <v>33</v>
      </c>
      <c r="BB119" s="228">
        <v>13</v>
      </c>
      <c r="BC119" s="228">
        <v>20</v>
      </c>
      <c r="BD119" s="229">
        <v>1.5</v>
      </c>
      <c r="BE119" s="228">
        <v>2</v>
      </c>
      <c r="BF119" s="228">
        <v>2</v>
      </c>
      <c r="BG119" s="228">
        <v>1</v>
      </c>
      <c r="BH119" s="229">
        <v>0.46150000000000002</v>
      </c>
      <c r="BI119" s="228">
        <v>400</v>
      </c>
      <c r="BJ119" s="228">
        <v>277</v>
      </c>
      <c r="BK119" s="228">
        <v>123</v>
      </c>
      <c r="BL119" s="229">
        <v>0.44479999999999997</v>
      </c>
      <c r="BM119" s="228">
        <v>180</v>
      </c>
      <c r="BN119" s="228">
        <v>88</v>
      </c>
      <c r="BO119" s="228">
        <v>92</v>
      </c>
      <c r="BP119" s="229">
        <v>1.05</v>
      </c>
      <c r="BQ119" s="228">
        <v>774</v>
      </c>
      <c r="BR119" s="228">
        <v>467</v>
      </c>
      <c r="BS119" s="228">
        <v>308</v>
      </c>
      <c r="BT119" s="229">
        <v>0.65959999999999996</v>
      </c>
      <c r="BU119" s="230">
        <v>858603</v>
      </c>
      <c r="BV119" s="230">
        <v>590950</v>
      </c>
      <c r="BW119" s="230">
        <v>267653</v>
      </c>
      <c r="BX119" s="229">
        <v>0.45290000000000002</v>
      </c>
      <c r="BY119" s="228">
        <v>748</v>
      </c>
      <c r="BZ119" s="228">
        <v>730</v>
      </c>
      <c r="CA119" s="228">
        <v>19</v>
      </c>
      <c r="CB119" s="229">
        <v>2.5499999999999998E-2</v>
      </c>
      <c r="CC119" s="228">
        <v>671</v>
      </c>
      <c r="CD119" s="228">
        <v>669</v>
      </c>
      <c r="CE119" s="228">
        <v>3</v>
      </c>
      <c r="CF119" s="229">
        <v>3.8999999999999998E-3</v>
      </c>
      <c r="CG119" s="228">
        <v>72</v>
      </c>
      <c r="CH119" s="228">
        <v>56</v>
      </c>
      <c r="CI119" s="228">
        <v>15</v>
      </c>
      <c r="CJ119" s="229">
        <v>0.26860000000000001</v>
      </c>
      <c r="CK119" s="228">
        <v>5</v>
      </c>
      <c r="CL119" s="228">
        <v>4</v>
      </c>
      <c r="CM119" s="228">
        <v>1</v>
      </c>
      <c r="CN119" s="229">
        <v>0.18310000000000001</v>
      </c>
      <c r="CO119" s="228">
        <v>466</v>
      </c>
      <c r="CP119" s="228">
        <v>452</v>
      </c>
      <c r="CQ119" s="228">
        <v>14</v>
      </c>
      <c r="CR119" s="229">
        <v>3.1800000000000002E-2</v>
      </c>
      <c r="CS119" s="228">
        <v>206</v>
      </c>
      <c r="CT119" s="228">
        <v>192</v>
      </c>
      <c r="CU119" s="228">
        <v>13</v>
      </c>
      <c r="CV119" s="229">
        <v>6.8699999999999997E-2</v>
      </c>
      <c r="CW119" s="230">
        <v>1420</v>
      </c>
      <c r="CX119" s="230">
        <v>1374</v>
      </c>
      <c r="CY119" s="228">
        <v>46</v>
      </c>
      <c r="CZ119" s="229">
        <v>3.3599999999999998E-2</v>
      </c>
      <c r="DA119" s="228">
        <v>22.9</v>
      </c>
      <c r="DB119" s="228">
        <v>23.01</v>
      </c>
      <c r="DC119" s="228">
        <v>-0.11</v>
      </c>
      <c r="DD119" s="228">
        <v>-0.11</v>
      </c>
      <c r="DE119" s="228">
        <v>32.17</v>
      </c>
      <c r="DF119" s="228">
        <v>32.229999999999997</v>
      </c>
      <c r="DG119" s="228">
        <v>-9.27</v>
      </c>
      <c r="DH119" s="228">
        <v>-0.06</v>
      </c>
      <c r="DI119" s="228">
        <v>23.42</v>
      </c>
      <c r="DJ119" s="228">
        <v>22.79</v>
      </c>
      <c r="DK119" s="228">
        <v>0.63</v>
      </c>
      <c r="DL119" s="228">
        <v>0.63</v>
      </c>
      <c r="DM119" s="228">
        <v>21.74</v>
      </c>
      <c r="DN119" s="228">
        <v>23.69</v>
      </c>
      <c r="DO119" s="228">
        <v>-1.95</v>
      </c>
      <c r="DP119" s="228">
        <v>-1.95</v>
      </c>
      <c r="DQ119" s="228">
        <v>0.44</v>
      </c>
      <c r="DR119" s="228">
        <v>0.43</v>
      </c>
      <c r="DS119" s="228">
        <v>0.01</v>
      </c>
      <c r="DT119" s="229">
        <v>2.3300000000000001E-2</v>
      </c>
      <c r="DU119" s="228">
        <v>900</v>
      </c>
      <c r="DV119" s="228">
        <v>900</v>
      </c>
      <c r="DW119" s="228">
        <v>0.45</v>
      </c>
      <c r="DX119" s="228">
        <v>0.32</v>
      </c>
      <c r="DY119" s="228">
        <v>0.13</v>
      </c>
      <c r="DZ119" s="229">
        <v>0.40629999999999999</v>
      </c>
      <c r="EA119" s="229">
        <v>0.1027</v>
      </c>
      <c r="EB119" s="230">
        <v>680400</v>
      </c>
      <c r="EC119" s="229">
        <v>3.3999999999999998E-3</v>
      </c>
      <c r="ED119" s="229">
        <v>0.1027</v>
      </c>
      <c r="EE119" s="228">
        <v>2.2599999999999998</v>
      </c>
      <c r="EF119" s="229">
        <v>2.5000000000000001E-3</v>
      </c>
      <c r="EG119" s="230">
        <v>353723</v>
      </c>
      <c r="EH119" s="230">
        <v>283678</v>
      </c>
      <c r="EI119" s="229">
        <v>0.24690000000000001</v>
      </c>
      <c r="EJ119" s="229">
        <v>0.41199999999999998</v>
      </c>
      <c r="EK119" s="228">
        <v>415.76</v>
      </c>
      <c r="EL119" s="228">
        <v>182.67</v>
      </c>
      <c r="EM119" s="228">
        <v>195.04</v>
      </c>
      <c r="EN119" s="228">
        <v>16.760000000000002</v>
      </c>
      <c r="EO119" s="228">
        <v>793.47</v>
      </c>
      <c r="EP119" s="228">
        <v>480.17</v>
      </c>
      <c r="EQ119" s="228">
        <v>313.3</v>
      </c>
      <c r="ER119" s="229">
        <v>0.65249999999999997</v>
      </c>
      <c r="ES119" s="228">
        <v>487.76</v>
      </c>
      <c r="ET119" s="228">
        <v>202.18</v>
      </c>
      <c r="EU119" s="228">
        <v>748.52</v>
      </c>
      <c r="EV119" s="231">
        <v>32057152</v>
      </c>
      <c r="EW119" s="231">
        <v>1438.45</v>
      </c>
      <c r="EX119" s="231">
        <v>1398.33</v>
      </c>
      <c r="EY119" s="228">
        <v>40.119999999999997</v>
      </c>
      <c r="EZ119" s="229">
        <v>2.87E-2</v>
      </c>
      <c r="FA119" s="229">
        <v>0.49490000000000001</v>
      </c>
      <c r="FB119" s="227" t="s">
        <v>567</v>
      </c>
      <c r="FC119">
        <f t="shared" si="1"/>
        <v>77</v>
      </c>
    </row>
    <row r="120" spans="1:159" ht="17.25" thickBot="1" x14ac:dyDescent="0.3">
      <c r="A120" s="226">
        <v>45946</v>
      </c>
      <c r="B120" s="227" t="s">
        <v>206</v>
      </c>
      <c r="C120" s="227" t="s">
        <v>588</v>
      </c>
      <c r="D120" s="228">
        <v>450</v>
      </c>
      <c r="E120" s="228">
        <v>12</v>
      </c>
      <c r="F120" s="231">
        <v>1196</v>
      </c>
      <c r="G120" s="231">
        <v>1174.5</v>
      </c>
      <c r="H120" s="228">
        <v>21.5</v>
      </c>
      <c r="I120" s="229">
        <v>1.83E-2</v>
      </c>
      <c r="J120" s="231">
        <v>1194.8</v>
      </c>
      <c r="K120" s="231">
        <v>1172</v>
      </c>
      <c r="L120" s="228">
        <v>22.8</v>
      </c>
      <c r="M120" s="229">
        <v>1.95E-2</v>
      </c>
      <c r="N120" s="231">
        <v>1196</v>
      </c>
      <c r="O120" s="231">
        <v>1174.5</v>
      </c>
      <c r="P120" s="228">
        <v>21.5</v>
      </c>
      <c r="Q120" s="229">
        <v>1.83E-2</v>
      </c>
      <c r="R120" s="231">
        <v>1202.5999999999999</v>
      </c>
      <c r="S120" s="231">
        <v>1180.5999999999999</v>
      </c>
      <c r="T120" s="228">
        <v>22</v>
      </c>
      <c r="U120" s="229">
        <v>1.8599999999999998E-2</v>
      </c>
      <c r="V120" s="231">
        <v>1208.4000000000001</v>
      </c>
      <c r="W120" s="231">
        <v>1188.9000000000001</v>
      </c>
      <c r="X120" s="228">
        <v>19.5</v>
      </c>
      <c r="Y120" s="229">
        <v>1.6400000000000001E-2</v>
      </c>
      <c r="Z120" s="228">
        <v>1.2</v>
      </c>
      <c r="AA120" s="228">
        <v>2.5</v>
      </c>
      <c r="AB120" s="228">
        <v>-1.3</v>
      </c>
      <c r="AC120" s="229">
        <v>1E-3</v>
      </c>
      <c r="AD120" s="228">
        <v>1.2</v>
      </c>
      <c r="AE120" s="228">
        <v>2.5</v>
      </c>
      <c r="AF120" s="228">
        <v>-1.3</v>
      </c>
      <c r="AG120" s="229">
        <v>1E-3</v>
      </c>
      <c r="AH120" s="228">
        <v>7.8</v>
      </c>
      <c r="AI120" s="228">
        <v>8.6</v>
      </c>
      <c r="AJ120" s="228">
        <v>-0.8</v>
      </c>
      <c r="AK120" s="229">
        <v>6.4999999999999997E-3</v>
      </c>
      <c r="AL120" s="228">
        <v>13.6</v>
      </c>
      <c r="AM120" s="228">
        <v>16.899999999999999</v>
      </c>
      <c r="AN120" s="228">
        <v>-3.3</v>
      </c>
      <c r="AO120" s="229">
        <v>1.14E-2</v>
      </c>
      <c r="AP120" s="231">
        <v>1190.74</v>
      </c>
      <c r="AQ120" s="231">
        <v>1197.42</v>
      </c>
      <c r="AR120" s="228">
        <v>0</v>
      </c>
      <c r="AS120" s="228">
        <v>319</v>
      </c>
      <c r="AT120" s="228">
        <v>318</v>
      </c>
      <c r="AU120" s="228">
        <v>2</v>
      </c>
      <c r="AV120" s="229">
        <v>5.3E-3</v>
      </c>
      <c r="AW120" s="228">
        <v>289</v>
      </c>
      <c r="AX120" s="228">
        <v>291</v>
      </c>
      <c r="AY120" s="228">
        <v>-2</v>
      </c>
      <c r="AZ120" s="229">
        <v>-7.0000000000000001E-3</v>
      </c>
      <c r="BA120" s="228">
        <v>28</v>
      </c>
      <c r="BB120" s="228">
        <v>23</v>
      </c>
      <c r="BC120" s="228">
        <v>5</v>
      </c>
      <c r="BD120" s="229">
        <v>0.22559999999999999</v>
      </c>
      <c r="BE120" s="228">
        <v>2</v>
      </c>
      <c r="BF120" s="228">
        <v>3</v>
      </c>
      <c r="BG120" s="228">
        <v>-2</v>
      </c>
      <c r="BH120" s="229">
        <v>-0.47460000000000002</v>
      </c>
      <c r="BI120" s="230">
        <v>1179</v>
      </c>
      <c r="BJ120" s="230">
        <v>1540</v>
      </c>
      <c r="BK120" s="228">
        <v>-361</v>
      </c>
      <c r="BL120" s="229">
        <v>-0.23419999999999999</v>
      </c>
      <c r="BM120" s="228">
        <v>285</v>
      </c>
      <c r="BN120" s="228">
        <v>413</v>
      </c>
      <c r="BO120" s="228">
        <v>-128</v>
      </c>
      <c r="BP120" s="229">
        <v>-0.30930000000000002</v>
      </c>
      <c r="BQ120" s="230">
        <v>1784</v>
      </c>
      <c r="BR120" s="230">
        <v>2270</v>
      </c>
      <c r="BS120" s="228">
        <v>-487</v>
      </c>
      <c r="BT120" s="229">
        <v>-0.21429999999999999</v>
      </c>
      <c r="BU120" s="230">
        <v>2356398</v>
      </c>
      <c r="BV120" s="230">
        <v>1623539</v>
      </c>
      <c r="BW120" s="230">
        <v>732859</v>
      </c>
      <c r="BX120" s="229">
        <v>0.45140000000000002</v>
      </c>
      <c r="BY120" s="230">
        <v>1392</v>
      </c>
      <c r="BZ120" s="230">
        <v>1474</v>
      </c>
      <c r="CA120" s="228">
        <v>-82</v>
      </c>
      <c r="CB120" s="229">
        <v>-5.5800000000000002E-2</v>
      </c>
      <c r="CC120" s="230">
        <v>1335</v>
      </c>
      <c r="CD120" s="230">
        <v>1422</v>
      </c>
      <c r="CE120" s="228">
        <v>-87</v>
      </c>
      <c r="CF120" s="229">
        <v>-6.0999999999999999E-2</v>
      </c>
      <c r="CG120" s="228">
        <v>53</v>
      </c>
      <c r="CH120" s="228">
        <v>48</v>
      </c>
      <c r="CI120" s="228">
        <v>5</v>
      </c>
      <c r="CJ120" s="229">
        <v>9.4500000000000001E-2</v>
      </c>
      <c r="CK120" s="228">
        <v>4</v>
      </c>
      <c r="CL120" s="228">
        <v>4</v>
      </c>
      <c r="CM120" s="228">
        <v>0</v>
      </c>
      <c r="CN120" s="229">
        <v>-2.47E-2</v>
      </c>
      <c r="CO120" s="228">
        <v>364</v>
      </c>
      <c r="CP120" s="228">
        <v>440</v>
      </c>
      <c r="CQ120" s="228">
        <v>-76</v>
      </c>
      <c r="CR120" s="229">
        <v>-0.1736</v>
      </c>
      <c r="CS120" s="228">
        <v>244</v>
      </c>
      <c r="CT120" s="228">
        <v>261</v>
      </c>
      <c r="CU120" s="228">
        <v>-17</v>
      </c>
      <c r="CV120" s="229">
        <v>-6.4799999999999996E-2</v>
      </c>
      <c r="CW120" s="230">
        <v>2000</v>
      </c>
      <c r="CX120" s="230">
        <v>2175</v>
      </c>
      <c r="CY120" s="228">
        <v>-176</v>
      </c>
      <c r="CZ120" s="229">
        <v>-8.0699999999999994E-2</v>
      </c>
      <c r="DA120" s="228">
        <v>29.63</v>
      </c>
      <c r="DB120" s="228">
        <v>33.6</v>
      </c>
      <c r="DC120" s="228">
        <v>-3.97</v>
      </c>
      <c r="DD120" s="228">
        <v>-3.97</v>
      </c>
      <c r="DE120" s="228">
        <v>47.58</v>
      </c>
      <c r="DF120" s="228">
        <v>47.62</v>
      </c>
      <c r="DG120" s="228">
        <v>-17.95</v>
      </c>
      <c r="DH120" s="228">
        <v>-0.04</v>
      </c>
      <c r="DI120" s="228">
        <v>29.5</v>
      </c>
      <c r="DJ120" s="228">
        <v>33.6</v>
      </c>
      <c r="DK120" s="228">
        <v>-4.0999999999999996</v>
      </c>
      <c r="DL120" s="228">
        <v>-4.0999999999999996</v>
      </c>
      <c r="DM120" s="228">
        <v>30.16</v>
      </c>
      <c r="DN120" s="228">
        <v>33.58</v>
      </c>
      <c r="DO120" s="228">
        <v>-3.42</v>
      </c>
      <c r="DP120" s="228">
        <v>-3.42</v>
      </c>
      <c r="DQ120" s="228">
        <v>0.67</v>
      </c>
      <c r="DR120" s="228">
        <v>0.59</v>
      </c>
      <c r="DS120" s="228">
        <v>0.08</v>
      </c>
      <c r="DT120" s="229">
        <v>0.1356</v>
      </c>
      <c r="DU120" s="231">
        <v>1200</v>
      </c>
      <c r="DV120" s="231">
        <v>1100</v>
      </c>
      <c r="DW120" s="228">
        <v>0.24</v>
      </c>
      <c r="DX120" s="228">
        <v>0.27</v>
      </c>
      <c r="DY120" s="228">
        <v>-0.03</v>
      </c>
      <c r="DZ120" s="229">
        <v>-0.1111</v>
      </c>
      <c r="EA120" s="229">
        <v>4.1099999999999998E-2</v>
      </c>
      <c r="EB120" s="230">
        <v>441000</v>
      </c>
      <c r="EC120" s="229">
        <v>5.4999999999999997E-3</v>
      </c>
      <c r="ED120" s="229">
        <v>4.1099999999999998E-2</v>
      </c>
      <c r="EE120" s="228">
        <v>6.68</v>
      </c>
      <c r="EF120" s="229">
        <v>5.5999999999999999E-3</v>
      </c>
      <c r="EG120" s="230">
        <v>1473580</v>
      </c>
      <c r="EH120" s="230">
        <v>607244</v>
      </c>
      <c r="EI120" s="229">
        <v>1.4267000000000001</v>
      </c>
      <c r="EJ120" s="229">
        <v>0.62539999999999996</v>
      </c>
      <c r="EK120" s="231">
        <v>1202.22</v>
      </c>
      <c r="EL120" s="228">
        <v>281.04000000000002</v>
      </c>
      <c r="EM120" s="228">
        <v>318.19</v>
      </c>
      <c r="EN120" s="228">
        <v>38.06</v>
      </c>
      <c r="EO120" s="231">
        <v>1801.45</v>
      </c>
      <c r="EP120" s="231">
        <v>2285</v>
      </c>
      <c r="EQ120" s="228">
        <v>-483.55</v>
      </c>
      <c r="ER120" s="229">
        <v>-0.21160000000000001</v>
      </c>
      <c r="ES120" s="228">
        <v>366.6</v>
      </c>
      <c r="ET120" s="228">
        <v>231.34</v>
      </c>
      <c r="EU120" s="231">
        <v>1392.39</v>
      </c>
      <c r="EV120" s="231">
        <v>42060143</v>
      </c>
      <c r="EW120" s="231">
        <v>1990.33</v>
      </c>
      <c r="EX120" s="231">
        <v>2136.3200000000002</v>
      </c>
      <c r="EY120" s="228">
        <v>-145.99</v>
      </c>
      <c r="EZ120" s="229">
        <v>-6.83E-2</v>
      </c>
      <c r="FA120" s="229">
        <v>0.39750000000000002</v>
      </c>
      <c r="FB120" s="227" t="s">
        <v>556</v>
      </c>
      <c r="FC120">
        <f t="shared" si="1"/>
        <v>57</v>
      </c>
    </row>
    <row r="121" spans="1:159" ht="17.25" thickBot="1" x14ac:dyDescent="0.3">
      <c r="A121" s="226">
        <v>45946</v>
      </c>
      <c r="B121" s="227" t="s">
        <v>184</v>
      </c>
      <c r="C121" s="227" t="s">
        <v>249</v>
      </c>
      <c r="D121" s="228">
        <v>175</v>
      </c>
      <c r="E121" s="228">
        <v>12</v>
      </c>
      <c r="F121" s="231">
        <v>3866.7</v>
      </c>
      <c r="G121" s="231">
        <v>3836.6</v>
      </c>
      <c r="H121" s="228">
        <v>30.1</v>
      </c>
      <c r="I121" s="229">
        <v>7.7999999999999996E-3</v>
      </c>
      <c r="J121" s="231">
        <v>3861.8</v>
      </c>
      <c r="K121" s="231">
        <v>3828.7</v>
      </c>
      <c r="L121" s="228">
        <v>33.1</v>
      </c>
      <c r="M121" s="229">
        <v>8.6E-3</v>
      </c>
      <c r="N121" s="231">
        <v>3866.7</v>
      </c>
      <c r="O121" s="231">
        <v>3836.6</v>
      </c>
      <c r="P121" s="228">
        <v>30.1</v>
      </c>
      <c r="Q121" s="229">
        <v>7.7999999999999996E-3</v>
      </c>
      <c r="R121" s="231">
        <v>3888.6</v>
      </c>
      <c r="S121" s="231">
        <v>3857.5</v>
      </c>
      <c r="T121" s="228">
        <v>31.1</v>
      </c>
      <c r="U121" s="229">
        <v>8.0999999999999996E-3</v>
      </c>
      <c r="V121" s="231">
        <v>3911.6</v>
      </c>
      <c r="W121" s="231">
        <v>3879.8</v>
      </c>
      <c r="X121" s="228">
        <v>31.8</v>
      </c>
      <c r="Y121" s="229">
        <v>8.2000000000000007E-3</v>
      </c>
      <c r="Z121" s="228">
        <v>4.9000000000000004</v>
      </c>
      <c r="AA121" s="228">
        <v>7.9</v>
      </c>
      <c r="AB121" s="228">
        <v>-3</v>
      </c>
      <c r="AC121" s="229">
        <v>1.2999999999999999E-3</v>
      </c>
      <c r="AD121" s="228">
        <v>4.9000000000000004</v>
      </c>
      <c r="AE121" s="228">
        <v>7.9</v>
      </c>
      <c r="AF121" s="228">
        <v>-3</v>
      </c>
      <c r="AG121" s="229">
        <v>1.2999999999999999E-3</v>
      </c>
      <c r="AH121" s="228">
        <v>26.8</v>
      </c>
      <c r="AI121" s="228">
        <v>28.8</v>
      </c>
      <c r="AJ121" s="228">
        <v>-2</v>
      </c>
      <c r="AK121" s="229">
        <v>6.8999999999999999E-3</v>
      </c>
      <c r="AL121" s="228">
        <v>49.8</v>
      </c>
      <c r="AM121" s="228">
        <v>51.1</v>
      </c>
      <c r="AN121" s="228">
        <v>-1.3</v>
      </c>
      <c r="AO121" s="229">
        <v>1.29E-2</v>
      </c>
      <c r="AP121" s="231">
        <v>3867.7</v>
      </c>
      <c r="AQ121" s="231">
        <v>3888.68</v>
      </c>
      <c r="AR121" s="228">
        <v>0</v>
      </c>
      <c r="AS121" s="228">
        <v>976</v>
      </c>
      <c r="AT121" s="230">
        <v>1213</v>
      </c>
      <c r="AU121" s="228">
        <v>-237</v>
      </c>
      <c r="AV121" s="229">
        <v>-0.1953</v>
      </c>
      <c r="AW121" s="228">
        <v>877</v>
      </c>
      <c r="AX121" s="230">
        <v>1076</v>
      </c>
      <c r="AY121" s="228">
        <v>-199</v>
      </c>
      <c r="AZ121" s="229">
        <v>-0.1852</v>
      </c>
      <c r="BA121" s="228">
        <v>95</v>
      </c>
      <c r="BB121" s="228">
        <v>130</v>
      </c>
      <c r="BC121" s="228">
        <v>-35</v>
      </c>
      <c r="BD121" s="229">
        <v>-0.27260000000000001</v>
      </c>
      <c r="BE121" s="228">
        <v>5</v>
      </c>
      <c r="BF121" s="228">
        <v>8</v>
      </c>
      <c r="BG121" s="228">
        <v>-2</v>
      </c>
      <c r="BH121" s="229">
        <v>-0.30630000000000002</v>
      </c>
      <c r="BI121" s="230">
        <v>4841</v>
      </c>
      <c r="BJ121" s="230">
        <v>6798</v>
      </c>
      <c r="BK121" s="230">
        <v>-1957</v>
      </c>
      <c r="BL121" s="229">
        <v>-0.2878</v>
      </c>
      <c r="BM121" s="230">
        <v>2809</v>
      </c>
      <c r="BN121" s="230">
        <v>3480</v>
      </c>
      <c r="BO121" s="228">
        <v>-670</v>
      </c>
      <c r="BP121" s="229">
        <v>-0.19270000000000001</v>
      </c>
      <c r="BQ121" s="230">
        <v>8627</v>
      </c>
      <c r="BR121" s="230">
        <v>11491</v>
      </c>
      <c r="BS121" s="230">
        <v>-2864</v>
      </c>
      <c r="BT121" s="229">
        <v>-0.2492</v>
      </c>
      <c r="BU121" s="230">
        <v>2646465</v>
      </c>
      <c r="BV121" s="230">
        <v>2795852</v>
      </c>
      <c r="BW121" s="230">
        <v>-149387</v>
      </c>
      <c r="BX121" s="229">
        <v>-5.3400000000000003E-2</v>
      </c>
      <c r="BY121" s="230">
        <v>6108</v>
      </c>
      <c r="BZ121" s="230">
        <v>6085</v>
      </c>
      <c r="CA121" s="228">
        <v>23</v>
      </c>
      <c r="CB121" s="229">
        <v>3.7000000000000002E-3</v>
      </c>
      <c r="CC121" s="230">
        <v>5786</v>
      </c>
      <c r="CD121" s="230">
        <v>5801</v>
      </c>
      <c r="CE121" s="228">
        <v>-15</v>
      </c>
      <c r="CF121" s="229">
        <v>-2.5999999999999999E-3</v>
      </c>
      <c r="CG121" s="228">
        <v>231</v>
      </c>
      <c r="CH121" s="228">
        <v>194</v>
      </c>
      <c r="CI121" s="228">
        <v>37</v>
      </c>
      <c r="CJ121" s="229">
        <v>0.19020000000000001</v>
      </c>
      <c r="CK121" s="228">
        <v>91</v>
      </c>
      <c r="CL121" s="228">
        <v>90</v>
      </c>
      <c r="CM121" s="228">
        <v>1</v>
      </c>
      <c r="CN121" s="229">
        <v>1.2E-2</v>
      </c>
      <c r="CO121" s="230">
        <v>3020</v>
      </c>
      <c r="CP121" s="230">
        <v>3037</v>
      </c>
      <c r="CQ121" s="228">
        <v>-17</v>
      </c>
      <c r="CR121" s="229">
        <v>-5.7000000000000002E-3</v>
      </c>
      <c r="CS121" s="230">
        <v>1881</v>
      </c>
      <c r="CT121" s="230">
        <v>1664</v>
      </c>
      <c r="CU121" s="228">
        <v>217</v>
      </c>
      <c r="CV121" s="229">
        <v>0.13039999999999999</v>
      </c>
      <c r="CW121" s="230">
        <v>11009</v>
      </c>
      <c r="CX121" s="230">
        <v>10787</v>
      </c>
      <c r="CY121" s="228">
        <v>222</v>
      </c>
      <c r="CZ121" s="229">
        <v>2.06E-2</v>
      </c>
      <c r="DA121" s="228">
        <v>14.38</v>
      </c>
      <c r="DB121" s="228">
        <v>16.04</v>
      </c>
      <c r="DC121" s="228">
        <v>-1.66</v>
      </c>
      <c r="DD121" s="228">
        <v>-1.66</v>
      </c>
      <c r="DE121" s="228">
        <v>28.01</v>
      </c>
      <c r="DF121" s="228">
        <v>28.06</v>
      </c>
      <c r="DG121" s="228">
        <v>-13.63</v>
      </c>
      <c r="DH121" s="228">
        <v>-0.05</v>
      </c>
      <c r="DI121" s="228">
        <v>14.07</v>
      </c>
      <c r="DJ121" s="228">
        <v>15.55</v>
      </c>
      <c r="DK121" s="228">
        <v>-1.48</v>
      </c>
      <c r="DL121" s="228">
        <v>-1.48</v>
      </c>
      <c r="DM121" s="228">
        <v>14.91</v>
      </c>
      <c r="DN121" s="228">
        <v>17.010000000000002</v>
      </c>
      <c r="DO121" s="228">
        <v>-2.1</v>
      </c>
      <c r="DP121" s="228">
        <v>-2.1</v>
      </c>
      <c r="DQ121" s="228">
        <v>0.62</v>
      </c>
      <c r="DR121" s="228">
        <v>0.55000000000000004</v>
      </c>
      <c r="DS121" s="228">
        <v>7.0000000000000007E-2</v>
      </c>
      <c r="DT121" s="229">
        <v>0.1273</v>
      </c>
      <c r="DU121" s="231">
        <v>3800</v>
      </c>
      <c r="DV121" s="231">
        <v>3800</v>
      </c>
      <c r="DW121" s="228">
        <v>0.57999999999999996</v>
      </c>
      <c r="DX121" s="228">
        <v>0.51</v>
      </c>
      <c r="DY121" s="228">
        <v>7.0000000000000007E-2</v>
      </c>
      <c r="DZ121" s="229">
        <v>0.13730000000000001</v>
      </c>
      <c r="EA121" s="229">
        <v>5.2699999999999997E-2</v>
      </c>
      <c r="EB121" s="230">
        <v>734650</v>
      </c>
      <c r="EC121" s="229">
        <v>5.7000000000000002E-3</v>
      </c>
      <c r="ED121" s="229">
        <v>5.2699999999999997E-2</v>
      </c>
      <c r="EE121" s="228">
        <v>20.98</v>
      </c>
      <c r="EF121" s="229">
        <v>5.4000000000000003E-3</v>
      </c>
      <c r="EG121" s="230">
        <v>1514656</v>
      </c>
      <c r="EH121" s="230">
        <v>1782309</v>
      </c>
      <c r="EI121" s="229">
        <v>-0.1502</v>
      </c>
      <c r="EJ121" s="229">
        <v>0.57230000000000003</v>
      </c>
      <c r="EK121" s="231">
        <v>4926.96</v>
      </c>
      <c r="EL121" s="231">
        <v>2772.15</v>
      </c>
      <c r="EM121" s="228">
        <v>977.19</v>
      </c>
      <c r="EN121" s="228">
        <v>118.13</v>
      </c>
      <c r="EO121" s="231">
        <v>8676.2999999999993</v>
      </c>
      <c r="EP121" s="231">
        <v>11451.11</v>
      </c>
      <c r="EQ121" s="231">
        <v>-2774.81</v>
      </c>
      <c r="ER121" s="229">
        <v>-0.24229999999999999</v>
      </c>
      <c r="ES121" s="231">
        <v>3024.79</v>
      </c>
      <c r="ET121" s="231">
        <v>1807.13</v>
      </c>
      <c r="EU121" s="231">
        <v>6110.15</v>
      </c>
      <c r="EV121" s="231">
        <v>136007303</v>
      </c>
      <c r="EW121" s="231">
        <v>10942.07</v>
      </c>
      <c r="EX121" s="231">
        <v>10669.13</v>
      </c>
      <c r="EY121" s="228">
        <v>272.94</v>
      </c>
      <c r="EZ121" s="229">
        <v>2.5600000000000001E-2</v>
      </c>
      <c r="FA121" s="229">
        <v>0.20930000000000001</v>
      </c>
      <c r="FB121" s="227" t="s">
        <v>555</v>
      </c>
      <c r="FC121">
        <f t="shared" si="1"/>
        <v>322</v>
      </c>
    </row>
    <row r="122" spans="1:159" ht="17.25" thickBot="1" x14ac:dyDescent="0.3">
      <c r="A122" s="226">
        <v>45946</v>
      </c>
      <c r="B122" s="227" t="s">
        <v>175</v>
      </c>
      <c r="C122" s="227" t="s">
        <v>565</v>
      </c>
      <c r="D122" s="228">
        <v>4462</v>
      </c>
      <c r="E122" s="228">
        <v>12</v>
      </c>
      <c r="F122" s="228">
        <v>269.57</v>
      </c>
      <c r="G122" s="228">
        <v>272.06</v>
      </c>
      <c r="H122" s="228">
        <v>-2.4900000000000002</v>
      </c>
      <c r="I122" s="229">
        <v>-9.1999999999999998E-3</v>
      </c>
      <c r="J122" s="228">
        <v>269.19</v>
      </c>
      <c r="K122" s="228">
        <v>271.55</v>
      </c>
      <c r="L122" s="228">
        <v>-2.36</v>
      </c>
      <c r="M122" s="229">
        <v>-8.6999999999999994E-3</v>
      </c>
      <c r="N122" s="228">
        <v>269.57</v>
      </c>
      <c r="O122" s="228">
        <v>272.06</v>
      </c>
      <c r="P122" s="228">
        <v>-2.4900000000000002</v>
      </c>
      <c r="Q122" s="229">
        <v>-9.1999999999999998E-3</v>
      </c>
      <c r="R122" s="228">
        <v>270.45</v>
      </c>
      <c r="S122" s="228">
        <v>272.88</v>
      </c>
      <c r="T122" s="228">
        <v>-2.4300000000000002</v>
      </c>
      <c r="U122" s="229">
        <v>-8.8999999999999999E-3</v>
      </c>
      <c r="V122" s="228">
        <v>271.39999999999998</v>
      </c>
      <c r="W122" s="228">
        <v>273.66000000000003</v>
      </c>
      <c r="X122" s="228">
        <v>-2.2599999999999998</v>
      </c>
      <c r="Y122" s="229">
        <v>-8.3000000000000001E-3</v>
      </c>
      <c r="Z122" s="228">
        <v>0.38</v>
      </c>
      <c r="AA122" s="228">
        <v>0.51</v>
      </c>
      <c r="AB122" s="228">
        <v>-0.13</v>
      </c>
      <c r="AC122" s="229">
        <v>1.4E-3</v>
      </c>
      <c r="AD122" s="228">
        <v>0.38</v>
      </c>
      <c r="AE122" s="228">
        <v>0.51</v>
      </c>
      <c r="AF122" s="228">
        <v>-0.13</v>
      </c>
      <c r="AG122" s="229">
        <v>1.4E-3</v>
      </c>
      <c r="AH122" s="228">
        <v>1.26</v>
      </c>
      <c r="AI122" s="228">
        <v>1.33</v>
      </c>
      <c r="AJ122" s="228">
        <v>-7.0000000000000007E-2</v>
      </c>
      <c r="AK122" s="229">
        <v>4.7000000000000002E-3</v>
      </c>
      <c r="AL122" s="228">
        <v>2.21</v>
      </c>
      <c r="AM122" s="228">
        <v>2.11</v>
      </c>
      <c r="AN122" s="228">
        <v>0.1</v>
      </c>
      <c r="AO122" s="229">
        <v>8.2000000000000007E-3</v>
      </c>
      <c r="AP122" s="228">
        <v>269.93</v>
      </c>
      <c r="AQ122" s="228">
        <v>270.99</v>
      </c>
      <c r="AR122" s="228">
        <v>0</v>
      </c>
      <c r="AS122" s="228">
        <v>957</v>
      </c>
      <c r="AT122" s="228">
        <v>545</v>
      </c>
      <c r="AU122" s="228">
        <v>413</v>
      </c>
      <c r="AV122" s="229">
        <v>0.75729999999999997</v>
      </c>
      <c r="AW122" s="228">
        <v>798</v>
      </c>
      <c r="AX122" s="228">
        <v>474</v>
      </c>
      <c r="AY122" s="228">
        <v>324</v>
      </c>
      <c r="AZ122" s="229">
        <v>0.68489999999999995</v>
      </c>
      <c r="BA122" s="228">
        <v>149</v>
      </c>
      <c r="BB122" s="228">
        <v>65</v>
      </c>
      <c r="BC122" s="228">
        <v>84</v>
      </c>
      <c r="BD122" s="229">
        <v>1.2955000000000001</v>
      </c>
      <c r="BE122" s="228">
        <v>11</v>
      </c>
      <c r="BF122" s="228">
        <v>6</v>
      </c>
      <c r="BG122" s="228">
        <v>4</v>
      </c>
      <c r="BH122" s="229">
        <v>0.67920000000000003</v>
      </c>
      <c r="BI122" s="230">
        <v>4091</v>
      </c>
      <c r="BJ122" s="230">
        <v>2259</v>
      </c>
      <c r="BK122" s="230">
        <v>1832</v>
      </c>
      <c r="BL122" s="229">
        <v>0.81120000000000003</v>
      </c>
      <c r="BM122" s="230">
        <v>2647</v>
      </c>
      <c r="BN122" s="230">
        <v>1284</v>
      </c>
      <c r="BO122" s="230">
        <v>1362</v>
      </c>
      <c r="BP122" s="229">
        <v>1.0604</v>
      </c>
      <c r="BQ122" s="230">
        <v>7694</v>
      </c>
      <c r="BR122" s="230">
        <v>4088</v>
      </c>
      <c r="BS122" s="230">
        <v>3607</v>
      </c>
      <c r="BT122" s="229">
        <v>0.88229999999999997</v>
      </c>
      <c r="BU122" s="230">
        <v>11901851</v>
      </c>
      <c r="BV122" s="230">
        <v>8121493</v>
      </c>
      <c r="BW122" s="230">
        <v>3780358</v>
      </c>
      <c r="BX122" s="229">
        <v>0.46550000000000002</v>
      </c>
      <c r="BY122" s="230">
        <v>1340</v>
      </c>
      <c r="BZ122" s="230">
        <v>1357</v>
      </c>
      <c r="CA122" s="228">
        <v>-17</v>
      </c>
      <c r="CB122" s="229">
        <v>-1.2699999999999999E-2</v>
      </c>
      <c r="CC122" s="230">
        <v>1235</v>
      </c>
      <c r="CD122" s="230">
        <v>1278</v>
      </c>
      <c r="CE122" s="228">
        <v>-43</v>
      </c>
      <c r="CF122" s="229">
        <v>-3.3700000000000001E-2</v>
      </c>
      <c r="CG122" s="228">
        <v>94</v>
      </c>
      <c r="CH122" s="228">
        <v>69</v>
      </c>
      <c r="CI122" s="228">
        <v>25</v>
      </c>
      <c r="CJ122" s="229">
        <v>0.3589</v>
      </c>
      <c r="CK122" s="228">
        <v>12</v>
      </c>
      <c r="CL122" s="228">
        <v>11</v>
      </c>
      <c r="CM122" s="228">
        <v>1</v>
      </c>
      <c r="CN122" s="229">
        <v>0.1023</v>
      </c>
      <c r="CO122" s="228">
        <v>971</v>
      </c>
      <c r="CP122" s="228">
        <v>914</v>
      </c>
      <c r="CQ122" s="228">
        <v>57</v>
      </c>
      <c r="CR122" s="229">
        <v>6.2E-2</v>
      </c>
      <c r="CS122" s="228">
        <v>958</v>
      </c>
      <c r="CT122" s="228">
        <v>907</v>
      </c>
      <c r="CU122" s="228">
        <v>51</v>
      </c>
      <c r="CV122" s="229">
        <v>5.5800000000000002E-2</v>
      </c>
      <c r="CW122" s="230">
        <v>3269</v>
      </c>
      <c r="CX122" s="230">
        <v>3178</v>
      </c>
      <c r="CY122" s="228">
        <v>90</v>
      </c>
      <c r="CZ122" s="229">
        <v>2.8299999999999999E-2</v>
      </c>
      <c r="DA122" s="228">
        <v>29.43</v>
      </c>
      <c r="DB122" s="228">
        <v>36.520000000000003</v>
      </c>
      <c r="DC122" s="228">
        <v>-7.09</v>
      </c>
      <c r="DD122" s="228">
        <v>-7.09</v>
      </c>
      <c r="DE122" s="228">
        <v>38.9</v>
      </c>
      <c r="DF122" s="228">
        <v>38.979999999999997</v>
      </c>
      <c r="DG122" s="228">
        <v>-9.4700000000000006</v>
      </c>
      <c r="DH122" s="228">
        <v>-0.08</v>
      </c>
      <c r="DI122" s="228">
        <v>28.55</v>
      </c>
      <c r="DJ122" s="228">
        <v>34.74</v>
      </c>
      <c r="DK122" s="228">
        <v>-6.19</v>
      </c>
      <c r="DL122" s="228">
        <v>-6.19</v>
      </c>
      <c r="DM122" s="228">
        <v>30.78</v>
      </c>
      <c r="DN122" s="228">
        <v>39.65</v>
      </c>
      <c r="DO122" s="228">
        <v>-8.8699999999999992</v>
      </c>
      <c r="DP122" s="228">
        <v>-8.8699999999999992</v>
      </c>
      <c r="DQ122" s="228">
        <v>0.99</v>
      </c>
      <c r="DR122" s="228">
        <v>0.99</v>
      </c>
      <c r="DS122" s="228">
        <v>0</v>
      </c>
      <c r="DT122" s="229">
        <v>0</v>
      </c>
      <c r="DU122" s="228">
        <v>280</v>
      </c>
      <c r="DV122" s="228">
        <v>250</v>
      </c>
      <c r="DW122" s="228">
        <v>0.65</v>
      </c>
      <c r="DX122" s="228">
        <v>0.56999999999999995</v>
      </c>
      <c r="DY122" s="228">
        <v>0.08</v>
      </c>
      <c r="DZ122" s="229">
        <v>0.1404</v>
      </c>
      <c r="EA122" s="229">
        <v>7.8700000000000006E-2</v>
      </c>
      <c r="EB122" s="230">
        <v>2953844</v>
      </c>
      <c r="EC122" s="229">
        <v>3.3E-3</v>
      </c>
      <c r="ED122" s="229">
        <v>7.8700000000000006E-2</v>
      </c>
      <c r="EE122" s="228">
        <v>1.06</v>
      </c>
      <c r="EF122" s="229">
        <v>3.8999999999999998E-3</v>
      </c>
      <c r="EG122" s="230">
        <v>3511840</v>
      </c>
      <c r="EH122" s="230">
        <v>2794053</v>
      </c>
      <c r="EI122" s="229">
        <v>0.25690000000000002</v>
      </c>
      <c r="EJ122" s="229">
        <v>0.29509999999999997</v>
      </c>
      <c r="EK122" s="231">
        <v>4248.76</v>
      </c>
      <c r="EL122" s="231">
        <v>2596.7199999999998</v>
      </c>
      <c r="EM122" s="228">
        <v>959.3</v>
      </c>
      <c r="EN122" s="228">
        <v>38.659999999999997</v>
      </c>
      <c r="EO122" s="231">
        <v>7804.79</v>
      </c>
      <c r="EP122" s="231">
        <v>4136.04</v>
      </c>
      <c r="EQ122" s="231">
        <v>3668.75</v>
      </c>
      <c r="ER122" s="229">
        <v>0.88700000000000001</v>
      </c>
      <c r="ES122" s="228">
        <v>976.55</v>
      </c>
      <c r="ET122" s="228">
        <v>880.41</v>
      </c>
      <c r="EU122" s="231">
        <v>1340.45</v>
      </c>
      <c r="EV122" s="231">
        <v>126777205</v>
      </c>
      <c r="EW122" s="231">
        <v>3197.4</v>
      </c>
      <c r="EX122" s="231">
        <v>3115.74</v>
      </c>
      <c r="EY122" s="228">
        <v>81.66</v>
      </c>
      <c r="EZ122" s="229">
        <v>2.6200000000000001E-2</v>
      </c>
      <c r="FA122" s="229">
        <v>0.95640000000000003</v>
      </c>
      <c r="FB122" s="227" t="s">
        <v>568</v>
      </c>
      <c r="FC122">
        <f t="shared" si="1"/>
        <v>105</v>
      </c>
    </row>
    <row r="123" spans="1:159" ht="17.25" thickBot="1" x14ac:dyDescent="0.3">
      <c r="A123" s="226">
        <v>45946</v>
      </c>
      <c r="B123" s="227" t="s">
        <v>221</v>
      </c>
      <c r="C123" s="227" t="s">
        <v>561</v>
      </c>
      <c r="D123" s="228">
        <v>150</v>
      </c>
      <c r="E123" s="228">
        <v>12</v>
      </c>
      <c r="F123" s="231">
        <v>5619</v>
      </c>
      <c r="G123" s="231">
        <v>5611</v>
      </c>
      <c r="H123" s="228">
        <v>8</v>
      </c>
      <c r="I123" s="229">
        <v>1.4E-3</v>
      </c>
      <c r="J123" s="231">
        <v>5622.5</v>
      </c>
      <c r="K123" s="231">
        <v>5609.5</v>
      </c>
      <c r="L123" s="228">
        <v>13</v>
      </c>
      <c r="M123" s="229">
        <v>2.3E-3</v>
      </c>
      <c r="N123" s="231">
        <v>5619</v>
      </c>
      <c r="O123" s="231">
        <v>5611</v>
      </c>
      <c r="P123" s="228">
        <v>8</v>
      </c>
      <c r="Q123" s="229">
        <v>1.4E-3</v>
      </c>
      <c r="R123" s="231">
        <v>5585.5</v>
      </c>
      <c r="S123" s="231">
        <v>5576</v>
      </c>
      <c r="T123" s="228">
        <v>9.5</v>
      </c>
      <c r="U123" s="229">
        <v>1.6999999999999999E-3</v>
      </c>
      <c r="V123" s="231">
        <v>5560</v>
      </c>
      <c r="W123" s="231">
        <v>5567</v>
      </c>
      <c r="X123" s="228">
        <v>-7</v>
      </c>
      <c r="Y123" s="229">
        <v>-1.2999999999999999E-3</v>
      </c>
      <c r="Z123" s="228">
        <v>-3.5</v>
      </c>
      <c r="AA123" s="228">
        <v>1.5</v>
      </c>
      <c r="AB123" s="228">
        <v>-5</v>
      </c>
      <c r="AC123" s="229">
        <v>-5.9999999999999995E-4</v>
      </c>
      <c r="AD123" s="228">
        <v>-3.5</v>
      </c>
      <c r="AE123" s="228">
        <v>1.5</v>
      </c>
      <c r="AF123" s="228">
        <v>-5</v>
      </c>
      <c r="AG123" s="229">
        <v>-5.9999999999999995E-4</v>
      </c>
      <c r="AH123" s="228">
        <v>-37</v>
      </c>
      <c r="AI123" s="228">
        <v>-33.5</v>
      </c>
      <c r="AJ123" s="228">
        <v>-3.5</v>
      </c>
      <c r="AK123" s="229">
        <v>-6.6E-3</v>
      </c>
      <c r="AL123" s="228">
        <v>-62.5</v>
      </c>
      <c r="AM123" s="228">
        <v>-42.5</v>
      </c>
      <c r="AN123" s="228">
        <v>-20</v>
      </c>
      <c r="AO123" s="229">
        <v>-1.11E-2</v>
      </c>
      <c r="AP123" s="231">
        <v>5632.98</v>
      </c>
      <c r="AQ123" s="231">
        <v>5594.71</v>
      </c>
      <c r="AR123" s="228">
        <v>0</v>
      </c>
      <c r="AS123" s="228">
        <v>487</v>
      </c>
      <c r="AT123" s="228">
        <v>672</v>
      </c>
      <c r="AU123" s="228">
        <v>-185</v>
      </c>
      <c r="AV123" s="229">
        <v>-0.27560000000000001</v>
      </c>
      <c r="AW123" s="228">
        <v>427</v>
      </c>
      <c r="AX123" s="228">
        <v>622</v>
      </c>
      <c r="AY123" s="228">
        <v>-195</v>
      </c>
      <c r="AZ123" s="229">
        <v>-0.313</v>
      </c>
      <c r="BA123" s="228">
        <v>59</v>
      </c>
      <c r="BB123" s="228">
        <v>49</v>
      </c>
      <c r="BC123" s="228">
        <v>10</v>
      </c>
      <c r="BD123" s="229">
        <v>0.19689999999999999</v>
      </c>
      <c r="BE123" s="228">
        <v>1</v>
      </c>
      <c r="BF123" s="228">
        <v>1</v>
      </c>
      <c r="BG123" s="228">
        <v>0</v>
      </c>
      <c r="BH123" s="229">
        <v>-0.29409999999999997</v>
      </c>
      <c r="BI123" s="230">
        <v>1791</v>
      </c>
      <c r="BJ123" s="230">
        <v>2320</v>
      </c>
      <c r="BK123" s="228">
        <v>-529</v>
      </c>
      <c r="BL123" s="229">
        <v>-0.22800000000000001</v>
      </c>
      <c r="BM123" s="228">
        <v>837</v>
      </c>
      <c r="BN123" s="228">
        <v>749</v>
      </c>
      <c r="BO123" s="228">
        <v>87</v>
      </c>
      <c r="BP123" s="229">
        <v>0.1164</v>
      </c>
      <c r="BQ123" s="230">
        <v>3115</v>
      </c>
      <c r="BR123" s="230">
        <v>3742</v>
      </c>
      <c r="BS123" s="228">
        <v>-627</v>
      </c>
      <c r="BT123" s="229">
        <v>-0.1676</v>
      </c>
      <c r="BU123" s="230">
        <v>240906</v>
      </c>
      <c r="BV123" s="230">
        <v>353782</v>
      </c>
      <c r="BW123" s="230">
        <v>-112876</v>
      </c>
      <c r="BX123" s="229">
        <v>-0.31909999999999999</v>
      </c>
      <c r="BY123" s="230">
        <v>1768</v>
      </c>
      <c r="BZ123" s="230">
        <v>1811</v>
      </c>
      <c r="CA123" s="228">
        <v>-43</v>
      </c>
      <c r="CB123" s="229">
        <v>-2.3800000000000002E-2</v>
      </c>
      <c r="CC123" s="230">
        <v>1635</v>
      </c>
      <c r="CD123" s="230">
        <v>1702</v>
      </c>
      <c r="CE123" s="228">
        <v>-67</v>
      </c>
      <c r="CF123" s="229">
        <v>-3.95E-2</v>
      </c>
      <c r="CG123" s="228">
        <v>129</v>
      </c>
      <c r="CH123" s="228">
        <v>105</v>
      </c>
      <c r="CI123" s="228">
        <v>24</v>
      </c>
      <c r="CJ123" s="229">
        <v>0.2266</v>
      </c>
      <c r="CK123" s="228">
        <v>4</v>
      </c>
      <c r="CL123" s="228">
        <v>3</v>
      </c>
      <c r="CM123" s="228">
        <v>0</v>
      </c>
      <c r="CN123" s="229">
        <v>0.1</v>
      </c>
      <c r="CO123" s="228">
        <v>772</v>
      </c>
      <c r="CP123" s="228">
        <v>546</v>
      </c>
      <c r="CQ123" s="228">
        <v>226</v>
      </c>
      <c r="CR123" s="229">
        <v>0.41320000000000001</v>
      </c>
      <c r="CS123" s="228">
        <v>506</v>
      </c>
      <c r="CT123" s="228">
        <v>401</v>
      </c>
      <c r="CU123" s="228">
        <v>105</v>
      </c>
      <c r="CV123" s="229">
        <v>0.26169999999999999</v>
      </c>
      <c r="CW123" s="230">
        <v>3046</v>
      </c>
      <c r="CX123" s="230">
        <v>2758</v>
      </c>
      <c r="CY123" s="228">
        <v>287</v>
      </c>
      <c r="CZ123" s="229">
        <v>0.1042</v>
      </c>
      <c r="DA123" s="228">
        <v>36.159999999999997</v>
      </c>
      <c r="DB123" s="228">
        <v>33.909999999999997</v>
      </c>
      <c r="DC123" s="228">
        <v>2.25</v>
      </c>
      <c r="DD123" s="228">
        <v>2.25</v>
      </c>
      <c r="DE123" s="228">
        <v>33.86</v>
      </c>
      <c r="DF123" s="228">
        <v>33.950000000000003</v>
      </c>
      <c r="DG123" s="228">
        <v>2.2999999999999998</v>
      </c>
      <c r="DH123" s="228">
        <v>-0.09</v>
      </c>
      <c r="DI123" s="228">
        <v>36.31</v>
      </c>
      <c r="DJ123" s="228">
        <v>33.68</v>
      </c>
      <c r="DK123" s="228">
        <v>2.63</v>
      </c>
      <c r="DL123" s="228">
        <v>2.63</v>
      </c>
      <c r="DM123" s="228">
        <v>35.840000000000003</v>
      </c>
      <c r="DN123" s="228">
        <v>34.619999999999997</v>
      </c>
      <c r="DO123" s="228">
        <v>1.22</v>
      </c>
      <c r="DP123" s="228">
        <v>1.22</v>
      </c>
      <c r="DQ123" s="228">
        <v>0.66</v>
      </c>
      <c r="DR123" s="228">
        <v>0.73</v>
      </c>
      <c r="DS123" s="228">
        <v>-7.0000000000000007E-2</v>
      </c>
      <c r="DT123" s="229">
        <v>-9.5899999999999999E-2</v>
      </c>
      <c r="DU123" s="231">
        <v>5600</v>
      </c>
      <c r="DV123" s="231">
        <v>5000</v>
      </c>
      <c r="DW123" s="228">
        <v>0.47</v>
      </c>
      <c r="DX123" s="228">
        <v>0.32</v>
      </c>
      <c r="DY123" s="228">
        <v>0.15</v>
      </c>
      <c r="DZ123" s="229">
        <v>0.46870000000000001</v>
      </c>
      <c r="EA123" s="229">
        <v>7.51E-2</v>
      </c>
      <c r="EB123" s="230">
        <v>193350</v>
      </c>
      <c r="EC123" s="229">
        <v>-6.0000000000000001E-3</v>
      </c>
      <c r="ED123" s="229">
        <v>7.51E-2</v>
      </c>
      <c r="EE123" s="228">
        <v>-38.270000000000003</v>
      </c>
      <c r="EF123" s="229">
        <v>-6.7999999999999996E-3</v>
      </c>
      <c r="EG123" s="230">
        <v>104934</v>
      </c>
      <c r="EH123" s="230">
        <v>144962</v>
      </c>
      <c r="EI123" s="229">
        <v>-0.27610000000000001</v>
      </c>
      <c r="EJ123" s="229">
        <v>0.43559999999999999</v>
      </c>
      <c r="EK123" s="231">
        <v>1878.08</v>
      </c>
      <c r="EL123" s="228">
        <v>805.19</v>
      </c>
      <c r="EM123" s="228">
        <v>487.72</v>
      </c>
      <c r="EN123" s="228">
        <v>60.55</v>
      </c>
      <c r="EO123" s="231">
        <v>3170.99</v>
      </c>
      <c r="EP123" s="231">
        <v>3792.21</v>
      </c>
      <c r="EQ123" s="228">
        <v>-621.22</v>
      </c>
      <c r="ER123" s="229">
        <v>-0.1638</v>
      </c>
      <c r="ES123" s="228">
        <v>789.19</v>
      </c>
      <c r="ET123" s="228">
        <v>466.13</v>
      </c>
      <c r="EU123" s="231">
        <v>1767.15</v>
      </c>
      <c r="EV123" s="231">
        <v>9315942</v>
      </c>
      <c r="EW123" s="231">
        <v>3022.47</v>
      </c>
      <c r="EX123" s="231">
        <v>2723.74</v>
      </c>
      <c r="EY123" s="228">
        <v>298.73</v>
      </c>
      <c r="EZ123" s="229">
        <v>0.10970000000000001</v>
      </c>
      <c r="FA123" s="229">
        <v>0.58179999999999998</v>
      </c>
      <c r="FB123" s="227" t="s">
        <v>556</v>
      </c>
      <c r="FC123">
        <f t="shared" si="1"/>
        <v>133</v>
      </c>
    </row>
    <row r="124" spans="1:159" ht="17.25" thickBot="1" x14ac:dyDescent="0.3">
      <c r="A124" s="226">
        <v>45946</v>
      </c>
      <c r="B124" s="227" t="s">
        <v>170</v>
      </c>
      <c r="C124" s="227" t="s">
        <v>250</v>
      </c>
      <c r="D124" s="228">
        <v>425</v>
      </c>
      <c r="E124" s="228">
        <v>12</v>
      </c>
      <c r="F124" s="231">
        <v>1958.9</v>
      </c>
      <c r="G124" s="231">
        <v>1947.4</v>
      </c>
      <c r="H124" s="228">
        <v>11.5</v>
      </c>
      <c r="I124" s="229">
        <v>5.8999999999999999E-3</v>
      </c>
      <c r="J124" s="231">
        <v>1951.2</v>
      </c>
      <c r="K124" s="231">
        <v>1940.5</v>
      </c>
      <c r="L124" s="228">
        <v>10.7</v>
      </c>
      <c r="M124" s="229">
        <v>5.4999999999999997E-3</v>
      </c>
      <c r="N124" s="231">
        <v>1958.9</v>
      </c>
      <c r="O124" s="231">
        <v>1947.4</v>
      </c>
      <c r="P124" s="228">
        <v>11.5</v>
      </c>
      <c r="Q124" s="229">
        <v>5.8999999999999999E-3</v>
      </c>
      <c r="R124" s="231">
        <v>1969.8</v>
      </c>
      <c r="S124" s="231">
        <v>1958</v>
      </c>
      <c r="T124" s="228">
        <v>11.8</v>
      </c>
      <c r="U124" s="229">
        <v>6.0000000000000001E-3</v>
      </c>
      <c r="V124" s="231">
        <v>1982.2</v>
      </c>
      <c r="W124" s="231">
        <v>1969.9</v>
      </c>
      <c r="X124" s="228">
        <v>12.3</v>
      </c>
      <c r="Y124" s="229">
        <v>6.1999999999999998E-3</v>
      </c>
      <c r="Z124" s="228">
        <v>7.7</v>
      </c>
      <c r="AA124" s="228">
        <v>6.9</v>
      </c>
      <c r="AB124" s="228">
        <v>0.8</v>
      </c>
      <c r="AC124" s="229">
        <v>3.8999999999999998E-3</v>
      </c>
      <c r="AD124" s="228">
        <v>7.7</v>
      </c>
      <c r="AE124" s="228">
        <v>6.9</v>
      </c>
      <c r="AF124" s="228">
        <v>0.8</v>
      </c>
      <c r="AG124" s="229">
        <v>3.8999999999999998E-3</v>
      </c>
      <c r="AH124" s="228">
        <v>18.600000000000001</v>
      </c>
      <c r="AI124" s="228">
        <v>17.5</v>
      </c>
      <c r="AJ124" s="228">
        <v>1.1000000000000001</v>
      </c>
      <c r="AK124" s="229">
        <v>9.4999999999999998E-3</v>
      </c>
      <c r="AL124" s="228">
        <v>31</v>
      </c>
      <c r="AM124" s="228">
        <v>29.4</v>
      </c>
      <c r="AN124" s="228">
        <v>1.6</v>
      </c>
      <c r="AO124" s="229">
        <v>1.5900000000000001E-2</v>
      </c>
      <c r="AP124" s="231">
        <v>1955.33</v>
      </c>
      <c r="AQ124" s="231">
        <v>1967.18</v>
      </c>
      <c r="AR124" s="228">
        <v>0</v>
      </c>
      <c r="AS124" s="228">
        <v>152</v>
      </c>
      <c r="AT124" s="228">
        <v>181</v>
      </c>
      <c r="AU124" s="228">
        <v>-29</v>
      </c>
      <c r="AV124" s="229">
        <v>-0.16159999999999999</v>
      </c>
      <c r="AW124" s="228">
        <v>134</v>
      </c>
      <c r="AX124" s="228">
        <v>171</v>
      </c>
      <c r="AY124" s="228">
        <v>-37</v>
      </c>
      <c r="AZ124" s="229">
        <v>-0.2162</v>
      </c>
      <c r="BA124" s="228">
        <v>17</v>
      </c>
      <c r="BB124" s="228">
        <v>9</v>
      </c>
      <c r="BC124" s="228">
        <v>7</v>
      </c>
      <c r="BD124" s="229">
        <v>0.81820000000000004</v>
      </c>
      <c r="BE124" s="228">
        <v>1</v>
      </c>
      <c r="BF124" s="228">
        <v>1</v>
      </c>
      <c r="BG124" s="228">
        <v>0</v>
      </c>
      <c r="BH124" s="229">
        <v>0.15379999999999999</v>
      </c>
      <c r="BI124" s="228">
        <v>454</v>
      </c>
      <c r="BJ124" s="228">
        <v>523</v>
      </c>
      <c r="BK124" s="228">
        <v>-69</v>
      </c>
      <c r="BL124" s="229">
        <v>-0.13250000000000001</v>
      </c>
      <c r="BM124" s="228">
        <v>113</v>
      </c>
      <c r="BN124" s="228">
        <v>178</v>
      </c>
      <c r="BO124" s="228">
        <v>-66</v>
      </c>
      <c r="BP124" s="229">
        <v>-0.36940000000000001</v>
      </c>
      <c r="BQ124" s="228">
        <v>718</v>
      </c>
      <c r="BR124" s="228">
        <v>882</v>
      </c>
      <c r="BS124" s="228">
        <v>-164</v>
      </c>
      <c r="BT124" s="229">
        <v>-0.18640000000000001</v>
      </c>
      <c r="BU124" s="230">
        <v>382871</v>
      </c>
      <c r="BV124" s="230">
        <v>643674</v>
      </c>
      <c r="BW124" s="230">
        <v>-260803</v>
      </c>
      <c r="BX124" s="229">
        <v>-0.4052</v>
      </c>
      <c r="BY124" s="230">
        <v>2229</v>
      </c>
      <c r="BZ124" s="230">
        <v>2218</v>
      </c>
      <c r="CA124" s="228">
        <v>11</v>
      </c>
      <c r="CB124" s="229">
        <v>4.8999999999999998E-3</v>
      </c>
      <c r="CC124" s="230">
        <v>2178</v>
      </c>
      <c r="CD124" s="230">
        <v>2176</v>
      </c>
      <c r="CE124" s="228">
        <v>2</v>
      </c>
      <c r="CF124" s="229">
        <v>1E-3</v>
      </c>
      <c r="CG124" s="228">
        <v>46</v>
      </c>
      <c r="CH124" s="228">
        <v>38</v>
      </c>
      <c r="CI124" s="228">
        <v>9</v>
      </c>
      <c r="CJ124" s="229">
        <v>0.23499999999999999</v>
      </c>
      <c r="CK124" s="228">
        <v>4</v>
      </c>
      <c r="CL124" s="228">
        <v>4</v>
      </c>
      <c r="CM124" s="228">
        <v>0</v>
      </c>
      <c r="CN124" s="229">
        <v>0</v>
      </c>
      <c r="CO124" s="228">
        <v>737</v>
      </c>
      <c r="CP124" s="228">
        <v>737</v>
      </c>
      <c r="CQ124" s="228">
        <v>0</v>
      </c>
      <c r="CR124" s="229">
        <v>-1E-4</v>
      </c>
      <c r="CS124" s="228">
        <v>457</v>
      </c>
      <c r="CT124" s="228">
        <v>462</v>
      </c>
      <c r="CU124" s="228">
        <v>-6</v>
      </c>
      <c r="CV124" s="229">
        <v>-1.21E-2</v>
      </c>
      <c r="CW124" s="230">
        <v>3423</v>
      </c>
      <c r="CX124" s="230">
        <v>3418</v>
      </c>
      <c r="CY124" s="228">
        <v>5</v>
      </c>
      <c r="CZ124" s="229">
        <v>1.5E-3</v>
      </c>
      <c r="DA124" s="228">
        <v>24.47</v>
      </c>
      <c r="DB124" s="228">
        <v>25.78</v>
      </c>
      <c r="DC124" s="228">
        <v>-1.31</v>
      </c>
      <c r="DD124" s="228">
        <v>-1.31</v>
      </c>
      <c r="DE124" s="228">
        <v>32.409999999999997</v>
      </c>
      <c r="DF124" s="228">
        <v>32.479999999999997</v>
      </c>
      <c r="DG124" s="228">
        <v>-7.94</v>
      </c>
      <c r="DH124" s="228">
        <v>-7.0000000000000007E-2</v>
      </c>
      <c r="DI124" s="228">
        <v>24.49</v>
      </c>
      <c r="DJ124" s="228">
        <v>25.82</v>
      </c>
      <c r="DK124" s="228">
        <v>-1.33</v>
      </c>
      <c r="DL124" s="228">
        <v>-1.33</v>
      </c>
      <c r="DM124" s="228">
        <v>24.4</v>
      </c>
      <c r="DN124" s="228">
        <v>25.67</v>
      </c>
      <c r="DO124" s="228">
        <v>-1.27</v>
      </c>
      <c r="DP124" s="228">
        <v>-1.27</v>
      </c>
      <c r="DQ124" s="228">
        <v>0.62</v>
      </c>
      <c r="DR124" s="228">
        <v>0.63</v>
      </c>
      <c r="DS124" s="228">
        <v>-0.01</v>
      </c>
      <c r="DT124" s="229">
        <v>-1.5900000000000001E-2</v>
      </c>
      <c r="DU124" s="231">
        <v>2000</v>
      </c>
      <c r="DV124" s="231">
        <v>1960</v>
      </c>
      <c r="DW124" s="228">
        <v>0.25</v>
      </c>
      <c r="DX124" s="228">
        <v>0.34</v>
      </c>
      <c r="DY124" s="228">
        <v>-0.09</v>
      </c>
      <c r="DZ124" s="229">
        <v>-0.26469999999999999</v>
      </c>
      <c r="EA124" s="229">
        <v>2.2700000000000001E-2</v>
      </c>
      <c r="EB124" s="230">
        <v>213350</v>
      </c>
      <c r="EC124" s="229">
        <v>5.5999999999999999E-3</v>
      </c>
      <c r="ED124" s="229">
        <v>2.2700000000000001E-2</v>
      </c>
      <c r="EE124" s="228">
        <v>11.85</v>
      </c>
      <c r="EF124" s="229">
        <v>6.1000000000000004E-3</v>
      </c>
      <c r="EG124" s="230">
        <v>237421</v>
      </c>
      <c r="EH124" s="230">
        <v>374791</v>
      </c>
      <c r="EI124" s="229">
        <v>-0.36649999999999999</v>
      </c>
      <c r="EJ124" s="229">
        <v>0.62009999999999998</v>
      </c>
      <c r="EK124" s="228">
        <v>469.54</v>
      </c>
      <c r="EL124" s="228">
        <v>110.43</v>
      </c>
      <c r="EM124" s="228">
        <v>151.44</v>
      </c>
      <c r="EN124" s="228">
        <v>37.619999999999997</v>
      </c>
      <c r="EO124" s="228">
        <v>731.42</v>
      </c>
      <c r="EP124" s="228">
        <v>897.31</v>
      </c>
      <c r="EQ124" s="228">
        <v>-165.89</v>
      </c>
      <c r="ER124" s="229">
        <v>-0.18490000000000001</v>
      </c>
      <c r="ES124" s="228">
        <v>766.47</v>
      </c>
      <c r="ET124" s="228">
        <v>446.27</v>
      </c>
      <c r="EU124" s="231">
        <v>2229.33</v>
      </c>
      <c r="EV124" s="231">
        <v>35341043</v>
      </c>
      <c r="EW124" s="231">
        <v>3442.07</v>
      </c>
      <c r="EX124" s="231">
        <v>3423.48</v>
      </c>
      <c r="EY124" s="228">
        <v>18.59</v>
      </c>
      <c r="EZ124" s="229">
        <v>5.4000000000000003E-3</v>
      </c>
      <c r="FA124" s="229">
        <v>0.49440000000000001</v>
      </c>
      <c r="FB124" s="227" t="s">
        <v>555</v>
      </c>
      <c r="FC124">
        <f t="shared" si="1"/>
        <v>51</v>
      </c>
    </row>
    <row r="125" spans="1:159" ht="17.25" thickBot="1" x14ac:dyDescent="0.3">
      <c r="A125" s="226">
        <v>45946</v>
      </c>
      <c r="B125" s="227" t="s">
        <v>162</v>
      </c>
      <c r="C125" s="227" t="s">
        <v>251</v>
      </c>
      <c r="D125" s="228">
        <v>200</v>
      </c>
      <c r="E125" s="228">
        <v>12</v>
      </c>
      <c r="F125" s="231">
        <v>3567.2</v>
      </c>
      <c r="G125" s="231">
        <v>3501.8</v>
      </c>
      <c r="H125" s="228">
        <v>65.400000000000006</v>
      </c>
      <c r="I125" s="229">
        <v>1.8700000000000001E-2</v>
      </c>
      <c r="J125" s="231">
        <v>3560.8</v>
      </c>
      <c r="K125" s="231">
        <v>3497.2</v>
      </c>
      <c r="L125" s="228">
        <v>63.6</v>
      </c>
      <c r="M125" s="229">
        <v>1.8200000000000001E-2</v>
      </c>
      <c r="N125" s="231">
        <v>3567.2</v>
      </c>
      <c r="O125" s="231">
        <v>3501.8</v>
      </c>
      <c r="P125" s="228">
        <v>65.400000000000006</v>
      </c>
      <c r="Q125" s="229">
        <v>1.8700000000000001E-2</v>
      </c>
      <c r="R125" s="231">
        <v>3587.6</v>
      </c>
      <c r="S125" s="231">
        <v>3520.6</v>
      </c>
      <c r="T125" s="228">
        <v>67</v>
      </c>
      <c r="U125" s="229">
        <v>1.9E-2</v>
      </c>
      <c r="V125" s="231">
        <v>3606.5</v>
      </c>
      <c r="W125" s="231">
        <v>3540.7</v>
      </c>
      <c r="X125" s="228">
        <v>65.8</v>
      </c>
      <c r="Y125" s="229">
        <v>1.8599999999999998E-2</v>
      </c>
      <c r="Z125" s="228">
        <v>6.4</v>
      </c>
      <c r="AA125" s="228">
        <v>4.5999999999999996</v>
      </c>
      <c r="AB125" s="228">
        <v>1.8</v>
      </c>
      <c r="AC125" s="229">
        <v>1.8E-3</v>
      </c>
      <c r="AD125" s="228">
        <v>6.4</v>
      </c>
      <c r="AE125" s="228">
        <v>4.5999999999999996</v>
      </c>
      <c r="AF125" s="228">
        <v>1.8</v>
      </c>
      <c r="AG125" s="229">
        <v>1.8E-3</v>
      </c>
      <c r="AH125" s="228">
        <v>26.8</v>
      </c>
      <c r="AI125" s="228">
        <v>23.4</v>
      </c>
      <c r="AJ125" s="228">
        <v>3.4</v>
      </c>
      <c r="AK125" s="229">
        <v>7.4999999999999997E-3</v>
      </c>
      <c r="AL125" s="228">
        <v>45.7</v>
      </c>
      <c r="AM125" s="228">
        <v>43.5</v>
      </c>
      <c r="AN125" s="228">
        <v>2.2000000000000002</v>
      </c>
      <c r="AO125" s="229">
        <v>1.2800000000000001E-2</v>
      </c>
      <c r="AP125" s="231">
        <v>3558.36</v>
      </c>
      <c r="AQ125" s="231">
        <v>3577.38</v>
      </c>
      <c r="AR125" s="228">
        <v>0</v>
      </c>
      <c r="AS125" s="228">
        <v>959</v>
      </c>
      <c r="AT125" s="228">
        <v>666</v>
      </c>
      <c r="AU125" s="228">
        <v>292</v>
      </c>
      <c r="AV125" s="229">
        <v>0.43880000000000002</v>
      </c>
      <c r="AW125" s="228">
        <v>825</v>
      </c>
      <c r="AX125" s="228">
        <v>601</v>
      </c>
      <c r="AY125" s="228">
        <v>224</v>
      </c>
      <c r="AZ125" s="229">
        <v>0.37280000000000002</v>
      </c>
      <c r="BA125" s="228">
        <v>126</v>
      </c>
      <c r="BB125" s="228">
        <v>60</v>
      </c>
      <c r="BC125" s="228">
        <v>66</v>
      </c>
      <c r="BD125" s="229">
        <v>1.0948</v>
      </c>
      <c r="BE125" s="228">
        <v>8</v>
      </c>
      <c r="BF125" s="228">
        <v>5</v>
      </c>
      <c r="BG125" s="228">
        <v>2</v>
      </c>
      <c r="BH125" s="229">
        <v>0.4667</v>
      </c>
      <c r="BI125" s="230">
        <v>5243</v>
      </c>
      <c r="BJ125" s="230">
        <v>2183</v>
      </c>
      <c r="BK125" s="230">
        <v>3059</v>
      </c>
      <c r="BL125" s="229">
        <v>1.4013</v>
      </c>
      <c r="BM125" s="230">
        <v>2107</v>
      </c>
      <c r="BN125" s="228">
        <v>978</v>
      </c>
      <c r="BO125" s="230">
        <v>1128</v>
      </c>
      <c r="BP125" s="229">
        <v>1.1532</v>
      </c>
      <c r="BQ125" s="230">
        <v>8308</v>
      </c>
      <c r="BR125" s="230">
        <v>3828</v>
      </c>
      <c r="BS125" s="230">
        <v>4480</v>
      </c>
      <c r="BT125" s="229">
        <v>1.1702999999999999</v>
      </c>
      <c r="BU125" s="230">
        <v>2406692</v>
      </c>
      <c r="BV125" s="230">
        <v>1366621</v>
      </c>
      <c r="BW125" s="230">
        <v>1040071</v>
      </c>
      <c r="BX125" s="229">
        <v>0.7611</v>
      </c>
      <c r="BY125" s="230">
        <v>7018</v>
      </c>
      <c r="BZ125" s="230">
        <v>7066</v>
      </c>
      <c r="CA125" s="228">
        <v>-48</v>
      </c>
      <c r="CB125" s="229">
        <v>-6.7999999999999996E-3</v>
      </c>
      <c r="CC125" s="230">
        <v>6758</v>
      </c>
      <c r="CD125" s="230">
        <v>6856</v>
      </c>
      <c r="CE125" s="228">
        <v>-97</v>
      </c>
      <c r="CF125" s="229">
        <v>-1.4200000000000001E-2</v>
      </c>
      <c r="CG125" s="228">
        <v>207</v>
      </c>
      <c r="CH125" s="228">
        <v>157</v>
      </c>
      <c r="CI125" s="228">
        <v>50</v>
      </c>
      <c r="CJ125" s="229">
        <v>0.31469999999999998</v>
      </c>
      <c r="CK125" s="228">
        <v>53</v>
      </c>
      <c r="CL125" s="228">
        <v>53</v>
      </c>
      <c r="CM125" s="228">
        <v>0</v>
      </c>
      <c r="CN125" s="229">
        <v>-2.7000000000000001E-3</v>
      </c>
      <c r="CO125" s="230">
        <v>2110</v>
      </c>
      <c r="CP125" s="230">
        <v>2256</v>
      </c>
      <c r="CQ125" s="228">
        <v>-146</v>
      </c>
      <c r="CR125" s="229">
        <v>-6.4799999999999996E-2</v>
      </c>
      <c r="CS125" s="230">
        <v>1100</v>
      </c>
      <c r="CT125" s="230">
        <v>1029</v>
      </c>
      <c r="CU125" s="228">
        <v>71</v>
      </c>
      <c r="CV125" s="229">
        <v>6.8900000000000003E-2</v>
      </c>
      <c r="CW125" s="230">
        <v>10228</v>
      </c>
      <c r="CX125" s="230">
        <v>10351</v>
      </c>
      <c r="CY125" s="228">
        <v>-123</v>
      </c>
      <c r="CZ125" s="229">
        <v>-1.1900000000000001E-2</v>
      </c>
      <c r="DA125" s="228">
        <v>22.45</v>
      </c>
      <c r="DB125" s="228">
        <v>24.01</v>
      </c>
      <c r="DC125" s="228">
        <v>-1.56</v>
      </c>
      <c r="DD125" s="228">
        <v>-1.56</v>
      </c>
      <c r="DE125" s="228">
        <v>34.229999999999997</v>
      </c>
      <c r="DF125" s="228">
        <v>34.229999999999997</v>
      </c>
      <c r="DG125" s="228">
        <v>-11.78</v>
      </c>
      <c r="DH125" s="228">
        <v>0</v>
      </c>
      <c r="DI125" s="228">
        <v>22.18</v>
      </c>
      <c r="DJ125" s="228">
        <v>24.01</v>
      </c>
      <c r="DK125" s="228">
        <v>-1.83</v>
      </c>
      <c r="DL125" s="228">
        <v>-1.83</v>
      </c>
      <c r="DM125" s="228">
        <v>23.13</v>
      </c>
      <c r="DN125" s="228">
        <v>24.02</v>
      </c>
      <c r="DO125" s="228">
        <v>-0.89</v>
      </c>
      <c r="DP125" s="228">
        <v>-0.89</v>
      </c>
      <c r="DQ125" s="228">
        <v>0.52</v>
      </c>
      <c r="DR125" s="228">
        <v>0.46</v>
      </c>
      <c r="DS125" s="228">
        <v>0.06</v>
      </c>
      <c r="DT125" s="229">
        <v>0.13039999999999999</v>
      </c>
      <c r="DU125" s="231">
        <v>3600</v>
      </c>
      <c r="DV125" s="231">
        <v>3450</v>
      </c>
      <c r="DW125" s="228">
        <v>0.4</v>
      </c>
      <c r="DX125" s="228">
        <v>0.45</v>
      </c>
      <c r="DY125" s="228">
        <v>-0.05</v>
      </c>
      <c r="DZ125" s="229">
        <v>-0.1111</v>
      </c>
      <c r="EA125" s="229">
        <v>3.7100000000000001E-2</v>
      </c>
      <c r="EB125" s="230">
        <v>590800</v>
      </c>
      <c r="EC125" s="229">
        <v>5.7000000000000002E-3</v>
      </c>
      <c r="ED125" s="229">
        <v>3.7100000000000001E-2</v>
      </c>
      <c r="EE125" s="228">
        <v>19.02</v>
      </c>
      <c r="EF125" s="229">
        <v>5.3E-3</v>
      </c>
      <c r="EG125" s="230">
        <v>1185724</v>
      </c>
      <c r="EH125" s="230">
        <v>868196</v>
      </c>
      <c r="EI125" s="229">
        <v>0.36570000000000003</v>
      </c>
      <c r="EJ125" s="229">
        <v>0.49270000000000003</v>
      </c>
      <c r="EK125" s="231">
        <v>5387.28</v>
      </c>
      <c r="EL125" s="231">
        <v>2063.83</v>
      </c>
      <c r="EM125" s="228">
        <v>957.02</v>
      </c>
      <c r="EN125" s="228">
        <v>90.4</v>
      </c>
      <c r="EO125" s="231">
        <v>8408.1299999999992</v>
      </c>
      <c r="EP125" s="231">
        <v>3818.34</v>
      </c>
      <c r="EQ125" s="231">
        <v>4589.79</v>
      </c>
      <c r="ER125" s="229">
        <v>1.202</v>
      </c>
      <c r="ES125" s="231">
        <v>2172.94</v>
      </c>
      <c r="ET125" s="231">
        <v>1044.51</v>
      </c>
      <c r="EU125" s="231">
        <v>7020.09</v>
      </c>
      <c r="EV125" s="231">
        <v>100261459</v>
      </c>
      <c r="EW125" s="231">
        <v>10237.540000000001</v>
      </c>
      <c r="EX125" s="231">
        <v>10225.48</v>
      </c>
      <c r="EY125" s="228">
        <v>12.06</v>
      </c>
      <c r="EZ125" s="229">
        <v>1.1999999999999999E-3</v>
      </c>
      <c r="FA125" s="229">
        <v>0.28599999999999998</v>
      </c>
      <c r="FB125" s="227" t="s">
        <v>556</v>
      </c>
      <c r="FC125">
        <f t="shared" si="1"/>
        <v>260</v>
      </c>
    </row>
    <row r="126" spans="1:159" ht="17.25" thickBot="1" x14ac:dyDescent="0.3">
      <c r="A126" s="226">
        <v>45946</v>
      </c>
      <c r="B126" s="227" t="s">
        <v>175</v>
      </c>
      <c r="C126" s="227" t="s">
        <v>253</v>
      </c>
      <c r="D126" s="228">
        <v>3000</v>
      </c>
      <c r="E126" s="228">
        <v>12</v>
      </c>
      <c r="F126" s="228">
        <v>287.3</v>
      </c>
      <c r="G126" s="228">
        <v>289.89999999999998</v>
      </c>
      <c r="H126" s="228">
        <v>-2.6</v>
      </c>
      <c r="I126" s="229">
        <v>-8.9999999999999993E-3</v>
      </c>
      <c r="J126" s="228">
        <v>286.8</v>
      </c>
      <c r="K126" s="228">
        <v>289.10000000000002</v>
      </c>
      <c r="L126" s="228">
        <v>-2.2999999999999998</v>
      </c>
      <c r="M126" s="229">
        <v>-8.0000000000000002E-3</v>
      </c>
      <c r="N126" s="228">
        <v>287.3</v>
      </c>
      <c r="O126" s="228">
        <v>289.89999999999998</v>
      </c>
      <c r="P126" s="228">
        <v>-2.6</v>
      </c>
      <c r="Q126" s="229">
        <v>-8.9999999999999993E-3</v>
      </c>
      <c r="R126" s="228">
        <v>288.75</v>
      </c>
      <c r="S126" s="228">
        <v>291.14999999999998</v>
      </c>
      <c r="T126" s="228">
        <v>-2.4</v>
      </c>
      <c r="U126" s="229">
        <v>-8.2000000000000007E-3</v>
      </c>
      <c r="V126" s="228">
        <v>290.14999999999998</v>
      </c>
      <c r="W126" s="228">
        <v>291.5</v>
      </c>
      <c r="X126" s="228">
        <v>-1.35</v>
      </c>
      <c r="Y126" s="229">
        <v>-4.5999999999999999E-3</v>
      </c>
      <c r="Z126" s="228">
        <v>0.5</v>
      </c>
      <c r="AA126" s="228">
        <v>0.8</v>
      </c>
      <c r="AB126" s="228">
        <v>-0.3</v>
      </c>
      <c r="AC126" s="229">
        <v>1.6999999999999999E-3</v>
      </c>
      <c r="AD126" s="228">
        <v>0.5</v>
      </c>
      <c r="AE126" s="228">
        <v>0.8</v>
      </c>
      <c r="AF126" s="228">
        <v>-0.3</v>
      </c>
      <c r="AG126" s="229">
        <v>1.6999999999999999E-3</v>
      </c>
      <c r="AH126" s="228">
        <v>1.95</v>
      </c>
      <c r="AI126" s="228">
        <v>2.0499999999999998</v>
      </c>
      <c r="AJ126" s="228">
        <v>-0.1</v>
      </c>
      <c r="AK126" s="229">
        <v>6.7999999999999996E-3</v>
      </c>
      <c r="AL126" s="228">
        <v>3.35</v>
      </c>
      <c r="AM126" s="228">
        <v>2.4</v>
      </c>
      <c r="AN126" s="228">
        <v>0.95</v>
      </c>
      <c r="AO126" s="229">
        <v>1.17E-2</v>
      </c>
      <c r="AP126" s="228">
        <v>288.62</v>
      </c>
      <c r="AQ126" s="228">
        <v>290.25</v>
      </c>
      <c r="AR126" s="228">
        <v>0</v>
      </c>
      <c r="AS126" s="228">
        <v>125</v>
      </c>
      <c r="AT126" s="228">
        <v>118</v>
      </c>
      <c r="AU126" s="228">
        <v>8</v>
      </c>
      <c r="AV126" s="229">
        <v>6.4500000000000002E-2</v>
      </c>
      <c r="AW126" s="228">
        <v>106</v>
      </c>
      <c r="AX126" s="228">
        <v>102</v>
      </c>
      <c r="AY126" s="228">
        <v>3</v>
      </c>
      <c r="AZ126" s="229">
        <v>3.1099999999999999E-2</v>
      </c>
      <c r="BA126" s="228">
        <v>18</v>
      </c>
      <c r="BB126" s="228">
        <v>13</v>
      </c>
      <c r="BC126" s="228">
        <v>5</v>
      </c>
      <c r="BD126" s="229">
        <v>0.35899999999999999</v>
      </c>
      <c r="BE126" s="228">
        <v>1</v>
      </c>
      <c r="BF126" s="228">
        <v>2</v>
      </c>
      <c r="BG126" s="228">
        <v>0</v>
      </c>
      <c r="BH126" s="229">
        <v>-0.25</v>
      </c>
      <c r="BI126" s="228">
        <v>380</v>
      </c>
      <c r="BJ126" s="228">
        <v>342</v>
      </c>
      <c r="BK126" s="228">
        <v>39</v>
      </c>
      <c r="BL126" s="229">
        <v>0.11269999999999999</v>
      </c>
      <c r="BM126" s="228">
        <v>113</v>
      </c>
      <c r="BN126" s="228">
        <v>122</v>
      </c>
      <c r="BO126" s="228">
        <v>-9</v>
      </c>
      <c r="BP126" s="229">
        <v>-7.6100000000000001E-2</v>
      </c>
      <c r="BQ126" s="228">
        <v>618</v>
      </c>
      <c r="BR126" s="228">
        <v>582</v>
      </c>
      <c r="BS126" s="228">
        <v>37</v>
      </c>
      <c r="BT126" s="229">
        <v>6.3299999999999995E-2</v>
      </c>
      <c r="BU126" s="230">
        <v>1847779</v>
      </c>
      <c r="BV126" s="230">
        <v>2088467</v>
      </c>
      <c r="BW126" s="230">
        <v>-240688</v>
      </c>
      <c r="BX126" s="229">
        <v>-0.1152</v>
      </c>
      <c r="BY126" s="228">
        <v>803</v>
      </c>
      <c r="BZ126" s="228">
        <v>813</v>
      </c>
      <c r="CA126" s="228">
        <v>-10</v>
      </c>
      <c r="CB126" s="229">
        <v>-1.2200000000000001E-2</v>
      </c>
      <c r="CC126" s="228">
        <v>749</v>
      </c>
      <c r="CD126" s="228">
        <v>767</v>
      </c>
      <c r="CE126" s="228">
        <v>-17</v>
      </c>
      <c r="CF126" s="229">
        <v>-2.2700000000000001E-2</v>
      </c>
      <c r="CG126" s="228">
        <v>48</v>
      </c>
      <c r="CH126" s="228">
        <v>41</v>
      </c>
      <c r="CI126" s="228">
        <v>7</v>
      </c>
      <c r="CJ126" s="229">
        <v>0.1762</v>
      </c>
      <c r="CK126" s="228">
        <v>6</v>
      </c>
      <c r="CL126" s="228">
        <v>6</v>
      </c>
      <c r="CM126" s="228">
        <v>0</v>
      </c>
      <c r="CN126" s="229">
        <v>6.25E-2</v>
      </c>
      <c r="CO126" s="228">
        <v>521</v>
      </c>
      <c r="CP126" s="228">
        <v>461</v>
      </c>
      <c r="CQ126" s="228">
        <v>60</v>
      </c>
      <c r="CR126" s="229">
        <v>0.1298</v>
      </c>
      <c r="CS126" s="228">
        <v>255</v>
      </c>
      <c r="CT126" s="228">
        <v>256</v>
      </c>
      <c r="CU126" s="228">
        <v>-1</v>
      </c>
      <c r="CV126" s="229">
        <v>-3.3999999999999998E-3</v>
      </c>
      <c r="CW126" s="230">
        <v>1579</v>
      </c>
      <c r="CX126" s="230">
        <v>1530</v>
      </c>
      <c r="CY126" s="228">
        <v>49</v>
      </c>
      <c r="CZ126" s="229">
        <v>3.2099999999999997E-2</v>
      </c>
      <c r="DA126" s="228">
        <v>28.28</v>
      </c>
      <c r="DB126" s="228">
        <v>28.56</v>
      </c>
      <c r="DC126" s="228">
        <v>-0.28000000000000003</v>
      </c>
      <c r="DD126" s="228">
        <v>-0.28000000000000003</v>
      </c>
      <c r="DE126" s="228">
        <v>43.26</v>
      </c>
      <c r="DF126" s="228">
        <v>43.36</v>
      </c>
      <c r="DG126" s="228">
        <v>-14.98</v>
      </c>
      <c r="DH126" s="228">
        <v>-0.1</v>
      </c>
      <c r="DI126" s="228">
        <v>28.54</v>
      </c>
      <c r="DJ126" s="228">
        <v>28.81</v>
      </c>
      <c r="DK126" s="228">
        <v>-0.27</v>
      </c>
      <c r="DL126" s="228">
        <v>-0.27</v>
      </c>
      <c r="DM126" s="228">
        <v>27.41</v>
      </c>
      <c r="DN126" s="228">
        <v>27.85</v>
      </c>
      <c r="DO126" s="228">
        <v>-0.44</v>
      </c>
      <c r="DP126" s="228">
        <v>-0.44</v>
      </c>
      <c r="DQ126" s="228">
        <v>0.49</v>
      </c>
      <c r="DR126" s="228">
        <v>0.56000000000000005</v>
      </c>
      <c r="DS126" s="228">
        <v>-7.0000000000000007E-2</v>
      </c>
      <c r="DT126" s="229">
        <v>-0.125</v>
      </c>
      <c r="DU126" s="228">
        <v>320</v>
      </c>
      <c r="DV126" s="228">
        <v>280</v>
      </c>
      <c r="DW126" s="228">
        <v>0.3</v>
      </c>
      <c r="DX126" s="228">
        <v>0.36</v>
      </c>
      <c r="DY126" s="228">
        <v>-0.06</v>
      </c>
      <c r="DZ126" s="229">
        <v>-0.16669999999999999</v>
      </c>
      <c r="EA126" s="229">
        <v>6.6799999999999998E-2</v>
      </c>
      <c r="EB126" s="230">
        <v>1605000</v>
      </c>
      <c r="EC126" s="229">
        <v>5.0000000000000001E-3</v>
      </c>
      <c r="ED126" s="229">
        <v>6.6799999999999998E-2</v>
      </c>
      <c r="EE126" s="228">
        <v>1.63</v>
      </c>
      <c r="EF126" s="229">
        <v>5.5999999999999999E-3</v>
      </c>
      <c r="EG126" s="230">
        <v>896978</v>
      </c>
      <c r="EH126" s="230">
        <v>1050942</v>
      </c>
      <c r="EI126" s="229">
        <v>-0.14649999999999999</v>
      </c>
      <c r="EJ126" s="229">
        <v>0.4854</v>
      </c>
      <c r="EK126" s="228">
        <v>400.41</v>
      </c>
      <c r="EL126" s="228">
        <v>112.35</v>
      </c>
      <c r="EM126" s="228">
        <v>125.83</v>
      </c>
      <c r="EN126" s="228">
        <v>20.260000000000002</v>
      </c>
      <c r="EO126" s="228">
        <v>638.59</v>
      </c>
      <c r="EP126" s="228">
        <v>597.95000000000005</v>
      </c>
      <c r="EQ126" s="228">
        <v>40.64</v>
      </c>
      <c r="ER126" s="229">
        <v>6.8000000000000005E-2</v>
      </c>
      <c r="ES126" s="228">
        <v>547.58000000000004</v>
      </c>
      <c r="ET126" s="228">
        <v>244.94</v>
      </c>
      <c r="EU126" s="228">
        <v>803.25</v>
      </c>
      <c r="EV126" s="231">
        <v>82205057</v>
      </c>
      <c r="EW126" s="231">
        <v>1595.77</v>
      </c>
      <c r="EX126" s="231">
        <v>1548.84</v>
      </c>
      <c r="EY126" s="228">
        <v>46.93</v>
      </c>
      <c r="EZ126" s="229">
        <v>3.0300000000000001E-2</v>
      </c>
      <c r="FA126" s="229">
        <v>0.66849999999999998</v>
      </c>
      <c r="FB126" s="227" t="s">
        <v>568</v>
      </c>
      <c r="FC126">
        <f t="shared" si="1"/>
        <v>54</v>
      </c>
    </row>
    <row r="127" spans="1:159" ht="17.25" thickBot="1" x14ac:dyDescent="0.3">
      <c r="A127" s="226">
        <v>45946</v>
      </c>
      <c r="B127" s="227" t="s">
        <v>170</v>
      </c>
      <c r="C127" s="227" t="s">
        <v>673</v>
      </c>
      <c r="D127" s="228">
        <v>225</v>
      </c>
      <c r="E127" s="228">
        <v>12</v>
      </c>
      <c r="F127" s="231">
        <v>2462</v>
      </c>
      <c r="G127" s="231">
        <v>2443.1</v>
      </c>
      <c r="H127" s="228">
        <v>18.899999999999999</v>
      </c>
      <c r="I127" s="229">
        <v>7.7000000000000002E-3</v>
      </c>
      <c r="J127" s="231">
        <v>2455.3000000000002</v>
      </c>
      <c r="K127" s="231">
        <v>2445.6999999999998</v>
      </c>
      <c r="L127" s="228">
        <v>9.6</v>
      </c>
      <c r="M127" s="229">
        <v>3.8999999999999998E-3</v>
      </c>
      <c r="N127" s="231">
        <v>2462</v>
      </c>
      <c r="O127" s="231">
        <v>2443.1</v>
      </c>
      <c r="P127" s="228">
        <v>18.899999999999999</v>
      </c>
      <c r="Q127" s="229">
        <v>7.7000000000000002E-3</v>
      </c>
      <c r="R127" s="231">
        <v>2470.6</v>
      </c>
      <c r="S127" s="231">
        <v>2449.6999999999998</v>
      </c>
      <c r="T127" s="228">
        <v>20.9</v>
      </c>
      <c r="U127" s="229">
        <v>8.5000000000000006E-3</v>
      </c>
      <c r="V127" s="231">
        <v>2482.8000000000002</v>
      </c>
      <c r="W127" s="231">
        <v>2462.5</v>
      </c>
      <c r="X127" s="228">
        <v>20.3</v>
      </c>
      <c r="Y127" s="229">
        <v>8.2000000000000007E-3</v>
      </c>
      <c r="Z127" s="228">
        <v>6.7</v>
      </c>
      <c r="AA127" s="228">
        <v>-2.6</v>
      </c>
      <c r="AB127" s="228">
        <v>9.3000000000000007</v>
      </c>
      <c r="AC127" s="229">
        <v>2.7000000000000001E-3</v>
      </c>
      <c r="AD127" s="228">
        <v>6.7</v>
      </c>
      <c r="AE127" s="228">
        <v>-2.6</v>
      </c>
      <c r="AF127" s="228">
        <v>9.3000000000000007</v>
      </c>
      <c r="AG127" s="229">
        <v>2.7000000000000001E-3</v>
      </c>
      <c r="AH127" s="228">
        <v>15.3</v>
      </c>
      <c r="AI127" s="228">
        <v>4</v>
      </c>
      <c r="AJ127" s="228">
        <v>11.3</v>
      </c>
      <c r="AK127" s="229">
        <v>6.1999999999999998E-3</v>
      </c>
      <c r="AL127" s="228">
        <v>27.5</v>
      </c>
      <c r="AM127" s="228">
        <v>16.8</v>
      </c>
      <c r="AN127" s="228">
        <v>10.7</v>
      </c>
      <c r="AO127" s="229">
        <v>1.12E-2</v>
      </c>
      <c r="AP127" s="231">
        <v>2459.33</v>
      </c>
      <c r="AQ127" s="231">
        <v>2466.2800000000002</v>
      </c>
      <c r="AR127" s="228">
        <v>0</v>
      </c>
      <c r="AS127" s="228">
        <v>115</v>
      </c>
      <c r="AT127" s="228">
        <v>107</v>
      </c>
      <c r="AU127" s="228">
        <v>7</v>
      </c>
      <c r="AV127" s="229">
        <v>6.9800000000000001E-2</v>
      </c>
      <c r="AW127" s="228">
        <v>107</v>
      </c>
      <c r="AX127" s="228">
        <v>99</v>
      </c>
      <c r="AY127" s="228">
        <v>8</v>
      </c>
      <c r="AZ127" s="229">
        <v>7.8899999999999998E-2</v>
      </c>
      <c r="BA127" s="228">
        <v>7</v>
      </c>
      <c r="BB127" s="228">
        <v>8</v>
      </c>
      <c r="BC127" s="228">
        <v>-1</v>
      </c>
      <c r="BD127" s="229">
        <v>-9.8599999999999993E-2</v>
      </c>
      <c r="BE127" s="228">
        <v>1</v>
      </c>
      <c r="BF127" s="228">
        <v>0</v>
      </c>
      <c r="BG127" s="228">
        <v>0</v>
      </c>
      <c r="BH127" s="229">
        <v>1.6</v>
      </c>
      <c r="BI127" s="228">
        <v>121</v>
      </c>
      <c r="BJ127" s="228">
        <v>172</v>
      </c>
      <c r="BK127" s="228">
        <v>-51</v>
      </c>
      <c r="BL127" s="229">
        <v>-0.29880000000000001</v>
      </c>
      <c r="BM127" s="228">
        <v>32</v>
      </c>
      <c r="BN127" s="228">
        <v>55</v>
      </c>
      <c r="BO127" s="228">
        <v>-23</v>
      </c>
      <c r="BP127" s="229">
        <v>-0.42659999999999998</v>
      </c>
      <c r="BQ127" s="228">
        <v>267</v>
      </c>
      <c r="BR127" s="228">
        <v>334</v>
      </c>
      <c r="BS127" s="228">
        <v>-67</v>
      </c>
      <c r="BT127" s="229">
        <v>-0.20169999999999999</v>
      </c>
      <c r="BU127" s="230">
        <v>446643</v>
      </c>
      <c r="BV127" s="230">
        <v>506104</v>
      </c>
      <c r="BW127" s="230">
        <v>-59461</v>
      </c>
      <c r="BX127" s="229">
        <v>-0.11749999999999999</v>
      </c>
      <c r="BY127" s="228">
        <v>417</v>
      </c>
      <c r="BZ127" s="228">
        <v>417</v>
      </c>
      <c r="CA127" s="228">
        <v>0</v>
      </c>
      <c r="CB127" s="229">
        <v>1.1000000000000001E-3</v>
      </c>
      <c r="CC127" s="228">
        <v>395</v>
      </c>
      <c r="CD127" s="228">
        <v>396</v>
      </c>
      <c r="CE127" s="228">
        <v>-1</v>
      </c>
      <c r="CF127" s="229">
        <v>-1.6999999999999999E-3</v>
      </c>
      <c r="CG127" s="228">
        <v>19</v>
      </c>
      <c r="CH127" s="228">
        <v>18</v>
      </c>
      <c r="CI127" s="228">
        <v>1</v>
      </c>
      <c r="CJ127" s="229">
        <v>5.7099999999999998E-2</v>
      </c>
      <c r="CK127" s="228">
        <v>2</v>
      </c>
      <c r="CL127" s="228">
        <v>2</v>
      </c>
      <c r="CM127" s="228">
        <v>0</v>
      </c>
      <c r="CN127" s="229">
        <v>2.3800000000000002E-2</v>
      </c>
      <c r="CO127" s="228">
        <v>243</v>
      </c>
      <c r="CP127" s="228">
        <v>250</v>
      </c>
      <c r="CQ127" s="228">
        <v>-7</v>
      </c>
      <c r="CR127" s="229">
        <v>-2.6200000000000001E-2</v>
      </c>
      <c r="CS127" s="228">
        <v>105</v>
      </c>
      <c r="CT127" s="228">
        <v>105</v>
      </c>
      <c r="CU127" s="228">
        <v>0</v>
      </c>
      <c r="CV127" s="229">
        <v>-1.1000000000000001E-3</v>
      </c>
      <c r="CW127" s="228">
        <v>766</v>
      </c>
      <c r="CX127" s="228">
        <v>772</v>
      </c>
      <c r="CY127" s="228">
        <v>-6</v>
      </c>
      <c r="CZ127" s="229">
        <v>-8.0000000000000002E-3</v>
      </c>
      <c r="DA127" s="228">
        <v>29.17</v>
      </c>
      <c r="DB127" s="228">
        <v>30.6</v>
      </c>
      <c r="DC127" s="228">
        <v>-1.43</v>
      </c>
      <c r="DD127" s="228">
        <v>-1.43</v>
      </c>
      <c r="DE127" s="228">
        <v>34.450000000000003</v>
      </c>
      <c r="DF127" s="228">
        <v>34.53</v>
      </c>
      <c r="DG127" s="228">
        <v>-5.28</v>
      </c>
      <c r="DH127" s="228">
        <v>-0.08</v>
      </c>
      <c r="DI127" s="228">
        <v>29.31</v>
      </c>
      <c r="DJ127" s="228">
        <v>31.15</v>
      </c>
      <c r="DK127" s="228">
        <v>-1.84</v>
      </c>
      <c r="DL127" s="228">
        <v>-1.84</v>
      </c>
      <c r="DM127" s="228">
        <v>28.63</v>
      </c>
      <c r="DN127" s="228">
        <v>28.87</v>
      </c>
      <c r="DO127" s="228">
        <v>-0.24</v>
      </c>
      <c r="DP127" s="228">
        <v>-0.24</v>
      </c>
      <c r="DQ127" s="228">
        <v>0.43</v>
      </c>
      <c r="DR127" s="228">
        <v>0.42</v>
      </c>
      <c r="DS127" s="228">
        <v>0.01</v>
      </c>
      <c r="DT127" s="229">
        <v>2.3800000000000002E-2</v>
      </c>
      <c r="DU127" s="231">
        <v>2600</v>
      </c>
      <c r="DV127" s="231">
        <v>2400</v>
      </c>
      <c r="DW127" s="228">
        <v>0.26</v>
      </c>
      <c r="DX127" s="228">
        <v>0.32</v>
      </c>
      <c r="DY127" s="228">
        <v>-0.06</v>
      </c>
      <c r="DZ127" s="229">
        <v>-0.1875</v>
      </c>
      <c r="EA127" s="229">
        <v>5.2400000000000002E-2</v>
      </c>
      <c r="EB127" s="230">
        <v>84375</v>
      </c>
      <c r="EC127" s="229">
        <v>3.5000000000000001E-3</v>
      </c>
      <c r="ED127" s="229">
        <v>5.2400000000000002E-2</v>
      </c>
      <c r="EE127" s="228">
        <v>6.95</v>
      </c>
      <c r="EF127" s="229">
        <v>2.8E-3</v>
      </c>
      <c r="EG127" s="230">
        <v>265502</v>
      </c>
      <c r="EH127" s="230">
        <v>311170</v>
      </c>
      <c r="EI127" s="229">
        <v>-0.14680000000000001</v>
      </c>
      <c r="EJ127" s="229">
        <v>0.59440000000000004</v>
      </c>
      <c r="EK127" s="228">
        <v>126.6</v>
      </c>
      <c r="EL127" s="228">
        <v>30.59</v>
      </c>
      <c r="EM127" s="228">
        <v>114.46</v>
      </c>
      <c r="EN127" s="228">
        <v>17</v>
      </c>
      <c r="EO127" s="228">
        <v>271.64999999999998</v>
      </c>
      <c r="EP127" s="228">
        <v>340.64</v>
      </c>
      <c r="EQ127" s="228">
        <v>-69</v>
      </c>
      <c r="ER127" s="229">
        <v>-0.20250000000000001</v>
      </c>
      <c r="ES127" s="228">
        <v>258</v>
      </c>
      <c r="ET127" s="228">
        <v>102.09</v>
      </c>
      <c r="EU127" s="228">
        <v>417.43</v>
      </c>
      <c r="EV127" s="231">
        <v>16915220</v>
      </c>
      <c r="EW127" s="228">
        <v>777.53</v>
      </c>
      <c r="EX127" s="228">
        <v>780.67</v>
      </c>
      <c r="EY127" s="228">
        <v>-3.14</v>
      </c>
      <c r="EZ127" s="229">
        <v>-4.0000000000000001E-3</v>
      </c>
      <c r="FA127" s="229">
        <v>0.18390000000000001</v>
      </c>
      <c r="FB127" s="227" t="s">
        <v>555</v>
      </c>
      <c r="FC127">
        <f t="shared" si="1"/>
        <v>22</v>
      </c>
    </row>
    <row r="128" spans="1:159" ht="17.25" thickBot="1" x14ac:dyDescent="0.3">
      <c r="A128" s="226">
        <v>45946</v>
      </c>
      <c r="B128" s="227" t="s">
        <v>168</v>
      </c>
      <c r="C128" s="227" t="s">
        <v>254</v>
      </c>
      <c r="D128" s="228">
        <v>1200</v>
      </c>
      <c r="E128" s="228">
        <v>12</v>
      </c>
      <c r="F128" s="228">
        <v>726.7</v>
      </c>
      <c r="G128" s="228">
        <v>710.45</v>
      </c>
      <c r="H128" s="228">
        <v>16.25</v>
      </c>
      <c r="I128" s="229">
        <v>2.29E-2</v>
      </c>
      <c r="J128" s="228">
        <v>725.7</v>
      </c>
      <c r="K128" s="228">
        <v>710.2</v>
      </c>
      <c r="L128" s="228">
        <v>15.5</v>
      </c>
      <c r="M128" s="229">
        <v>2.18E-2</v>
      </c>
      <c r="N128" s="228">
        <v>726.7</v>
      </c>
      <c r="O128" s="228">
        <v>710.45</v>
      </c>
      <c r="P128" s="228">
        <v>16.25</v>
      </c>
      <c r="Q128" s="229">
        <v>2.29E-2</v>
      </c>
      <c r="R128" s="228">
        <v>729.85</v>
      </c>
      <c r="S128" s="228">
        <v>713.5</v>
      </c>
      <c r="T128" s="228">
        <v>16.350000000000001</v>
      </c>
      <c r="U128" s="229">
        <v>2.29E-2</v>
      </c>
      <c r="V128" s="228">
        <v>731.7</v>
      </c>
      <c r="W128" s="228">
        <v>715.35</v>
      </c>
      <c r="X128" s="228">
        <v>16.350000000000001</v>
      </c>
      <c r="Y128" s="229">
        <v>2.29E-2</v>
      </c>
      <c r="Z128" s="228">
        <v>1</v>
      </c>
      <c r="AA128" s="228">
        <v>0.25</v>
      </c>
      <c r="AB128" s="228">
        <v>0.75</v>
      </c>
      <c r="AC128" s="229">
        <v>1.4E-3</v>
      </c>
      <c r="AD128" s="228">
        <v>1</v>
      </c>
      <c r="AE128" s="228">
        <v>0.25</v>
      </c>
      <c r="AF128" s="228">
        <v>0.75</v>
      </c>
      <c r="AG128" s="229">
        <v>1.4E-3</v>
      </c>
      <c r="AH128" s="228">
        <v>4.1500000000000004</v>
      </c>
      <c r="AI128" s="228">
        <v>3.3</v>
      </c>
      <c r="AJ128" s="228">
        <v>0.85</v>
      </c>
      <c r="AK128" s="229">
        <v>5.7000000000000002E-3</v>
      </c>
      <c r="AL128" s="228">
        <v>6</v>
      </c>
      <c r="AM128" s="228">
        <v>5.15</v>
      </c>
      <c r="AN128" s="228">
        <v>0.85</v>
      </c>
      <c r="AO128" s="229">
        <v>8.3000000000000001E-3</v>
      </c>
      <c r="AP128" s="228">
        <v>721.11</v>
      </c>
      <c r="AQ128" s="228">
        <v>724.18</v>
      </c>
      <c r="AR128" s="228">
        <v>0</v>
      </c>
      <c r="AS128" s="228">
        <v>173</v>
      </c>
      <c r="AT128" s="228">
        <v>106</v>
      </c>
      <c r="AU128" s="228">
        <v>67</v>
      </c>
      <c r="AV128" s="229">
        <v>0.63</v>
      </c>
      <c r="AW128" s="228">
        <v>159</v>
      </c>
      <c r="AX128" s="228">
        <v>100</v>
      </c>
      <c r="AY128" s="228">
        <v>59</v>
      </c>
      <c r="AZ128" s="229">
        <v>0.58399999999999996</v>
      </c>
      <c r="BA128" s="228">
        <v>14</v>
      </c>
      <c r="BB128" s="228">
        <v>6</v>
      </c>
      <c r="BC128" s="228">
        <v>8</v>
      </c>
      <c r="BD128" s="229">
        <v>1.4241999999999999</v>
      </c>
      <c r="BE128" s="228">
        <v>1</v>
      </c>
      <c r="BF128" s="228">
        <v>0</v>
      </c>
      <c r="BG128" s="228">
        <v>0</v>
      </c>
      <c r="BH128" s="229">
        <v>0.75</v>
      </c>
      <c r="BI128" s="228">
        <v>631</v>
      </c>
      <c r="BJ128" s="228">
        <v>252</v>
      </c>
      <c r="BK128" s="228">
        <v>379</v>
      </c>
      <c r="BL128" s="229">
        <v>1.5014000000000001</v>
      </c>
      <c r="BM128" s="228">
        <v>184</v>
      </c>
      <c r="BN128" s="228">
        <v>109</v>
      </c>
      <c r="BO128" s="228">
        <v>75</v>
      </c>
      <c r="BP128" s="229">
        <v>0.69259999999999999</v>
      </c>
      <c r="BQ128" s="228">
        <v>988</v>
      </c>
      <c r="BR128" s="228">
        <v>467</v>
      </c>
      <c r="BS128" s="228">
        <v>521</v>
      </c>
      <c r="BT128" s="229">
        <v>1.1151</v>
      </c>
      <c r="BU128" s="230">
        <v>1218636</v>
      </c>
      <c r="BV128" s="230">
        <v>2967552</v>
      </c>
      <c r="BW128" s="230">
        <v>-1748916</v>
      </c>
      <c r="BX128" s="229">
        <v>-0.58930000000000005</v>
      </c>
      <c r="BY128" s="230">
        <v>2004</v>
      </c>
      <c r="BZ128" s="230">
        <v>2014</v>
      </c>
      <c r="CA128" s="228">
        <v>-10</v>
      </c>
      <c r="CB128" s="229">
        <v>-5.0000000000000001E-3</v>
      </c>
      <c r="CC128" s="230">
        <v>1989</v>
      </c>
      <c r="CD128" s="230">
        <v>2001</v>
      </c>
      <c r="CE128" s="228">
        <v>-12</v>
      </c>
      <c r="CF128" s="229">
        <v>-5.7999999999999996E-3</v>
      </c>
      <c r="CG128" s="228">
        <v>14</v>
      </c>
      <c r="CH128" s="228">
        <v>13</v>
      </c>
      <c r="CI128" s="228">
        <v>1</v>
      </c>
      <c r="CJ128" s="229">
        <v>0.10199999999999999</v>
      </c>
      <c r="CK128" s="228">
        <v>1</v>
      </c>
      <c r="CL128" s="228">
        <v>0</v>
      </c>
      <c r="CM128" s="228">
        <v>0</v>
      </c>
      <c r="CN128" s="229">
        <v>1</v>
      </c>
      <c r="CO128" s="228">
        <v>271</v>
      </c>
      <c r="CP128" s="228">
        <v>282</v>
      </c>
      <c r="CQ128" s="228">
        <v>-11</v>
      </c>
      <c r="CR128" s="229">
        <v>-3.7699999999999997E-2</v>
      </c>
      <c r="CS128" s="228">
        <v>172</v>
      </c>
      <c r="CT128" s="228">
        <v>167</v>
      </c>
      <c r="CU128" s="228">
        <v>5</v>
      </c>
      <c r="CV128" s="229">
        <v>3.1300000000000001E-2</v>
      </c>
      <c r="CW128" s="230">
        <v>2447</v>
      </c>
      <c r="CX128" s="230">
        <v>2463</v>
      </c>
      <c r="CY128" s="228">
        <v>-15</v>
      </c>
      <c r="CZ128" s="229">
        <v>-6.3E-3</v>
      </c>
      <c r="DA128" s="228">
        <v>19.579999999999998</v>
      </c>
      <c r="DB128" s="228">
        <v>19.14</v>
      </c>
      <c r="DC128" s="228">
        <v>0.44</v>
      </c>
      <c r="DD128" s="228">
        <v>0.44</v>
      </c>
      <c r="DE128" s="228">
        <v>25.84</v>
      </c>
      <c r="DF128" s="228">
        <v>25.74</v>
      </c>
      <c r="DG128" s="228">
        <v>-6.26</v>
      </c>
      <c r="DH128" s="228">
        <v>0.1</v>
      </c>
      <c r="DI128" s="228">
        <v>19.3</v>
      </c>
      <c r="DJ128" s="228">
        <v>19.11</v>
      </c>
      <c r="DK128" s="228">
        <v>0.19</v>
      </c>
      <c r="DL128" s="228">
        <v>0.19</v>
      </c>
      <c r="DM128" s="228">
        <v>20.53</v>
      </c>
      <c r="DN128" s="228">
        <v>19.2</v>
      </c>
      <c r="DO128" s="228">
        <v>1.33</v>
      </c>
      <c r="DP128" s="228">
        <v>1.33</v>
      </c>
      <c r="DQ128" s="228">
        <v>0.64</v>
      </c>
      <c r="DR128" s="228">
        <v>0.59</v>
      </c>
      <c r="DS128" s="228">
        <v>0.05</v>
      </c>
      <c r="DT128" s="229">
        <v>8.4699999999999998E-2</v>
      </c>
      <c r="DU128" s="228">
        <v>720</v>
      </c>
      <c r="DV128" s="228">
        <v>680</v>
      </c>
      <c r="DW128" s="228">
        <v>0.28999999999999998</v>
      </c>
      <c r="DX128" s="228">
        <v>0.43</v>
      </c>
      <c r="DY128" s="228">
        <v>-0.14000000000000001</v>
      </c>
      <c r="DZ128" s="229">
        <v>-0.3256</v>
      </c>
      <c r="EA128" s="229">
        <v>7.4000000000000003E-3</v>
      </c>
      <c r="EB128" s="230">
        <v>181200</v>
      </c>
      <c r="EC128" s="229">
        <v>4.3E-3</v>
      </c>
      <c r="ED128" s="229">
        <v>7.4000000000000003E-3</v>
      </c>
      <c r="EE128" s="228">
        <v>3.07</v>
      </c>
      <c r="EF128" s="229">
        <v>4.3E-3</v>
      </c>
      <c r="EG128" s="230">
        <v>770726</v>
      </c>
      <c r="EH128" s="230">
        <v>2647016</v>
      </c>
      <c r="EI128" s="229">
        <v>-0.70879999999999999</v>
      </c>
      <c r="EJ128" s="229">
        <v>0.63239999999999996</v>
      </c>
      <c r="EK128" s="228">
        <v>640.48</v>
      </c>
      <c r="EL128" s="228">
        <v>179.68</v>
      </c>
      <c r="EM128" s="228">
        <v>172</v>
      </c>
      <c r="EN128" s="228">
        <v>13.01</v>
      </c>
      <c r="EO128" s="228">
        <v>992.17</v>
      </c>
      <c r="EP128" s="228">
        <v>464.35</v>
      </c>
      <c r="EQ128" s="228">
        <v>527.82000000000005</v>
      </c>
      <c r="ER128" s="229">
        <v>1.1367</v>
      </c>
      <c r="ES128" s="228">
        <v>276.48</v>
      </c>
      <c r="ET128" s="228">
        <v>163.96</v>
      </c>
      <c r="EU128" s="231">
        <v>2003.75</v>
      </c>
      <c r="EV128" s="231">
        <v>79408529</v>
      </c>
      <c r="EW128" s="231">
        <v>2444.19</v>
      </c>
      <c r="EX128" s="231">
        <v>2413.98</v>
      </c>
      <c r="EY128" s="228">
        <v>30.21</v>
      </c>
      <c r="EZ128" s="229">
        <v>1.2500000000000001E-2</v>
      </c>
      <c r="FA128" s="229">
        <v>0.42409999999999998</v>
      </c>
      <c r="FB128" s="227" t="s">
        <v>556</v>
      </c>
      <c r="FC128">
        <f t="shared" si="1"/>
        <v>15</v>
      </c>
    </row>
    <row r="129" spans="1:159" ht="17.25" thickBot="1" x14ac:dyDescent="0.3">
      <c r="A129" s="226">
        <v>45946</v>
      </c>
      <c r="B129" s="227" t="s">
        <v>162</v>
      </c>
      <c r="C129" s="227" t="s">
        <v>255</v>
      </c>
      <c r="D129" s="228">
        <v>50</v>
      </c>
      <c r="E129" s="228">
        <v>12</v>
      </c>
      <c r="F129" s="231">
        <v>16354</v>
      </c>
      <c r="G129" s="231">
        <v>16273</v>
      </c>
      <c r="H129" s="228">
        <v>81</v>
      </c>
      <c r="I129" s="229">
        <v>5.0000000000000001E-3</v>
      </c>
      <c r="J129" s="231">
        <v>16298</v>
      </c>
      <c r="K129" s="231">
        <v>16212</v>
      </c>
      <c r="L129" s="228">
        <v>86</v>
      </c>
      <c r="M129" s="229">
        <v>5.3E-3</v>
      </c>
      <c r="N129" s="231">
        <v>16354</v>
      </c>
      <c r="O129" s="231">
        <v>16273</v>
      </c>
      <c r="P129" s="228">
        <v>81</v>
      </c>
      <c r="Q129" s="229">
        <v>5.0000000000000001E-3</v>
      </c>
      <c r="R129" s="231">
        <v>16446</v>
      </c>
      <c r="S129" s="231">
        <v>16357</v>
      </c>
      <c r="T129" s="228">
        <v>89</v>
      </c>
      <c r="U129" s="229">
        <v>5.4000000000000003E-3</v>
      </c>
      <c r="V129" s="231">
        <v>16536</v>
      </c>
      <c r="W129" s="231">
        <v>16458</v>
      </c>
      <c r="X129" s="228">
        <v>78</v>
      </c>
      <c r="Y129" s="229">
        <v>4.7000000000000002E-3</v>
      </c>
      <c r="Z129" s="228">
        <v>56</v>
      </c>
      <c r="AA129" s="228">
        <v>61</v>
      </c>
      <c r="AB129" s="228">
        <v>-5</v>
      </c>
      <c r="AC129" s="229">
        <v>3.3999999999999998E-3</v>
      </c>
      <c r="AD129" s="228">
        <v>56</v>
      </c>
      <c r="AE129" s="228">
        <v>61</v>
      </c>
      <c r="AF129" s="228">
        <v>-5</v>
      </c>
      <c r="AG129" s="229">
        <v>3.3999999999999998E-3</v>
      </c>
      <c r="AH129" s="228">
        <v>148</v>
      </c>
      <c r="AI129" s="228">
        <v>145</v>
      </c>
      <c r="AJ129" s="228">
        <v>3</v>
      </c>
      <c r="AK129" s="229">
        <v>9.1000000000000004E-3</v>
      </c>
      <c r="AL129" s="228">
        <v>238</v>
      </c>
      <c r="AM129" s="228">
        <v>246</v>
      </c>
      <c r="AN129" s="228">
        <v>-8</v>
      </c>
      <c r="AO129" s="229">
        <v>1.46E-2</v>
      </c>
      <c r="AP129" s="231">
        <v>16336.88</v>
      </c>
      <c r="AQ129" s="231">
        <v>16432.169999999998</v>
      </c>
      <c r="AR129" s="228">
        <v>0</v>
      </c>
      <c r="AS129" s="228">
        <v>611</v>
      </c>
      <c r="AT129" s="228">
        <v>634</v>
      </c>
      <c r="AU129" s="228">
        <v>-23</v>
      </c>
      <c r="AV129" s="229">
        <v>-3.6200000000000003E-2</v>
      </c>
      <c r="AW129" s="228">
        <v>526</v>
      </c>
      <c r="AX129" s="228">
        <v>557</v>
      </c>
      <c r="AY129" s="228">
        <v>-32</v>
      </c>
      <c r="AZ129" s="229">
        <v>-5.6899999999999999E-2</v>
      </c>
      <c r="BA129" s="228">
        <v>81</v>
      </c>
      <c r="BB129" s="228">
        <v>70</v>
      </c>
      <c r="BC129" s="228">
        <v>11</v>
      </c>
      <c r="BD129" s="229">
        <v>0.15579999999999999</v>
      </c>
      <c r="BE129" s="228">
        <v>4</v>
      </c>
      <c r="BF129" s="228">
        <v>6</v>
      </c>
      <c r="BG129" s="228">
        <v>-2</v>
      </c>
      <c r="BH129" s="229">
        <v>-0.34620000000000001</v>
      </c>
      <c r="BI129" s="230">
        <v>4253</v>
      </c>
      <c r="BJ129" s="230">
        <v>4961</v>
      </c>
      <c r="BK129" s="228">
        <v>-708</v>
      </c>
      <c r="BL129" s="229">
        <v>-0.14269999999999999</v>
      </c>
      <c r="BM129" s="230">
        <v>2314</v>
      </c>
      <c r="BN129" s="230">
        <v>3444</v>
      </c>
      <c r="BO129" s="230">
        <v>-1129</v>
      </c>
      <c r="BP129" s="229">
        <v>-0.32800000000000001</v>
      </c>
      <c r="BQ129" s="230">
        <v>7178</v>
      </c>
      <c r="BR129" s="230">
        <v>9039</v>
      </c>
      <c r="BS129" s="230">
        <v>-1860</v>
      </c>
      <c r="BT129" s="229">
        <v>-0.20580000000000001</v>
      </c>
      <c r="BU129" s="230">
        <v>291439</v>
      </c>
      <c r="BV129" s="230">
        <v>271764</v>
      </c>
      <c r="BW129" s="230">
        <v>19675</v>
      </c>
      <c r="BX129" s="229">
        <v>7.2400000000000006E-2</v>
      </c>
      <c r="BY129" s="230">
        <v>4613</v>
      </c>
      <c r="BZ129" s="230">
        <v>4623</v>
      </c>
      <c r="CA129" s="228">
        <v>-10</v>
      </c>
      <c r="CB129" s="229">
        <v>-2.0999999999999999E-3</v>
      </c>
      <c r="CC129" s="230">
        <v>4357</v>
      </c>
      <c r="CD129" s="230">
        <v>4408</v>
      </c>
      <c r="CE129" s="228">
        <v>-51</v>
      </c>
      <c r="CF129" s="229">
        <v>-1.1599999999999999E-2</v>
      </c>
      <c r="CG129" s="228">
        <v>224</v>
      </c>
      <c r="CH129" s="228">
        <v>183</v>
      </c>
      <c r="CI129" s="228">
        <v>41</v>
      </c>
      <c r="CJ129" s="229">
        <v>0.22550000000000001</v>
      </c>
      <c r="CK129" s="228">
        <v>32</v>
      </c>
      <c r="CL129" s="228">
        <v>32</v>
      </c>
      <c r="CM129" s="228">
        <v>0</v>
      </c>
      <c r="CN129" s="229">
        <v>1.03E-2</v>
      </c>
      <c r="CO129" s="230">
        <v>5001</v>
      </c>
      <c r="CP129" s="230">
        <v>5203</v>
      </c>
      <c r="CQ129" s="228">
        <v>-201</v>
      </c>
      <c r="CR129" s="229">
        <v>-3.8699999999999998E-2</v>
      </c>
      <c r="CS129" s="230">
        <v>2913</v>
      </c>
      <c r="CT129" s="230">
        <v>2848</v>
      </c>
      <c r="CU129" s="228">
        <v>66</v>
      </c>
      <c r="CV129" s="229">
        <v>2.3099999999999999E-2</v>
      </c>
      <c r="CW129" s="230">
        <v>12527</v>
      </c>
      <c r="CX129" s="230">
        <v>12673</v>
      </c>
      <c r="CY129" s="228">
        <v>-146</v>
      </c>
      <c r="CZ129" s="229">
        <v>-1.15E-2</v>
      </c>
      <c r="DA129" s="228">
        <v>18.899999999999999</v>
      </c>
      <c r="DB129" s="228">
        <v>19.72</v>
      </c>
      <c r="DC129" s="228">
        <v>-0.82</v>
      </c>
      <c r="DD129" s="228">
        <v>-0.82</v>
      </c>
      <c r="DE129" s="228">
        <v>25.73</v>
      </c>
      <c r="DF129" s="228">
        <v>25.78</v>
      </c>
      <c r="DG129" s="228">
        <v>-6.83</v>
      </c>
      <c r="DH129" s="228">
        <v>-0.05</v>
      </c>
      <c r="DI129" s="228">
        <v>18.600000000000001</v>
      </c>
      <c r="DJ129" s="228">
        <v>19.600000000000001</v>
      </c>
      <c r="DK129" s="228">
        <v>-1</v>
      </c>
      <c r="DL129" s="228">
        <v>-1</v>
      </c>
      <c r="DM129" s="228">
        <v>19.47</v>
      </c>
      <c r="DN129" s="228">
        <v>19.88</v>
      </c>
      <c r="DO129" s="228">
        <v>-0.41</v>
      </c>
      <c r="DP129" s="228">
        <v>-0.41</v>
      </c>
      <c r="DQ129" s="228">
        <v>0.57999999999999996</v>
      </c>
      <c r="DR129" s="228">
        <v>0.55000000000000004</v>
      </c>
      <c r="DS129" s="228">
        <v>0.03</v>
      </c>
      <c r="DT129" s="229">
        <v>5.45E-2</v>
      </c>
      <c r="DU129" s="231">
        <v>17000</v>
      </c>
      <c r="DV129" s="231">
        <v>15000</v>
      </c>
      <c r="DW129" s="228">
        <v>0.54</v>
      </c>
      <c r="DX129" s="228">
        <v>0.69</v>
      </c>
      <c r="DY129" s="228">
        <v>-0.15</v>
      </c>
      <c r="DZ129" s="229">
        <v>-0.21740000000000001</v>
      </c>
      <c r="EA129" s="229">
        <v>5.5599999999999997E-2</v>
      </c>
      <c r="EB129" s="230">
        <v>131300</v>
      </c>
      <c r="EC129" s="229">
        <v>5.5999999999999999E-3</v>
      </c>
      <c r="ED129" s="229">
        <v>5.5599999999999997E-2</v>
      </c>
      <c r="EE129" s="228">
        <v>95.29</v>
      </c>
      <c r="EF129" s="229">
        <v>5.7999999999999996E-3</v>
      </c>
      <c r="EG129" s="230">
        <v>170211</v>
      </c>
      <c r="EH129" s="230">
        <v>166692</v>
      </c>
      <c r="EI129" s="229">
        <v>2.1100000000000001E-2</v>
      </c>
      <c r="EJ129" s="229">
        <v>0.58399999999999996</v>
      </c>
      <c r="EK129" s="231">
        <v>4372.6099999999997</v>
      </c>
      <c r="EL129" s="231">
        <v>2266.52</v>
      </c>
      <c r="EM129" s="228">
        <v>610.87</v>
      </c>
      <c r="EN129" s="228">
        <v>113.28</v>
      </c>
      <c r="EO129" s="231">
        <v>7250</v>
      </c>
      <c r="EP129" s="231">
        <v>9108</v>
      </c>
      <c r="EQ129" s="231">
        <v>-1858</v>
      </c>
      <c r="ER129" s="229">
        <v>-0.20399999999999999</v>
      </c>
      <c r="ES129" s="231">
        <v>5119.51</v>
      </c>
      <c r="ET129" s="231">
        <v>2747.5</v>
      </c>
      <c r="EU129" s="231">
        <v>4614.59</v>
      </c>
      <c r="EV129" s="231">
        <v>16752897</v>
      </c>
      <c r="EW129" s="231">
        <v>12481.6</v>
      </c>
      <c r="EX129" s="231">
        <v>12609.35</v>
      </c>
      <c r="EY129" s="228">
        <v>-127.75</v>
      </c>
      <c r="EZ129" s="229">
        <v>-1.01E-2</v>
      </c>
      <c r="FA129" s="229">
        <v>0.4572</v>
      </c>
      <c r="FB129" s="227" t="s">
        <v>556</v>
      </c>
      <c r="FC129">
        <f t="shared" si="1"/>
        <v>256</v>
      </c>
    </row>
    <row r="130" spans="1:159" ht="17.25" thickBot="1" x14ac:dyDescent="0.3">
      <c r="A130" s="226">
        <v>45946</v>
      </c>
      <c r="B130" s="227" t="s">
        <v>170</v>
      </c>
      <c r="C130" s="227" t="s">
        <v>603</v>
      </c>
      <c r="D130" s="228">
        <v>525</v>
      </c>
      <c r="E130" s="228">
        <v>12</v>
      </c>
      <c r="F130" s="231">
        <v>1178.7</v>
      </c>
      <c r="G130" s="231">
        <v>1159.3</v>
      </c>
      <c r="H130" s="228">
        <v>19.399999999999999</v>
      </c>
      <c r="I130" s="229">
        <v>1.67E-2</v>
      </c>
      <c r="J130" s="231">
        <v>1175.3</v>
      </c>
      <c r="K130" s="231">
        <v>1155.8</v>
      </c>
      <c r="L130" s="228">
        <v>19.5</v>
      </c>
      <c r="M130" s="229">
        <v>1.6899999999999998E-2</v>
      </c>
      <c r="N130" s="231">
        <v>1178.7</v>
      </c>
      <c r="O130" s="231">
        <v>1159.3</v>
      </c>
      <c r="P130" s="228">
        <v>19.399999999999999</v>
      </c>
      <c r="Q130" s="229">
        <v>1.67E-2</v>
      </c>
      <c r="R130" s="231">
        <v>1185.3</v>
      </c>
      <c r="S130" s="231">
        <v>1166</v>
      </c>
      <c r="T130" s="228">
        <v>19.3</v>
      </c>
      <c r="U130" s="229">
        <v>1.66E-2</v>
      </c>
      <c r="V130" s="231">
        <v>1192.2</v>
      </c>
      <c r="W130" s="231">
        <v>1173</v>
      </c>
      <c r="X130" s="228">
        <v>19.2</v>
      </c>
      <c r="Y130" s="229">
        <v>1.6400000000000001E-2</v>
      </c>
      <c r="Z130" s="228">
        <v>3.4</v>
      </c>
      <c r="AA130" s="228">
        <v>3.5</v>
      </c>
      <c r="AB130" s="228">
        <v>-0.1</v>
      </c>
      <c r="AC130" s="229">
        <v>2.8999999999999998E-3</v>
      </c>
      <c r="AD130" s="228">
        <v>3.4</v>
      </c>
      <c r="AE130" s="228">
        <v>3.5</v>
      </c>
      <c r="AF130" s="228">
        <v>-0.1</v>
      </c>
      <c r="AG130" s="229">
        <v>2.8999999999999998E-3</v>
      </c>
      <c r="AH130" s="228">
        <v>10</v>
      </c>
      <c r="AI130" s="228">
        <v>10.199999999999999</v>
      </c>
      <c r="AJ130" s="228">
        <v>-0.2</v>
      </c>
      <c r="AK130" s="229">
        <v>8.5000000000000006E-3</v>
      </c>
      <c r="AL130" s="228">
        <v>16.899999999999999</v>
      </c>
      <c r="AM130" s="228">
        <v>17.2</v>
      </c>
      <c r="AN130" s="228">
        <v>-0.3</v>
      </c>
      <c r="AO130" s="229">
        <v>1.44E-2</v>
      </c>
      <c r="AP130" s="231">
        <v>1171.8800000000001</v>
      </c>
      <c r="AQ130" s="231">
        <v>1179.1199999999999</v>
      </c>
      <c r="AR130" s="228">
        <v>0</v>
      </c>
      <c r="AS130" s="228">
        <v>237</v>
      </c>
      <c r="AT130" s="228">
        <v>183</v>
      </c>
      <c r="AU130" s="228">
        <v>54</v>
      </c>
      <c r="AV130" s="229">
        <v>0.2918</v>
      </c>
      <c r="AW130" s="228">
        <v>220</v>
      </c>
      <c r="AX130" s="228">
        <v>164</v>
      </c>
      <c r="AY130" s="228">
        <v>56</v>
      </c>
      <c r="AZ130" s="229">
        <v>0.34300000000000003</v>
      </c>
      <c r="BA130" s="228">
        <v>17</v>
      </c>
      <c r="BB130" s="228">
        <v>19</v>
      </c>
      <c r="BC130" s="228">
        <v>-2</v>
      </c>
      <c r="BD130" s="229">
        <v>-0.1234</v>
      </c>
      <c r="BE130" s="228">
        <v>0</v>
      </c>
      <c r="BF130" s="228">
        <v>1</v>
      </c>
      <c r="BG130" s="228">
        <v>0</v>
      </c>
      <c r="BH130" s="229">
        <v>-0.33329999999999999</v>
      </c>
      <c r="BI130" s="228">
        <v>703</v>
      </c>
      <c r="BJ130" s="228">
        <v>528</v>
      </c>
      <c r="BK130" s="228">
        <v>174</v>
      </c>
      <c r="BL130" s="229">
        <v>0.3301</v>
      </c>
      <c r="BM130" s="228">
        <v>243</v>
      </c>
      <c r="BN130" s="228">
        <v>281</v>
      </c>
      <c r="BO130" s="228">
        <v>-38</v>
      </c>
      <c r="BP130" s="229">
        <v>-0.13519999999999999</v>
      </c>
      <c r="BQ130" s="230">
        <v>1183</v>
      </c>
      <c r="BR130" s="228">
        <v>993</v>
      </c>
      <c r="BS130" s="228">
        <v>190</v>
      </c>
      <c r="BT130" s="229">
        <v>0.1913</v>
      </c>
      <c r="BU130" s="230">
        <v>2399211</v>
      </c>
      <c r="BV130" s="230">
        <v>1816746</v>
      </c>
      <c r="BW130" s="230">
        <v>582465</v>
      </c>
      <c r="BX130" s="229">
        <v>0.3206</v>
      </c>
      <c r="BY130" s="230">
        <v>1940</v>
      </c>
      <c r="BZ130" s="230">
        <v>1946</v>
      </c>
      <c r="CA130" s="228">
        <v>-6</v>
      </c>
      <c r="CB130" s="229">
        <v>-3.0999999999999999E-3</v>
      </c>
      <c r="CC130" s="230">
        <v>1888</v>
      </c>
      <c r="CD130" s="230">
        <v>1898</v>
      </c>
      <c r="CE130" s="228">
        <v>-10</v>
      </c>
      <c r="CF130" s="229">
        <v>-5.1999999999999998E-3</v>
      </c>
      <c r="CG130" s="228">
        <v>47</v>
      </c>
      <c r="CH130" s="228">
        <v>43</v>
      </c>
      <c r="CI130" s="228">
        <v>4</v>
      </c>
      <c r="CJ130" s="229">
        <v>9.1399999999999995E-2</v>
      </c>
      <c r="CK130" s="228">
        <v>5</v>
      </c>
      <c r="CL130" s="228">
        <v>5</v>
      </c>
      <c r="CM130" s="228">
        <v>0</v>
      </c>
      <c r="CN130" s="229">
        <v>0</v>
      </c>
      <c r="CO130" s="228">
        <v>496</v>
      </c>
      <c r="CP130" s="228">
        <v>468</v>
      </c>
      <c r="CQ130" s="228">
        <v>28</v>
      </c>
      <c r="CR130" s="229">
        <v>5.9900000000000002E-2</v>
      </c>
      <c r="CS130" s="228">
        <v>335</v>
      </c>
      <c r="CT130" s="228">
        <v>326</v>
      </c>
      <c r="CU130" s="228">
        <v>9</v>
      </c>
      <c r="CV130" s="229">
        <v>2.7300000000000001E-2</v>
      </c>
      <c r="CW130" s="230">
        <v>2771</v>
      </c>
      <c r="CX130" s="230">
        <v>2740</v>
      </c>
      <c r="CY130" s="228">
        <v>31</v>
      </c>
      <c r="CZ130" s="229">
        <v>1.1299999999999999E-2</v>
      </c>
      <c r="DA130" s="228">
        <v>28.27</v>
      </c>
      <c r="DB130" s="228">
        <v>28.04</v>
      </c>
      <c r="DC130" s="228">
        <v>0.23</v>
      </c>
      <c r="DD130" s="228">
        <v>0.23</v>
      </c>
      <c r="DE130" s="228">
        <v>41.16</v>
      </c>
      <c r="DF130" s="228">
        <v>41.2</v>
      </c>
      <c r="DG130" s="228">
        <v>-12.89</v>
      </c>
      <c r="DH130" s="228">
        <v>-0.04</v>
      </c>
      <c r="DI130" s="228">
        <v>27.92</v>
      </c>
      <c r="DJ130" s="228">
        <v>27.81</v>
      </c>
      <c r="DK130" s="228">
        <v>0.11</v>
      </c>
      <c r="DL130" s="228">
        <v>0.11</v>
      </c>
      <c r="DM130" s="228">
        <v>29.3</v>
      </c>
      <c r="DN130" s="228">
        <v>28.48</v>
      </c>
      <c r="DO130" s="228">
        <v>0.82</v>
      </c>
      <c r="DP130" s="228">
        <v>0.82</v>
      </c>
      <c r="DQ130" s="228">
        <v>0.68</v>
      </c>
      <c r="DR130" s="228">
        <v>0.7</v>
      </c>
      <c r="DS130" s="228">
        <v>-0.02</v>
      </c>
      <c r="DT130" s="229">
        <v>-2.86E-2</v>
      </c>
      <c r="DU130" s="231">
        <v>1200</v>
      </c>
      <c r="DV130" s="231">
        <v>1060</v>
      </c>
      <c r="DW130" s="228">
        <v>0.35</v>
      </c>
      <c r="DX130" s="228">
        <v>0.53</v>
      </c>
      <c r="DY130" s="228">
        <v>-0.18</v>
      </c>
      <c r="DZ130" s="229">
        <v>-0.33960000000000001</v>
      </c>
      <c r="EA130" s="229">
        <v>2.6800000000000001E-2</v>
      </c>
      <c r="EB130" s="230">
        <v>407400</v>
      </c>
      <c r="EC130" s="229">
        <v>5.5999999999999999E-3</v>
      </c>
      <c r="ED130" s="229">
        <v>2.6800000000000001E-2</v>
      </c>
      <c r="EE130" s="228">
        <v>7.24</v>
      </c>
      <c r="EF130" s="229">
        <v>6.1999999999999998E-3</v>
      </c>
      <c r="EG130" s="230">
        <v>1651141</v>
      </c>
      <c r="EH130" s="230">
        <v>1171648</v>
      </c>
      <c r="EI130" s="229">
        <v>0.40920000000000001</v>
      </c>
      <c r="EJ130" s="229">
        <v>0.68820000000000003</v>
      </c>
      <c r="EK130" s="228">
        <v>722.01</v>
      </c>
      <c r="EL130" s="228">
        <v>234.5</v>
      </c>
      <c r="EM130" s="228">
        <v>235.68</v>
      </c>
      <c r="EN130" s="228">
        <v>34.21</v>
      </c>
      <c r="EO130" s="231">
        <v>1192.19</v>
      </c>
      <c r="EP130" s="228">
        <v>993.28</v>
      </c>
      <c r="EQ130" s="228">
        <v>198.91</v>
      </c>
      <c r="ER130" s="229">
        <v>0.20030000000000001</v>
      </c>
      <c r="ES130" s="228">
        <v>502.37</v>
      </c>
      <c r="ET130" s="228">
        <v>318.89999999999998</v>
      </c>
      <c r="EU130" s="231">
        <v>1940.06</v>
      </c>
      <c r="EV130" s="231">
        <v>97211768</v>
      </c>
      <c r="EW130" s="231">
        <v>2761.33</v>
      </c>
      <c r="EX130" s="231">
        <v>2696.08</v>
      </c>
      <c r="EY130" s="228">
        <v>65.25</v>
      </c>
      <c r="EZ130" s="229">
        <v>2.4199999999999999E-2</v>
      </c>
      <c r="FA130" s="229">
        <v>0.24179999999999999</v>
      </c>
      <c r="FB130" s="227" t="s">
        <v>556</v>
      </c>
      <c r="FC130">
        <f t="shared" si="1"/>
        <v>52</v>
      </c>
    </row>
    <row r="131" spans="1:159" ht="17.25" thickBot="1" x14ac:dyDescent="0.3">
      <c r="A131" s="226">
        <v>45946</v>
      </c>
      <c r="B131" s="227" t="s">
        <v>215</v>
      </c>
      <c r="C131" s="227" t="s">
        <v>674</v>
      </c>
      <c r="D131" s="228">
        <v>175</v>
      </c>
      <c r="E131" s="228">
        <v>12</v>
      </c>
      <c r="F131" s="231">
        <v>2844</v>
      </c>
      <c r="G131" s="231">
        <v>2864.5</v>
      </c>
      <c r="H131" s="228">
        <v>-20.5</v>
      </c>
      <c r="I131" s="229">
        <v>-7.1999999999999998E-3</v>
      </c>
      <c r="J131" s="231">
        <v>2831.9</v>
      </c>
      <c r="K131" s="231">
        <v>2852.4</v>
      </c>
      <c r="L131" s="228">
        <v>-20.5</v>
      </c>
      <c r="M131" s="229">
        <v>-7.1999999999999998E-3</v>
      </c>
      <c r="N131" s="231">
        <v>2844</v>
      </c>
      <c r="O131" s="231">
        <v>2864.5</v>
      </c>
      <c r="P131" s="228">
        <v>-20.5</v>
      </c>
      <c r="Q131" s="229">
        <v>-7.1999999999999998E-3</v>
      </c>
      <c r="R131" s="231">
        <v>2852.8</v>
      </c>
      <c r="S131" s="231">
        <v>2873.4</v>
      </c>
      <c r="T131" s="228">
        <v>-20.6</v>
      </c>
      <c r="U131" s="229">
        <v>-7.1999999999999998E-3</v>
      </c>
      <c r="V131" s="231">
        <v>2870.2</v>
      </c>
      <c r="W131" s="231">
        <v>2891.2</v>
      </c>
      <c r="X131" s="228">
        <v>-21</v>
      </c>
      <c r="Y131" s="229">
        <v>-7.3000000000000001E-3</v>
      </c>
      <c r="Z131" s="228">
        <v>12.1</v>
      </c>
      <c r="AA131" s="228">
        <v>12.1</v>
      </c>
      <c r="AB131" s="228">
        <v>0</v>
      </c>
      <c r="AC131" s="229">
        <v>4.3E-3</v>
      </c>
      <c r="AD131" s="228">
        <v>12.1</v>
      </c>
      <c r="AE131" s="228">
        <v>12.1</v>
      </c>
      <c r="AF131" s="228">
        <v>0</v>
      </c>
      <c r="AG131" s="229">
        <v>4.3E-3</v>
      </c>
      <c r="AH131" s="228">
        <v>20.9</v>
      </c>
      <c r="AI131" s="228">
        <v>21</v>
      </c>
      <c r="AJ131" s="228">
        <v>-0.1</v>
      </c>
      <c r="AK131" s="229">
        <v>7.4000000000000003E-3</v>
      </c>
      <c r="AL131" s="228">
        <v>38.299999999999997</v>
      </c>
      <c r="AM131" s="228">
        <v>38.799999999999997</v>
      </c>
      <c r="AN131" s="228">
        <v>-0.5</v>
      </c>
      <c r="AO131" s="229">
        <v>1.35E-2</v>
      </c>
      <c r="AP131" s="231">
        <v>2863.42</v>
      </c>
      <c r="AQ131" s="231">
        <v>2870.24</v>
      </c>
      <c r="AR131" s="228">
        <v>0</v>
      </c>
      <c r="AS131" s="228">
        <v>224</v>
      </c>
      <c r="AT131" s="228">
        <v>248</v>
      </c>
      <c r="AU131" s="228">
        <v>-25</v>
      </c>
      <c r="AV131" s="229">
        <v>-9.9099999999999994E-2</v>
      </c>
      <c r="AW131" s="228">
        <v>193</v>
      </c>
      <c r="AX131" s="228">
        <v>214</v>
      </c>
      <c r="AY131" s="228">
        <v>-22</v>
      </c>
      <c r="AZ131" s="229">
        <v>-0.1004</v>
      </c>
      <c r="BA131" s="228">
        <v>29</v>
      </c>
      <c r="BB131" s="228">
        <v>32</v>
      </c>
      <c r="BC131" s="228">
        <v>-3</v>
      </c>
      <c r="BD131" s="229">
        <v>-9.4100000000000003E-2</v>
      </c>
      <c r="BE131" s="228">
        <v>2</v>
      </c>
      <c r="BF131" s="228">
        <v>2</v>
      </c>
      <c r="BG131" s="228">
        <v>0</v>
      </c>
      <c r="BH131" s="229">
        <v>-2.9399999999999999E-2</v>
      </c>
      <c r="BI131" s="228">
        <v>608</v>
      </c>
      <c r="BJ131" s="230">
        <v>1209</v>
      </c>
      <c r="BK131" s="228">
        <v>-601</v>
      </c>
      <c r="BL131" s="229">
        <v>-0.497</v>
      </c>
      <c r="BM131" s="228">
        <v>206</v>
      </c>
      <c r="BN131" s="228">
        <v>336</v>
      </c>
      <c r="BO131" s="228">
        <v>-130</v>
      </c>
      <c r="BP131" s="229">
        <v>-0.38619999999999999</v>
      </c>
      <c r="BQ131" s="230">
        <v>1038</v>
      </c>
      <c r="BR131" s="230">
        <v>1794</v>
      </c>
      <c r="BS131" s="228">
        <v>-755</v>
      </c>
      <c r="BT131" s="229">
        <v>-0.42120000000000002</v>
      </c>
      <c r="BU131" s="230">
        <v>833957</v>
      </c>
      <c r="BV131" s="230">
        <v>828065</v>
      </c>
      <c r="BW131" s="230">
        <v>5892</v>
      </c>
      <c r="BX131" s="229">
        <v>7.1000000000000004E-3</v>
      </c>
      <c r="BY131" s="230">
        <v>1060</v>
      </c>
      <c r="BZ131" s="230">
        <v>1053</v>
      </c>
      <c r="CA131" s="228">
        <v>7</v>
      </c>
      <c r="CB131" s="229">
        <v>6.7000000000000002E-3</v>
      </c>
      <c r="CC131" s="228">
        <v>967</v>
      </c>
      <c r="CD131" s="228">
        <v>975</v>
      </c>
      <c r="CE131" s="228">
        <v>-8</v>
      </c>
      <c r="CF131" s="229">
        <v>-7.7999999999999996E-3</v>
      </c>
      <c r="CG131" s="228">
        <v>88</v>
      </c>
      <c r="CH131" s="228">
        <v>74</v>
      </c>
      <c r="CI131" s="228">
        <v>14</v>
      </c>
      <c r="CJ131" s="229">
        <v>0.18279999999999999</v>
      </c>
      <c r="CK131" s="228">
        <v>5</v>
      </c>
      <c r="CL131" s="228">
        <v>4</v>
      </c>
      <c r="CM131" s="228">
        <v>1</v>
      </c>
      <c r="CN131" s="229">
        <v>0.2651</v>
      </c>
      <c r="CO131" s="228">
        <v>839</v>
      </c>
      <c r="CP131" s="228">
        <v>834</v>
      </c>
      <c r="CQ131" s="228">
        <v>5</v>
      </c>
      <c r="CR131" s="229">
        <v>6.6E-3</v>
      </c>
      <c r="CS131" s="228">
        <v>403</v>
      </c>
      <c r="CT131" s="228">
        <v>398</v>
      </c>
      <c r="CU131" s="228">
        <v>5</v>
      </c>
      <c r="CV131" s="229">
        <v>1.15E-2</v>
      </c>
      <c r="CW131" s="230">
        <v>2302</v>
      </c>
      <c r="CX131" s="230">
        <v>2285</v>
      </c>
      <c r="CY131" s="228">
        <v>17</v>
      </c>
      <c r="CZ131" s="229">
        <v>7.4999999999999997E-3</v>
      </c>
      <c r="DA131" s="228">
        <v>36.409999999999997</v>
      </c>
      <c r="DB131" s="228">
        <v>36.39</v>
      </c>
      <c r="DC131" s="228">
        <v>0.02</v>
      </c>
      <c r="DD131" s="228">
        <v>0.02</v>
      </c>
      <c r="DE131" s="228">
        <v>59.84</v>
      </c>
      <c r="DF131" s="228">
        <v>59.98</v>
      </c>
      <c r="DG131" s="228">
        <v>-23.43</v>
      </c>
      <c r="DH131" s="228">
        <v>-0.14000000000000001</v>
      </c>
      <c r="DI131" s="228">
        <v>37.020000000000003</v>
      </c>
      <c r="DJ131" s="228">
        <v>36.950000000000003</v>
      </c>
      <c r="DK131" s="228">
        <v>7.0000000000000007E-2</v>
      </c>
      <c r="DL131" s="228">
        <v>7.0000000000000007E-2</v>
      </c>
      <c r="DM131" s="228">
        <v>34.630000000000003</v>
      </c>
      <c r="DN131" s="228">
        <v>34.39</v>
      </c>
      <c r="DO131" s="228">
        <v>0.24</v>
      </c>
      <c r="DP131" s="228">
        <v>0.24</v>
      </c>
      <c r="DQ131" s="228">
        <v>0.48</v>
      </c>
      <c r="DR131" s="228">
        <v>0.48</v>
      </c>
      <c r="DS131" s="228">
        <v>0</v>
      </c>
      <c r="DT131" s="229">
        <v>0</v>
      </c>
      <c r="DU131" s="231">
        <v>3000</v>
      </c>
      <c r="DV131" s="231">
        <v>2800</v>
      </c>
      <c r="DW131" s="228">
        <v>0.34</v>
      </c>
      <c r="DX131" s="228">
        <v>0.28000000000000003</v>
      </c>
      <c r="DY131" s="228">
        <v>0.06</v>
      </c>
      <c r="DZ131" s="229">
        <v>0.21429999999999999</v>
      </c>
      <c r="EA131" s="229">
        <v>8.7599999999999997E-2</v>
      </c>
      <c r="EB131" s="230">
        <v>274925</v>
      </c>
      <c r="EC131" s="229">
        <v>3.0999999999999999E-3</v>
      </c>
      <c r="ED131" s="229">
        <v>8.7599999999999997E-2</v>
      </c>
      <c r="EE131" s="228">
        <v>6.82</v>
      </c>
      <c r="EF131" s="229">
        <v>2.3999999999999998E-3</v>
      </c>
      <c r="EG131" s="230">
        <v>372455</v>
      </c>
      <c r="EH131" s="230">
        <v>234447</v>
      </c>
      <c r="EI131" s="229">
        <v>0.5887</v>
      </c>
      <c r="EJ131" s="229">
        <v>0.4466</v>
      </c>
      <c r="EK131" s="228">
        <v>644.84</v>
      </c>
      <c r="EL131" s="228">
        <v>204.78</v>
      </c>
      <c r="EM131" s="228">
        <v>225.18</v>
      </c>
      <c r="EN131" s="228">
        <v>41.47</v>
      </c>
      <c r="EO131" s="231">
        <v>1074.8</v>
      </c>
      <c r="EP131" s="231">
        <v>1869.54</v>
      </c>
      <c r="EQ131" s="228">
        <v>-794.73</v>
      </c>
      <c r="ER131" s="229">
        <v>-0.42509999999999998</v>
      </c>
      <c r="ES131" s="228">
        <v>891.14</v>
      </c>
      <c r="ET131" s="228">
        <v>396.53</v>
      </c>
      <c r="EU131" s="231">
        <v>1060.1199999999999</v>
      </c>
      <c r="EV131" s="231">
        <v>11364224</v>
      </c>
      <c r="EW131" s="231">
        <v>2347.79</v>
      </c>
      <c r="EX131" s="231">
        <v>2339.46</v>
      </c>
      <c r="EY131" s="228">
        <v>8.33</v>
      </c>
      <c r="EZ131" s="229">
        <v>3.5999999999999999E-3</v>
      </c>
      <c r="FA131" s="229">
        <v>0.71230000000000004</v>
      </c>
      <c r="FB131" s="227" t="s">
        <v>567</v>
      </c>
      <c r="FC131">
        <f t="shared" ref="FC131:FC147" si="2">BY131-CC131</f>
        <v>93</v>
      </c>
    </row>
    <row r="132" spans="1:159" ht="17.25" thickBot="1" x14ac:dyDescent="0.3">
      <c r="A132" s="226">
        <v>45946</v>
      </c>
      <c r="B132" s="227" t="s">
        <v>175</v>
      </c>
      <c r="C132" s="227" t="s">
        <v>517</v>
      </c>
      <c r="D132" s="228">
        <v>125</v>
      </c>
      <c r="E132" s="228">
        <v>12</v>
      </c>
      <c r="F132" s="231">
        <v>9360.5</v>
      </c>
      <c r="G132" s="231">
        <v>9579.5</v>
      </c>
      <c r="H132" s="228">
        <v>-219</v>
      </c>
      <c r="I132" s="229">
        <v>-2.29E-2</v>
      </c>
      <c r="J132" s="231">
        <v>9330.5</v>
      </c>
      <c r="K132" s="231">
        <v>9541</v>
      </c>
      <c r="L132" s="228">
        <v>-210.5</v>
      </c>
      <c r="M132" s="229">
        <v>-2.2100000000000002E-2</v>
      </c>
      <c r="N132" s="231">
        <v>9360.5</v>
      </c>
      <c r="O132" s="231">
        <v>9579.5</v>
      </c>
      <c r="P132" s="228">
        <v>-219</v>
      </c>
      <c r="Q132" s="229">
        <v>-2.29E-2</v>
      </c>
      <c r="R132" s="231">
        <v>9414</v>
      </c>
      <c r="S132" s="231">
        <v>9630</v>
      </c>
      <c r="T132" s="228">
        <v>-216</v>
      </c>
      <c r="U132" s="229">
        <v>-2.24E-2</v>
      </c>
      <c r="V132" s="231">
        <v>9463</v>
      </c>
      <c r="W132" s="231">
        <v>9670.5</v>
      </c>
      <c r="X132" s="228">
        <v>-207.5</v>
      </c>
      <c r="Y132" s="229">
        <v>-2.1499999999999998E-2</v>
      </c>
      <c r="Z132" s="228">
        <v>30</v>
      </c>
      <c r="AA132" s="228">
        <v>38.5</v>
      </c>
      <c r="AB132" s="228">
        <v>-8.5</v>
      </c>
      <c r="AC132" s="229">
        <v>3.2000000000000002E-3</v>
      </c>
      <c r="AD132" s="228">
        <v>30</v>
      </c>
      <c r="AE132" s="228">
        <v>38.5</v>
      </c>
      <c r="AF132" s="228">
        <v>-8.5</v>
      </c>
      <c r="AG132" s="229">
        <v>3.2000000000000002E-3</v>
      </c>
      <c r="AH132" s="228">
        <v>83.5</v>
      </c>
      <c r="AI132" s="228">
        <v>89</v>
      </c>
      <c r="AJ132" s="228">
        <v>-5.5</v>
      </c>
      <c r="AK132" s="229">
        <v>8.8999999999999999E-3</v>
      </c>
      <c r="AL132" s="228">
        <v>132.5</v>
      </c>
      <c r="AM132" s="228">
        <v>129.5</v>
      </c>
      <c r="AN132" s="228">
        <v>3</v>
      </c>
      <c r="AO132" s="229">
        <v>1.4200000000000001E-2</v>
      </c>
      <c r="AP132" s="231">
        <v>9414.92</v>
      </c>
      <c r="AQ132" s="231">
        <v>9476</v>
      </c>
      <c r="AR132" s="228">
        <v>0</v>
      </c>
      <c r="AS132" s="230">
        <v>1339</v>
      </c>
      <c r="AT132" s="230">
        <v>1092</v>
      </c>
      <c r="AU132" s="228">
        <v>247</v>
      </c>
      <c r="AV132" s="229">
        <v>0.22650000000000001</v>
      </c>
      <c r="AW132" s="230">
        <v>1098</v>
      </c>
      <c r="AX132" s="228">
        <v>957</v>
      </c>
      <c r="AY132" s="228">
        <v>141</v>
      </c>
      <c r="AZ132" s="229">
        <v>0.14699999999999999</v>
      </c>
      <c r="BA132" s="228">
        <v>227</v>
      </c>
      <c r="BB132" s="228">
        <v>115</v>
      </c>
      <c r="BC132" s="228">
        <v>111</v>
      </c>
      <c r="BD132" s="229">
        <v>0.96450000000000002</v>
      </c>
      <c r="BE132" s="228">
        <v>14</v>
      </c>
      <c r="BF132" s="228">
        <v>19</v>
      </c>
      <c r="BG132" s="228">
        <v>-5</v>
      </c>
      <c r="BH132" s="229">
        <v>-0.25</v>
      </c>
      <c r="BI132" s="230">
        <v>6964</v>
      </c>
      <c r="BJ132" s="230">
        <v>9426</v>
      </c>
      <c r="BK132" s="230">
        <v>-2462</v>
      </c>
      <c r="BL132" s="229">
        <v>-0.26119999999999999</v>
      </c>
      <c r="BM132" s="230">
        <v>6107</v>
      </c>
      <c r="BN132" s="230">
        <v>5517</v>
      </c>
      <c r="BO132" s="228">
        <v>590</v>
      </c>
      <c r="BP132" s="229">
        <v>0.1069</v>
      </c>
      <c r="BQ132" s="230">
        <v>14409</v>
      </c>
      <c r="BR132" s="230">
        <v>16034</v>
      </c>
      <c r="BS132" s="230">
        <v>-1625</v>
      </c>
      <c r="BT132" s="229">
        <v>-0.1014</v>
      </c>
      <c r="BU132" s="230">
        <v>875856</v>
      </c>
      <c r="BV132" s="230">
        <v>1082498</v>
      </c>
      <c r="BW132" s="230">
        <v>-206642</v>
      </c>
      <c r="BX132" s="229">
        <v>-0.19089999999999999</v>
      </c>
      <c r="BY132" s="230">
        <v>2713</v>
      </c>
      <c r="BZ132" s="230">
        <v>2749</v>
      </c>
      <c r="CA132" s="228">
        <v>-36</v>
      </c>
      <c r="CB132" s="229">
        <v>-1.32E-2</v>
      </c>
      <c r="CC132" s="230">
        <v>2512</v>
      </c>
      <c r="CD132" s="230">
        <v>2587</v>
      </c>
      <c r="CE132" s="228">
        <v>-75</v>
      </c>
      <c r="CF132" s="229">
        <v>-2.9100000000000001E-2</v>
      </c>
      <c r="CG132" s="228">
        <v>174</v>
      </c>
      <c r="CH132" s="228">
        <v>136</v>
      </c>
      <c r="CI132" s="228">
        <v>39</v>
      </c>
      <c r="CJ132" s="229">
        <v>0.28420000000000001</v>
      </c>
      <c r="CK132" s="228">
        <v>27</v>
      </c>
      <c r="CL132" s="228">
        <v>26</v>
      </c>
      <c r="CM132" s="228">
        <v>0</v>
      </c>
      <c r="CN132" s="229">
        <v>1.34E-2</v>
      </c>
      <c r="CO132" s="230">
        <v>2996</v>
      </c>
      <c r="CP132" s="230">
        <v>2725</v>
      </c>
      <c r="CQ132" s="228">
        <v>270</v>
      </c>
      <c r="CR132" s="229">
        <v>9.9199999999999997E-2</v>
      </c>
      <c r="CS132" s="230">
        <v>2606</v>
      </c>
      <c r="CT132" s="230">
        <v>2767</v>
      </c>
      <c r="CU132" s="228">
        <v>-161</v>
      </c>
      <c r="CV132" s="229">
        <v>-5.8099999999999999E-2</v>
      </c>
      <c r="CW132" s="230">
        <v>8315</v>
      </c>
      <c r="CX132" s="230">
        <v>8241</v>
      </c>
      <c r="CY132" s="228">
        <v>73</v>
      </c>
      <c r="CZ132" s="229">
        <v>8.8999999999999999E-3</v>
      </c>
      <c r="DA132" s="228">
        <v>37.28</v>
      </c>
      <c r="DB132" s="228">
        <v>37.270000000000003</v>
      </c>
      <c r="DC132" s="228">
        <v>0.01</v>
      </c>
      <c r="DD132" s="228">
        <v>0.01</v>
      </c>
      <c r="DE132" s="228">
        <v>47.55</v>
      </c>
      <c r="DF132" s="228">
        <v>47.57</v>
      </c>
      <c r="DG132" s="228">
        <v>-10.27</v>
      </c>
      <c r="DH132" s="228">
        <v>-0.02</v>
      </c>
      <c r="DI132" s="228">
        <v>36.700000000000003</v>
      </c>
      <c r="DJ132" s="228">
        <v>35.96</v>
      </c>
      <c r="DK132" s="228">
        <v>0.74</v>
      </c>
      <c r="DL132" s="228">
        <v>0.74</v>
      </c>
      <c r="DM132" s="228">
        <v>37.94</v>
      </c>
      <c r="DN132" s="228">
        <v>39.49</v>
      </c>
      <c r="DO132" s="228">
        <v>-1.55</v>
      </c>
      <c r="DP132" s="228">
        <v>-1.55</v>
      </c>
      <c r="DQ132" s="228">
        <v>0.87</v>
      </c>
      <c r="DR132" s="228">
        <v>1.02</v>
      </c>
      <c r="DS132" s="228">
        <v>-0.15</v>
      </c>
      <c r="DT132" s="229">
        <v>-0.14710000000000001</v>
      </c>
      <c r="DU132" s="231">
        <v>10000</v>
      </c>
      <c r="DV132" s="231">
        <v>8000</v>
      </c>
      <c r="DW132" s="228">
        <v>0.88</v>
      </c>
      <c r="DX132" s="228">
        <v>0.59</v>
      </c>
      <c r="DY132" s="228">
        <v>0.28999999999999998</v>
      </c>
      <c r="DZ132" s="229">
        <v>0.49149999999999999</v>
      </c>
      <c r="EA132" s="229">
        <v>7.4099999999999999E-2</v>
      </c>
      <c r="EB132" s="230">
        <v>173125</v>
      </c>
      <c r="EC132" s="229">
        <v>5.7000000000000002E-3</v>
      </c>
      <c r="ED132" s="229">
        <v>7.4099999999999999E-2</v>
      </c>
      <c r="EE132" s="228">
        <v>61.08</v>
      </c>
      <c r="EF132" s="229">
        <v>6.4999999999999997E-3</v>
      </c>
      <c r="EG132" s="230">
        <v>292326</v>
      </c>
      <c r="EH132" s="230">
        <v>360451</v>
      </c>
      <c r="EI132" s="229">
        <v>-0.189</v>
      </c>
      <c r="EJ132" s="229">
        <v>0.33379999999999999</v>
      </c>
      <c r="EK132" s="231">
        <v>7385.25</v>
      </c>
      <c r="EL132" s="231">
        <v>5923.74</v>
      </c>
      <c r="EM132" s="231">
        <v>1348.33</v>
      </c>
      <c r="EN132" s="228">
        <v>141.41</v>
      </c>
      <c r="EO132" s="231">
        <v>14657.32</v>
      </c>
      <c r="EP132" s="231">
        <v>16568.27</v>
      </c>
      <c r="EQ132" s="231">
        <v>-1910.95</v>
      </c>
      <c r="ER132" s="229">
        <v>-0.1153</v>
      </c>
      <c r="ES132" s="231">
        <v>3039.83</v>
      </c>
      <c r="ET132" s="231">
        <v>2353.71</v>
      </c>
      <c r="EU132" s="231">
        <v>2713.96</v>
      </c>
      <c r="EV132" s="231">
        <v>7635422</v>
      </c>
      <c r="EW132" s="231">
        <v>8107.5</v>
      </c>
      <c r="EX132" s="231">
        <v>8069.23</v>
      </c>
      <c r="EY132" s="228">
        <v>38.270000000000003</v>
      </c>
      <c r="EZ132" s="229">
        <v>4.7000000000000002E-3</v>
      </c>
      <c r="FA132" s="229">
        <v>1.1634</v>
      </c>
      <c r="FB132" s="227" t="s">
        <v>568</v>
      </c>
      <c r="FC132">
        <f t="shared" si="2"/>
        <v>201</v>
      </c>
    </row>
    <row r="133" spans="1:159" ht="17.25" thickBot="1" x14ac:dyDescent="0.3">
      <c r="A133" s="226">
        <v>45946</v>
      </c>
      <c r="B133" s="227" t="s">
        <v>175</v>
      </c>
      <c r="C133" s="227" t="s">
        <v>257</v>
      </c>
      <c r="D133" s="228">
        <v>800</v>
      </c>
      <c r="E133" s="228">
        <v>12</v>
      </c>
      <c r="F133" s="231">
        <v>1556.3</v>
      </c>
      <c r="G133" s="231">
        <v>1616.3</v>
      </c>
      <c r="H133" s="228">
        <v>-60</v>
      </c>
      <c r="I133" s="229">
        <v>-3.7100000000000001E-2</v>
      </c>
      <c r="J133" s="231">
        <v>1552.4</v>
      </c>
      <c r="K133" s="231">
        <v>1609.1</v>
      </c>
      <c r="L133" s="228">
        <v>-56.7</v>
      </c>
      <c r="M133" s="229">
        <v>-3.5200000000000002E-2</v>
      </c>
      <c r="N133" s="231">
        <v>1556.3</v>
      </c>
      <c r="O133" s="231">
        <v>1616.3</v>
      </c>
      <c r="P133" s="228">
        <v>-60</v>
      </c>
      <c r="Q133" s="229">
        <v>-3.7100000000000001E-2</v>
      </c>
      <c r="R133" s="231">
        <v>1564.8</v>
      </c>
      <c r="S133" s="231">
        <v>1625.2</v>
      </c>
      <c r="T133" s="228">
        <v>-60.4</v>
      </c>
      <c r="U133" s="229">
        <v>-3.7199999999999997E-2</v>
      </c>
      <c r="V133" s="231">
        <v>1568.5</v>
      </c>
      <c r="W133" s="231">
        <v>1635</v>
      </c>
      <c r="X133" s="228">
        <v>-66.5</v>
      </c>
      <c r="Y133" s="229">
        <v>-4.07E-2</v>
      </c>
      <c r="Z133" s="228">
        <v>3.9</v>
      </c>
      <c r="AA133" s="228">
        <v>7.2</v>
      </c>
      <c r="AB133" s="228">
        <v>-3.3</v>
      </c>
      <c r="AC133" s="229">
        <v>2.5000000000000001E-3</v>
      </c>
      <c r="AD133" s="228">
        <v>3.9</v>
      </c>
      <c r="AE133" s="228">
        <v>7.2</v>
      </c>
      <c r="AF133" s="228">
        <v>-3.3</v>
      </c>
      <c r="AG133" s="229">
        <v>2.5000000000000001E-3</v>
      </c>
      <c r="AH133" s="228">
        <v>12.4</v>
      </c>
      <c r="AI133" s="228">
        <v>16.100000000000001</v>
      </c>
      <c r="AJ133" s="228">
        <v>-3.7</v>
      </c>
      <c r="AK133" s="229">
        <v>8.0000000000000002E-3</v>
      </c>
      <c r="AL133" s="228">
        <v>16.100000000000001</v>
      </c>
      <c r="AM133" s="228">
        <v>25.9</v>
      </c>
      <c r="AN133" s="228">
        <v>-9.8000000000000007</v>
      </c>
      <c r="AO133" s="229">
        <v>1.04E-2</v>
      </c>
      <c r="AP133" s="231">
        <v>1566.49</v>
      </c>
      <c r="AQ133" s="231">
        <v>1576.49</v>
      </c>
      <c r="AR133" s="228">
        <v>0</v>
      </c>
      <c r="AS133" s="228">
        <v>384</v>
      </c>
      <c r="AT133" s="228">
        <v>124</v>
      </c>
      <c r="AU133" s="228">
        <v>260</v>
      </c>
      <c r="AV133" s="229">
        <v>2.0933999999999999</v>
      </c>
      <c r="AW133" s="228">
        <v>351</v>
      </c>
      <c r="AX133" s="228">
        <v>116</v>
      </c>
      <c r="AY133" s="228">
        <v>235</v>
      </c>
      <c r="AZ133" s="229">
        <v>2.0182000000000002</v>
      </c>
      <c r="BA133" s="228">
        <v>30</v>
      </c>
      <c r="BB133" s="228">
        <v>7</v>
      </c>
      <c r="BC133" s="228">
        <v>23</v>
      </c>
      <c r="BD133" s="229">
        <v>3.1185999999999998</v>
      </c>
      <c r="BE133" s="228">
        <v>2</v>
      </c>
      <c r="BF133" s="228">
        <v>0</v>
      </c>
      <c r="BG133" s="228">
        <v>2</v>
      </c>
      <c r="BH133" s="229">
        <v>7</v>
      </c>
      <c r="BI133" s="228">
        <v>780</v>
      </c>
      <c r="BJ133" s="228">
        <v>289</v>
      </c>
      <c r="BK133" s="228">
        <v>492</v>
      </c>
      <c r="BL133" s="229">
        <v>1.7029000000000001</v>
      </c>
      <c r="BM133" s="228">
        <v>365</v>
      </c>
      <c r="BN133" s="228">
        <v>86</v>
      </c>
      <c r="BO133" s="228">
        <v>279</v>
      </c>
      <c r="BP133" s="229">
        <v>3.2280000000000002</v>
      </c>
      <c r="BQ133" s="230">
        <v>1529</v>
      </c>
      <c r="BR133" s="228">
        <v>499</v>
      </c>
      <c r="BS133" s="230">
        <v>1030</v>
      </c>
      <c r="BT133" s="229">
        <v>2.0636000000000001</v>
      </c>
      <c r="BU133" s="230">
        <v>990907</v>
      </c>
      <c r="BV133" s="230">
        <v>506946</v>
      </c>
      <c r="BW133" s="230">
        <v>483961</v>
      </c>
      <c r="BX133" s="229">
        <v>0.95469999999999999</v>
      </c>
      <c r="BY133" s="228">
        <v>925</v>
      </c>
      <c r="BZ133" s="228">
        <v>947</v>
      </c>
      <c r="CA133" s="228">
        <v>-23</v>
      </c>
      <c r="CB133" s="229">
        <v>-2.3900000000000001E-2</v>
      </c>
      <c r="CC133" s="228">
        <v>900</v>
      </c>
      <c r="CD133" s="228">
        <v>935</v>
      </c>
      <c r="CE133" s="228">
        <v>-34</v>
      </c>
      <c r="CF133" s="229">
        <v>-3.6600000000000001E-2</v>
      </c>
      <c r="CG133" s="228">
        <v>22</v>
      </c>
      <c r="CH133" s="228">
        <v>12</v>
      </c>
      <c r="CI133" s="228">
        <v>10</v>
      </c>
      <c r="CJ133" s="229">
        <v>0.85570000000000002</v>
      </c>
      <c r="CK133" s="228">
        <v>2</v>
      </c>
      <c r="CL133" s="228">
        <v>1</v>
      </c>
      <c r="CM133" s="228">
        <v>1</v>
      </c>
      <c r="CN133" s="229">
        <v>2</v>
      </c>
      <c r="CO133" s="228">
        <v>328</v>
      </c>
      <c r="CP133" s="228">
        <v>197</v>
      </c>
      <c r="CQ133" s="228">
        <v>131</v>
      </c>
      <c r="CR133" s="229">
        <v>0.66790000000000005</v>
      </c>
      <c r="CS133" s="228">
        <v>174</v>
      </c>
      <c r="CT133" s="228">
        <v>122</v>
      </c>
      <c r="CU133" s="228">
        <v>52</v>
      </c>
      <c r="CV133" s="229">
        <v>0.4289</v>
      </c>
      <c r="CW133" s="230">
        <v>1427</v>
      </c>
      <c r="CX133" s="230">
        <v>1266</v>
      </c>
      <c r="CY133" s="228">
        <v>161</v>
      </c>
      <c r="CZ133" s="229">
        <v>0.12720000000000001</v>
      </c>
      <c r="DA133" s="228">
        <v>26.19</v>
      </c>
      <c r="DB133" s="228">
        <v>23.89</v>
      </c>
      <c r="DC133" s="228">
        <v>2.2999999999999998</v>
      </c>
      <c r="DD133" s="228">
        <v>2.2999999999999998</v>
      </c>
      <c r="DE133" s="228">
        <v>30.73</v>
      </c>
      <c r="DF133" s="228">
        <v>30.38</v>
      </c>
      <c r="DG133" s="228">
        <v>-4.54</v>
      </c>
      <c r="DH133" s="228">
        <v>0.35</v>
      </c>
      <c r="DI133" s="228">
        <v>26.72</v>
      </c>
      <c r="DJ133" s="228">
        <v>23.53</v>
      </c>
      <c r="DK133" s="228">
        <v>3.19</v>
      </c>
      <c r="DL133" s="228">
        <v>3.19</v>
      </c>
      <c r="DM133" s="228">
        <v>25.04</v>
      </c>
      <c r="DN133" s="228">
        <v>25.11</v>
      </c>
      <c r="DO133" s="228">
        <v>-7.0000000000000007E-2</v>
      </c>
      <c r="DP133" s="228">
        <v>-7.0000000000000007E-2</v>
      </c>
      <c r="DQ133" s="228">
        <v>0.53</v>
      </c>
      <c r="DR133" s="228">
        <v>0.62</v>
      </c>
      <c r="DS133" s="228">
        <v>-0.09</v>
      </c>
      <c r="DT133" s="229">
        <v>-0.1452</v>
      </c>
      <c r="DU133" s="231">
        <v>1700</v>
      </c>
      <c r="DV133" s="231">
        <v>1460</v>
      </c>
      <c r="DW133" s="228">
        <v>0.47</v>
      </c>
      <c r="DX133" s="228">
        <v>0.3</v>
      </c>
      <c r="DY133" s="228">
        <v>0.17</v>
      </c>
      <c r="DZ133" s="229">
        <v>0.56669999999999998</v>
      </c>
      <c r="EA133" s="229">
        <v>2.63E-2</v>
      </c>
      <c r="EB133" s="230">
        <v>81600</v>
      </c>
      <c r="EC133" s="229">
        <v>5.4999999999999997E-3</v>
      </c>
      <c r="ED133" s="229">
        <v>2.63E-2</v>
      </c>
      <c r="EE133" s="228">
        <v>10</v>
      </c>
      <c r="EF133" s="229">
        <v>6.4000000000000003E-3</v>
      </c>
      <c r="EG133" s="230">
        <v>507153</v>
      </c>
      <c r="EH133" s="230">
        <v>286616</v>
      </c>
      <c r="EI133" s="229">
        <v>0.76949999999999996</v>
      </c>
      <c r="EJ133" s="229">
        <v>0.51180000000000003</v>
      </c>
      <c r="EK133" s="228">
        <v>822.06</v>
      </c>
      <c r="EL133" s="228">
        <v>368.25</v>
      </c>
      <c r="EM133" s="228">
        <v>386.33</v>
      </c>
      <c r="EN133" s="228">
        <v>14.47</v>
      </c>
      <c r="EO133" s="231">
        <v>1576.63</v>
      </c>
      <c r="EP133" s="228">
        <v>528.96</v>
      </c>
      <c r="EQ133" s="231">
        <v>1047.68</v>
      </c>
      <c r="ER133" s="229">
        <v>1.9805999999999999</v>
      </c>
      <c r="ES133" s="228">
        <v>347.68</v>
      </c>
      <c r="ET133" s="228">
        <v>171.54</v>
      </c>
      <c r="EU133" s="228">
        <v>924.83</v>
      </c>
      <c r="EV133" s="231">
        <v>34712157</v>
      </c>
      <c r="EW133" s="231">
        <v>1444.04</v>
      </c>
      <c r="EX133" s="231">
        <v>1315.42</v>
      </c>
      <c r="EY133" s="228">
        <v>128.62</v>
      </c>
      <c r="EZ133" s="229">
        <v>9.7799999999999998E-2</v>
      </c>
      <c r="FA133" s="229">
        <v>0.2641</v>
      </c>
      <c r="FB133" s="227" t="s">
        <v>568</v>
      </c>
      <c r="FC133">
        <f t="shared" si="2"/>
        <v>25</v>
      </c>
    </row>
    <row r="134" spans="1:159" ht="17.25" thickBot="1" x14ac:dyDescent="0.3">
      <c r="A134" s="226">
        <v>45946</v>
      </c>
      <c r="B134" s="227" t="s">
        <v>181</v>
      </c>
      <c r="C134" s="227" t="s">
        <v>563</v>
      </c>
      <c r="D134" s="228">
        <v>140</v>
      </c>
      <c r="E134" s="228">
        <v>12</v>
      </c>
      <c r="F134" s="231">
        <v>13321.8</v>
      </c>
      <c r="G134" s="231">
        <v>13217.3</v>
      </c>
      <c r="H134" s="228">
        <v>104.5</v>
      </c>
      <c r="I134" s="229">
        <v>7.9000000000000008E-3</v>
      </c>
      <c r="J134" s="231">
        <v>13260.85</v>
      </c>
      <c r="K134" s="231">
        <v>13161.95</v>
      </c>
      <c r="L134" s="228">
        <v>98.9</v>
      </c>
      <c r="M134" s="229">
        <v>7.4999999999999997E-3</v>
      </c>
      <c r="N134" s="231">
        <v>13321.8</v>
      </c>
      <c r="O134" s="231">
        <v>13217.3</v>
      </c>
      <c r="P134" s="228">
        <v>104.5</v>
      </c>
      <c r="Q134" s="229">
        <v>7.9000000000000008E-3</v>
      </c>
      <c r="R134" s="231">
        <v>13370.35</v>
      </c>
      <c r="S134" s="231">
        <v>13270.9</v>
      </c>
      <c r="T134" s="228">
        <v>99.45</v>
      </c>
      <c r="U134" s="229">
        <v>7.4999999999999997E-3</v>
      </c>
      <c r="V134" s="231">
        <v>13422.6</v>
      </c>
      <c r="W134" s="231">
        <v>13325.9</v>
      </c>
      <c r="X134" s="228">
        <v>96.7</v>
      </c>
      <c r="Y134" s="229">
        <v>7.3000000000000001E-3</v>
      </c>
      <c r="Z134" s="228">
        <v>60.95</v>
      </c>
      <c r="AA134" s="228">
        <v>55.35</v>
      </c>
      <c r="AB134" s="228">
        <v>5.6</v>
      </c>
      <c r="AC134" s="229">
        <v>4.5999999999999999E-3</v>
      </c>
      <c r="AD134" s="228">
        <v>60.95</v>
      </c>
      <c r="AE134" s="228">
        <v>55.35</v>
      </c>
      <c r="AF134" s="228">
        <v>5.6</v>
      </c>
      <c r="AG134" s="229">
        <v>4.5999999999999999E-3</v>
      </c>
      <c r="AH134" s="228">
        <v>109.5</v>
      </c>
      <c r="AI134" s="228">
        <v>108.95</v>
      </c>
      <c r="AJ134" s="228">
        <v>0.55000000000000004</v>
      </c>
      <c r="AK134" s="229">
        <v>8.3000000000000001E-3</v>
      </c>
      <c r="AL134" s="228">
        <v>161.75</v>
      </c>
      <c r="AM134" s="228">
        <v>163.95</v>
      </c>
      <c r="AN134" s="228">
        <v>-2.2000000000000002</v>
      </c>
      <c r="AO134" s="229">
        <v>1.2200000000000001E-2</v>
      </c>
      <c r="AP134" s="231">
        <v>13303.59</v>
      </c>
      <c r="AQ134" s="231">
        <v>13355.1</v>
      </c>
      <c r="AR134" s="228">
        <v>0</v>
      </c>
      <c r="AS134" s="230">
        <v>1213</v>
      </c>
      <c r="AT134" s="228">
        <v>742</v>
      </c>
      <c r="AU134" s="228">
        <v>471</v>
      </c>
      <c r="AV134" s="229">
        <v>0.63460000000000005</v>
      </c>
      <c r="AW134" s="230">
        <v>1126</v>
      </c>
      <c r="AX134" s="228">
        <v>675</v>
      </c>
      <c r="AY134" s="228">
        <v>451</v>
      </c>
      <c r="AZ134" s="229">
        <v>0.66869999999999996</v>
      </c>
      <c r="BA134" s="228">
        <v>78</v>
      </c>
      <c r="BB134" s="228">
        <v>62</v>
      </c>
      <c r="BC134" s="228">
        <v>16</v>
      </c>
      <c r="BD134" s="229">
        <v>0.25600000000000001</v>
      </c>
      <c r="BE134" s="228">
        <v>9</v>
      </c>
      <c r="BF134" s="228">
        <v>5</v>
      </c>
      <c r="BG134" s="228">
        <v>4</v>
      </c>
      <c r="BH134" s="229">
        <v>0.71430000000000005</v>
      </c>
      <c r="BI134" s="230">
        <v>27178</v>
      </c>
      <c r="BJ134" s="230">
        <v>24188</v>
      </c>
      <c r="BK134" s="230">
        <v>2990</v>
      </c>
      <c r="BL134" s="229">
        <v>0.1236</v>
      </c>
      <c r="BM134" s="230">
        <v>26554</v>
      </c>
      <c r="BN134" s="230">
        <v>23607</v>
      </c>
      <c r="BO134" s="230">
        <v>2947</v>
      </c>
      <c r="BP134" s="229">
        <v>0.12479999999999999</v>
      </c>
      <c r="BQ134" s="230">
        <v>54945</v>
      </c>
      <c r="BR134" s="230">
        <v>48537</v>
      </c>
      <c r="BS134" s="230">
        <v>6408</v>
      </c>
      <c r="BT134" s="229">
        <v>0.13200000000000001</v>
      </c>
      <c r="BU134" s="228">
        <v>0</v>
      </c>
      <c r="BV134" s="228">
        <v>0</v>
      </c>
      <c r="BW134" s="228">
        <v>0</v>
      </c>
      <c r="BX134" s="229">
        <v>0</v>
      </c>
      <c r="BY134" s="230">
        <v>3809</v>
      </c>
      <c r="BZ134" s="230">
        <v>3678</v>
      </c>
      <c r="CA134" s="228">
        <v>131</v>
      </c>
      <c r="CB134" s="229">
        <v>3.5700000000000003E-2</v>
      </c>
      <c r="CC134" s="230">
        <v>3646</v>
      </c>
      <c r="CD134" s="230">
        <v>3541</v>
      </c>
      <c r="CE134" s="228">
        <v>105</v>
      </c>
      <c r="CF134" s="229">
        <v>2.9700000000000001E-2</v>
      </c>
      <c r="CG134" s="228">
        <v>153</v>
      </c>
      <c r="CH134" s="228">
        <v>129</v>
      </c>
      <c r="CI134" s="228">
        <v>24</v>
      </c>
      <c r="CJ134" s="229">
        <v>0.1855</v>
      </c>
      <c r="CK134" s="228">
        <v>11</v>
      </c>
      <c r="CL134" s="228">
        <v>8</v>
      </c>
      <c r="CM134" s="228">
        <v>2</v>
      </c>
      <c r="CN134" s="229">
        <v>0.26669999999999999</v>
      </c>
      <c r="CO134" s="230">
        <v>9393</v>
      </c>
      <c r="CP134" s="230">
        <v>9392</v>
      </c>
      <c r="CQ134" s="228">
        <v>1</v>
      </c>
      <c r="CR134" s="229">
        <v>1E-4</v>
      </c>
      <c r="CS134" s="230">
        <v>12640</v>
      </c>
      <c r="CT134" s="230">
        <v>11043</v>
      </c>
      <c r="CU134" s="230">
        <v>1597</v>
      </c>
      <c r="CV134" s="229">
        <v>0.14460000000000001</v>
      </c>
      <c r="CW134" s="230">
        <v>25842</v>
      </c>
      <c r="CX134" s="230">
        <v>24113</v>
      </c>
      <c r="CY134" s="230">
        <v>1729</v>
      </c>
      <c r="CZ134" s="229">
        <v>7.17E-2</v>
      </c>
      <c r="DA134" s="228">
        <v>15.15</v>
      </c>
      <c r="DB134" s="228">
        <v>15.31</v>
      </c>
      <c r="DC134" s="228">
        <v>-0.16</v>
      </c>
      <c r="DD134" s="228">
        <v>-0.16</v>
      </c>
      <c r="DE134" s="228">
        <v>22.89</v>
      </c>
      <c r="DF134" s="228">
        <v>22.92</v>
      </c>
      <c r="DG134" s="228">
        <v>-7.74</v>
      </c>
      <c r="DH134" s="228">
        <v>-0.03</v>
      </c>
      <c r="DI134" s="228">
        <v>13.03</v>
      </c>
      <c r="DJ134" s="228">
        <v>14.07</v>
      </c>
      <c r="DK134" s="228">
        <v>-1.04</v>
      </c>
      <c r="DL134" s="228">
        <v>-1.04</v>
      </c>
      <c r="DM134" s="228">
        <v>17.329999999999998</v>
      </c>
      <c r="DN134" s="228">
        <v>16.579999999999998</v>
      </c>
      <c r="DO134" s="228">
        <v>0.75</v>
      </c>
      <c r="DP134" s="228">
        <v>0.75</v>
      </c>
      <c r="DQ134" s="228">
        <v>1.35</v>
      </c>
      <c r="DR134" s="228">
        <v>1.18</v>
      </c>
      <c r="DS134" s="228">
        <v>0.17</v>
      </c>
      <c r="DT134" s="229">
        <v>0.14410000000000001</v>
      </c>
      <c r="DU134" s="231">
        <v>13500</v>
      </c>
      <c r="DV134" s="231">
        <v>12500</v>
      </c>
      <c r="DW134" s="228">
        <v>0.98</v>
      </c>
      <c r="DX134" s="228">
        <v>0.98</v>
      </c>
      <c r="DY134" s="228">
        <v>0</v>
      </c>
      <c r="DZ134" s="229">
        <v>0</v>
      </c>
      <c r="EA134" s="229">
        <v>4.2799999999999998E-2</v>
      </c>
      <c r="EB134" s="230">
        <v>102900</v>
      </c>
      <c r="EC134" s="229">
        <v>3.5999999999999999E-3</v>
      </c>
      <c r="ED134" s="229">
        <v>4.2799999999999998E-2</v>
      </c>
      <c r="EE134" s="228">
        <v>51.51</v>
      </c>
      <c r="EF134" s="229">
        <v>3.8999999999999998E-3</v>
      </c>
      <c r="EG134" s="228">
        <v>0</v>
      </c>
      <c r="EH134" s="228">
        <v>0</v>
      </c>
      <c r="EI134" s="229">
        <v>0</v>
      </c>
      <c r="EJ134" s="229">
        <v>0</v>
      </c>
      <c r="EK134" s="231">
        <v>27585.09</v>
      </c>
      <c r="EL134" s="231">
        <v>25767.16</v>
      </c>
      <c r="EM134" s="231">
        <v>1211.75</v>
      </c>
      <c r="EN134" s="228">
        <v>0</v>
      </c>
      <c r="EO134" s="231">
        <v>54564</v>
      </c>
      <c r="EP134" s="231">
        <v>48100.22</v>
      </c>
      <c r="EQ134" s="231">
        <v>6463.77</v>
      </c>
      <c r="ER134" s="229">
        <v>0.13439999999999999</v>
      </c>
      <c r="ES134" s="231">
        <v>9442.2900000000009</v>
      </c>
      <c r="ET134" s="231">
        <v>12049.76</v>
      </c>
      <c r="EU134" s="231">
        <v>3809.45</v>
      </c>
      <c r="EV134" s="228">
        <v>0</v>
      </c>
      <c r="EW134" s="231">
        <v>25301.5</v>
      </c>
      <c r="EX134" s="231">
        <v>23539.27</v>
      </c>
      <c r="EY134" s="231">
        <v>1762.23</v>
      </c>
      <c r="EZ134" s="229">
        <v>7.4899999999999994E-2</v>
      </c>
      <c r="FA134" s="229">
        <v>0</v>
      </c>
      <c r="FB134" s="227" t="s">
        <v>555</v>
      </c>
      <c r="FC134">
        <f t="shared" si="2"/>
        <v>163</v>
      </c>
    </row>
    <row r="135" spans="1:159" ht="17.25" thickBot="1" x14ac:dyDescent="0.3">
      <c r="A135" s="226">
        <v>45946</v>
      </c>
      <c r="B135" s="227" t="s">
        <v>162</v>
      </c>
      <c r="C135" s="227" t="s">
        <v>559</v>
      </c>
      <c r="D135" s="228">
        <v>6150</v>
      </c>
      <c r="E135" s="228">
        <v>12</v>
      </c>
      <c r="F135" s="228">
        <v>107.65</v>
      </c>
      <c r="G135" s="228">
        <v>105.22</v>
      </c>
      <c r="H135" s="228">
        <v>2.4300000000000002</v>
      </c>
      <c r="I135" s="229">
        <v>2.3099999999999999E-2</v>
      </c>
      <c r="J135" s="228">
        <v>107.27</v>
      </c>
      <c r="K135" s="228">
        <v>104.78</v>
      </c>
      <c r="L135" s="228">
        <v>2.4900000000000002</v>
      </c>
      <c r="M135" s="229">
        <v>2.3800000000000002E-2</v>
      </c>
      <c r="N135" s="228">
        <v>107.65</v>
      </c>
      <c r="O135" s="228">
        <v>105.22</v>
      </c>
      <c r="P135" s="228">
        <v>2.4300000000000002</v>
      </c>
      <c r="Q135" s="229">
        <v>2.3099999999999999E-2</v>
      </c>
      <c r="R135" s="228">
        <v>108.24</v>
      </c>
      <c r="S135" s="228">
        <v>105.78</v>
      </c>
      <c r="T135" s="228">
        <v>2.46</v>
      </c>
      <c r="U135" s="229">
        <v>2.3300000000000001E-2</v>
      </c>
      <c r="V135" s="228">
        <v>108.96</v>
      </c>
      <c r="W135" s="228">
        <v>106.32</v>
      </c>
      <c r="X135" s="228">
        <v>2.64</v>
      </c>
      <c r="Y135" s="229">
        <v>2.4799999999999999E-2</v>
      </c>
      <c r="Z135" s="228">
        <v>0.38</v>
      </c>
      <c r="AA135" s="228">
        <v>0.44</v>
      </c>
      <c r="AB135" s="228">
        <v>-0.06</v>
      </c>
      <c r="AC135" s="229">
        <v>3.5000000000000001E-3</v>
      </c>
      <c r="AD135" s="228">
        <v>0.38</v>
      </c>
      <c r="AE135" s="228">
        <v>0.44</v>
      </c>
      <c r="AF135" s="228">
        <v>-0.06</v>
      </c>
      <c r="AG135" s="229">
        <v>3.5000000000000001E-3</v>
      </c>
      <c r="AH135" s="228">
        <v>0.97</v>
      </c>
      <c r="AI135" s="228">
        <v>1</v>
      </c>
      <c r="AJ135" s="228">
        <v>-0.03</v>
      </c>
      <c r="AK135" s="229">
        <v>8.9999999999999993E-3</v>
      </c>
      <c r="AL135" s="228">
        <v>1.69</v>
      </c>
      <c r="AM135" s="228">
        <v>1.54</v>
      </c>
      <c r="AN135" s="228">
        <v>0.15</v>
      </c>
      <c r="AO135" s="229">
        <v>1.5800000000000002E-2</v>
      </c>
      <c r="AP135" s="228">
        <v>107.85</v>
      </c>
      <c r="AQ135" s="228">
        <v>108.48</v>
      </c>
      <c r="AR135" s="228">
        <v>0</v>
      </c>
      <c r="AS135" s="228">
        <v>431</v>
      </c>
      <c r="AT135" s="228">
        <v>202</v>
      </c>
      <c r="AU135" s="228">
        <v>229</v>
      </c>
      <c r="AV135" s="229">
        <v>1.1372</v>
      </c>
      <c r="AW135" s="228">
        <v>364</v>
      </c>
      <c r="AX135" s="228">
        <v>178</v>
      </c>
      <c r="AY135" s="228">
        <v>186</v>
      </c>
      <c r="AZ135" s="229">
        <v>1.0416000000000001</v>
      </c>
      <c r="BA135" s="228">
        <v>60</v>
      </c>
      <c r="BB135" s="228">
        <v>22</v>
      </c>
      <c r="BC135" s="228">
        <v>38</v>
      </c>
      <c r="BD135" s="229">
        <v>1.7628999999999999</v>
      </c>
      <c r="BE135" s="228">
        <v>7</v>
      </c>
      <c r="BF135" s="228">
        <v>2</v>
      </c>
      <c r="BG135" s="228">
        <v>5</v>
      </c>
      <c r="BH135" s="229">
        <v>3.2917000000000001</v>
      </c>
      <c r="BI135" s="230">
        <v>1503</v>
      </c>
      <c r="BJ135" s="228">
        <v>649</v>
      </c>
      <c r="BK135" s="228">
        <v>854</v>
      </c>
      <c r="BL135" s="229">
        <v>1.3150999999999999</v>
      </c>
      <c r="BM135" s="228">
        <v>640</v>
      </c>
      <c r="BN135" s="228">
        <v>227</v>
      </c>
      <c r="BO135" s="228">
        <v>413</v>
      </c>
      <c r="BP135" s="229">
        <v>1.8187</v>
      </c>
      <c r="BQ135" s="230">
        <v>2574</v>
      </c>
      <c r="BR135" s="230">
        <v>1078</v>
      </c>
      <c r="BS135" s="230">
        <v>1496</v>
      </c>
      <c r="BT135" s="229">
        <v>1.3878999999999999</v>
      </c>
      <c r="BU135" s="230">
        <v>20072519</v>
      </c>
      <c r="BV135" s="230">
        <v>14165331</v>
      </c>
      <c r="BW135" s="230">
        <v>5907188</v>
      </c>
      <c r="BX135" s="229">
        <v>0.41699999999999998</v>
      </c>
      <c r="BY135" s="230">
        <v>1828</v>
      </c>
      <c r="BZ135" s="230">
        <v>1813</v>
      </c>
      <c r="CA135" s="228">
        <v>14</v>
      </c>
      <c r="CB135" s="229">
        <v>7.9000000000000008E-3</v>
      </c>
      <c r="CC135" s="230">
        <v>1731</v>
      </c>
      <c r="CD135" s="230">
        <v>1726</v>
      </c>
      <c r="CE135" s="228">
        <v>5</v>
      </c>
      <c r="CF135" s="229">
        <v>3.2000000000000002E-3</v>
      </c>
      <c r="CG135" s="228">
        <v>89</v>
      </c>
      <c r="CH135" s="228">
        <v>79</v>
      </c>
      <c r="CI135" s="228">
        <v>9</v>
      </c>
      <c r="CJ135" s="229">
        <v>0.11509999999999999</v>
      </c>
      <c r="CK135" s="228">
        <v>8</v>
      </c>
      <c r="CL135" s="228">
        <v>8</v>
      </c>
      <c r="CM135" s="228">
        <v>0</v>
      </c>
      <c r="CN135" s="229">
        <v>-4.1300000000000003E-2</v>
      </c>
      <c r="CO135" s="228">
        <v>689</v>
      </c>
      <c r="CP135" s="228">
        <v>717</v>
      </c>
      <c r="CQ135" s="228">
        <v>-28</v>
      </c>
      <c r="CR135" s="229">
        <v>-3.9100000000000003E-2</v>
      </c>
      <c r="CS135" s="228">
        <v>394</v>
      </c>
      <c r="CT135" s="228">
        <v>349</v>
      </c>
      <c r="CU135" s="228">
        <v>45</v>
      </c>
      <c r="CV135" s="229">
        <v>0.13009999999999999</v>
      </c>
      <c r="CW135" s="230">
        <v>2911</v>
      </c>
      <c r="CX135" s="230">
        <v>2879</v>
      </c>
      <c r="CY135" s="228">
        <v>32</v>
      </c>
      <c r="CZ135" s="229">
        <v>1.0999999999999999E-2</v>
      </c>
      <c r="DA135" s="228">
        <v>30.68</v>
      </c>
      <c r="DB135" s="228">
        <v>32.090000000000003</v>
      </c>
      <c r="DC135" s="228">
        <v>-1.41</v>
      </c>
      <c r="DD135" s="228">
        <v>-1.41</v>
      </c>
      <c r="DE135" s="228">
        <v>41.04</v>
      </c>
      <c r="DF135" s="228">
        <v>41.02</v>
      </c>
      <c r="DG135" s="228">
        <v>-10.36</v>
      </c>
      <c r="DH135" s="228">
        <v>0.02</v>
      </c>
      <c r="DI135" s="228">
        <v>30.78</v>
      </c>
      <c r="DJ135" s="228">
        <v>32.19</v>
      </c>
      <c r="DK135" s="228">
        <v>-1.41</v>
      </c>
      <c r="DL135" s="228">
        <v>-1.41</v>
      </c>
      <c r="DM135" s="228">
        <v>30.44</v>
      </c>
      <c r="DN135" s="228">
        <v>31.81</v>
      </c>
      <c r="DO135" s="228">
        <v>-1.37</v>
      </c>
      <c r="DP135" s="228">
        <v>-1.37</v>
      </c>
      <c r="DQ135" s="228">
        <v>0.56999999999999995</v>
      </c>
      <c r="DR135" s="228">
        <v>0.49</v>
      </c>
      <c r="DS135" s="228">
        <v>0.08</v>
      </c>
      <c r="DT135" s="229">
        <v>0.1633</v>
      </c>
      <c r="DU135" s="228">
        <v>110</v>
      </c>
      <c r="DV135" s="228">
        <v>100</v>
      </c>
      <c r="DW135" s="228">
        <v>0.43</v>
      </c>
      <c r="DX135" s="228">
        <v>0.35</v>
      </c>
      <c r="DY135" s="228">
        <v>0.08</v>
      </c>
      <c r="DZ135" s="229">
        <v>0.2286</v>
      </c>
      <c r="EA135" s="229">
        <v>5.2600000000000001E-2</v>
      </c>
      <c r="EB135" s="230">
        <v>8118000</v>
      </c>
      <c r="EC135" s="229">
        <v>5.4999999999999997E-3</v>
      </c>
      <c r="ED135" s="229">
        <v>5.2600000000000001E-2</v>
      </c>
      <c r="EE135" s="228">
        <v>0.63</v>
      </c>
      <c r="EF135" s="229">
        <v>5.7999999999999996E-3</v>
      </c>
      <c r="EG135" s="230">
        <v>6884919</v>
      </c>
      <c r="EH135" s="230">
        <v>6958693</v>
      </c>
      <c r="EI135" s="229">
        <v>-1.06E-2</v>
      </c>
      <c r="EJ135" s="229">
        <v>0.34300000000000003</v>
      </c>
      <c r="EK135" s="231">
        <v>1557.34</v>
      </c>
      <c r="EL135" s="228">
        <v>629.14</v>
      </c>
      <c r="EM135" s="228">
        <v>432.35</v>
      </c>
      <c r="EN135" s="228">
        <v>38.74</v>
      </c>
      <c r="EO135" s="231">
        <v>2618.83</v>
      </c>
      <c r="EP135" s="231">
        <v>1082.78</v>
      </c>
      <c r="EQ135" s="231">
        <v>1536.05</v>
      </c>
      <c r="ER135" s="229">
        <v>1.4186000000000001</v>
      </c>
      <c r="ES135" s="228">
        <v>713.22</v>
      </c>
      <c r="ET135" s="228">
        <v>376.11</v>
      </c>
      <c r="EU135" s="231">
        <v>1828.09</v>
      </c>
      <c r="EV135" s="231">
        <v>542522848</v>
      </c>
      <c r="EW135" s="231">
        <v>2917.43</v>
      </c>
      <c r="EX135" s="231">
        <v>2842.29</v>
      </c>
      <c r="EY135" s="228">
        <v>75.14</v>
      </c>
      <c r="EZ135" s="229">
        <v>2.64E-2</v>
      </c>
      <c r="FA135" s="229">
        <v>0.49840000000000001</v>
      </c>
      <c r="FB135" s="227" t="s">
        <v>555</v>
      </c>
      <c r="FC135">
        <f t="shared" si="2"/>
        <v>97</v>
      </c>
    </row>
    <row r="136" spans="1:159" ht="17.25" thickBot="1" x14ac:dyDescent="0.3">
      <c r="A136" s="226">
        <v>45946</v>
      </c>
      <c r="B136" s="227" t="s">
        <v>221</v>
      </c>
      <c r="C136" s="227" t="s">
        <v>487</v>
      </c>
      <c r="D136" s="228">
        <v>275</v>
      </c>
      <c r="E136" s="228">
        <v>12</v>
      </c>
      <c r="F136" s="231">
        <v>2792.7</v>
      </c>
      <c r="G136" s="231">
        <v>2793.9</v>
      </c>
      <c r="H136" s="228">
        <v>-1.2</v>
      </c>
      <c r="I136" s="229">
        <v>-4.0000000000000002E-4</v>
      </c>
      <c r="J136" s="231">
        <v>2783.6</v>
      </c>
      <c r="K136" s="231">
        <v>2781.9</v>
      </c>
      <c r="L136" s="228">
        <v>1.7</v>
      </c>
      <c r="M136" s="229">
        <v>5.9999999999999995E-4</v>
      </c>
      <c r="N136" s="231">
        <v>2792.7</v>
      </c>
      <c r="O136" s="231">
        <v>2793.9</v>
      </c>
      <c r="P136" s="228">
        <v>-1.2</v>
      </c>
      <c r="Q136" s="229">
        <v>-4.0000000000000002E-4</v>
      </c>
      <c r="R136" s="231">
        <v>2808.2</v>
      </c>
      <c r="S136" s="231">
        <v>2808.9</v>
      </c>
      <c r="T136" s="228">
        <v>-0.7</v>
      </c>
      <c r="U136" s="229">
        <v>-2.0000000000000001E-4</v>
      </c>
      <c r="V136" s="231">
        <v>2818</v>
      </c>
      <c r="W136" s="231">
        <v>2830</v>
      </c>
      <c r="X136" s="228">
        <v>-12</v>
      </c>
      <c r="Y136" s="229">
        <v>-4.1999999999999997E-3</v>
      </c>
      <c r="Z136" s="228">
        <v>9.1</v>
      </c>
      <c r="AA136" s="228">
        <v>12</v>
      </c>
      <c r="AB136" s="228">
        <v>-2.9</v>
      </c>
      <c r="AC136" s="229">
        <v>3.3E-3</v>
      </c>
      <c r="AD136" s="228">
        <v>9.1</v>
      </c>
      <c r="AE136" s="228">
        <v>12</v>
      </c>
      <c r="AF136" s="228">
        <v>-2.9</v>
      </c>
      <c r="AG136" s="229">
        <v>3.3E-3</v>
      </c>
      <c r="AH136" s="228">
        <v>24.6</v>
      </c>
      <c r="AI136" s="228">
        <v>27</v>
      </c>
      <c r="AJ136" s="228">
        <v>-2.4</v>
      </c>
      <c r="AK136" s="229">
        <v>8.8000000000000005E-3</v>
      </c>
      <c r="AL136" s="228">
        <v>34.4</v>
      </c>
      <c r="AM136" s="228">
        <v>48.1</v>
      </c>
      <c r="AN136" s="228">
        <v>-13.7</v>
      </c>
      <c r="AO136" s="229">
        <v>1.24E-2</v>
      </c>
      <c r="AP136" s="231">
        <v>2785.4</v>
      </c>
      <c r="AQ136" s="231">
        <v>2797.53</v>
      </c>
      <c r="AR136" s="228">
        <v>0</v>
      </c>
      <c r="AS136" s="228">
        <v>123</v>
      </c>
      <c r="AT136" s="228">
        <v>224</v>
      </c>
      <c r="AU136" s="228">
        <v>-101</v>
      </c>
      <c r="AV136" s="229">
        <v>-0.45050000000000001</v>
      </c>
      <c r="AW136" s="228">
        <v>116</v>
      </c>
      <c r="AX136" s="228">
        <v>213</v>
      </c>
      <c r="AY136" s="228">
        <v>-97</v>
      </c>
      <c r="AZ136" s="229">
        <v>-0.45729999999999998</v>
      </c>
      <c r="BA136" s="228">
        <v>7</v>
      </c>
      <c r="BB136" s="228">
        <v>11</v>
      </c>
      <c r="BC136" s="228">
        <v>-4</v>
      </c>
      <c r="BD136" s="229">
        <v>-0.32640000000000002</v>
      </c>
      <c r="BE136" s="228">
        <v>0</v>
      </c>
      <c r="BF136" s="228">
        <v>0</v>
      </c>
      <c r="BG136" s="228">
        <v>0</v>
      </c>
      <c r="BH136" s="229">
        <v>0</v>
      </c>
      <c r="BI136" s="228">
        <v>249</v>
      </c>
      <c r="BJ136" s="228">
        <v>487</v>
      </c>
      <c r="BK136" s="228">
        <v>-238</v>
      </c>
      <c r="BL136" s="229">
        <v>-0.48859999999999998</v>
      </c>
      <c r="BM136" s="228">
        <v>110</v>
      </c>
      <c r="BN136" s="228">
        <v>174</v>
      </c>
      <c r="BO136" s="228">
        <v>-64</v>
      </c>
      <c r="BP136" s="229">
        <v>-0.36880000000000002</v>
      </c>
      <c r="BQ136" s="228">
        <v>482</v>
      </c>
      <c r="BR136" s="228">
        <v>885</v>
      </c>
      <c r="BS136" s="228">
        <v>-403</v>
      </c>
      <c r="BT136" s="229">
        <v>-0.45540000000000003</v>
      </c>
      <c r="BU136" s="230">
        <v>193428</v>
      </c>
      <c r="BV136" s="230">
        <v>368201</v>
      </c>
      <c r="BW136" s="230">
        <v>-174773</v>
      </c>
      <c r="BX136" s="229">
        <v>-0.47470000000000001</v>
      </c>
      <c r="BY136" s="230">
        <v>1120</v>
      </c>
      <c r="BZ136" s="230">
        <v>1134</v>
      </c>
      <c r="CA136" s="228">
        <v>-14</v>
      </c>
      <c r="CB136" s="229">
        <v>-1.26E-2</v>
      </c>
      <c r="CC136" s="230">
        <v>1097</v>
      </c>
      <c r="CD136" s="230">
        <v>1112</v>
      </c>
      <c r="CE136" s="228">
        <v>-16</v>
      </c>
      <c r="CF136" s="229">
        <v>-1.3899999999999999E-2</v>
      </c>
      <c r="CG136" s="228">
        <v>22</v>
      </c>
      <c r="CH136" s="228">
        <v>21</v>
      </c>
      <c r="CI136" s="228">
        <v>1</v>
      </c>
      <c r="CJ136" s="229">
        <v>5.1299999999999998E-2</v>
      </c>
      <c r="CK136" s="228">
        <v>1</v>
      </c>
      <c r="CL136" s="228">
        <v>1</v>
      </c>
      <c r="CM136" s="228">
        <v>0</v>
      </c>
      <c r="CN136" s="229">
        <v>0.1429</v>
      </c>
      <c r="CO136" s="228">
        <v>351</v>
      </c>
      <c r="CP136" s="228">
        <v>359</v>
      </c>
      <c r="CQ136" s="228">
        <v>-8</v>
      </c>
      <c r="CR136" s="229">
        <v>-2.3099999999999999E-2</v>
      </c>
      <c r="CS136" s="228">
        <v>190</v>
      </c>
      <c r="CT136" s="228">
        <v>183</v>
      </c>
      <c r="CU136" s="228">
        <v>7</v>
      </c>
      <c r="CV136" s="229">
        <v>3.6900000000000002E-2</v>
      </c>
      <c r="CW136" s="230">
        <v>1661</v>
      </c>
      <c r="CX136" s="230">
        <v>1677</v>
      </c>
      <c r="CY136" s="228">
        <v>-16</v>
      </c>
      <c r="CZ136" s="229">
        <v>-9.4000000000000004E-3</v>
      </c>
      <c r="DA136" s="228">
        <v>29.7</v>
      </c>
      <c r="DB136" s="228">
        <v>30.06</v>
      </c>
      <c r="DC136" s="228">
        <v>-0.36</v>
      </c>
      <c r="DD136" s="228">
        <v>-0.36</v>
      </c>
      <c r="DE136" s="228">
        <v>37.520000000000003</v>
      </c>
      <c r="DF136" s="228">
        <v>37.61</v>
      </c>
      <c r="DG136" s="228">
        <v>-7.82</v>
      </c>
      <c r="DH136" s="228">
        <v>-0.09</v>
      </c>
      <c r="DI136" s="228">
        <v>29.69</v>
      </c>
      <c r="DJ136" s="228">
        <v>29.87</v>
      </c>
      <c r="DK136" s="228">
        <v>-0.18</v>
      </c>
      <c r="DL136" s="228">
        <v>-0.18</v>
      </c>
      <c r="DM136" s="228">
        <v>29.7</v>
      </c>
      <c r="DN136" s="228">
        <v>30.6</v>
      </c>
      <c r="DO136" s="228">
        <v>-0.9</v>
      </c>
      <c r="DP136" s="228">
        <v>-0.9</v>
      </c>
      <c r="DQ136" s="228">
        <v>0.54</v>
      </c>
      <c r="DR136" s="228">
        <v>0.51</v>
      </c>
      <c r="DS136" s="228">
        <v>0.03</v>
      </c>
      <c r="DT136" s="229">
        <v>5.8799999999999998E-2</v>
      </c>
      <c r="DU136" s="231">
        <v>2900</v>
      </c>
      <c r="DV136" s="231">
        <v>2600</v>
      </c>
      <c r="DW136" s="228">
        <v>0.44</v>
      </c>
      <c r="DX136" s="228">
        <v>0.36</v>
      </c>
      <c r="DY136" s="228">
        <v>0.08</v>
      </c>
      <c r="DZ136" s="229">
        <v>0.22220000000000001</v>
      </c>
      <c r="EA136" s="229">
        <v>2.0799999999999999E-2</v>
      </c>
      <c r="EB136" s="230">
        <v>78925</v>
      </c>
      <c r="EC136" s="229">
        <v>5.5999999999999999E-3</v>
      </c>
      <c r="ED136" s="229">
        <v>2.0799999999999999E-2</v>
      </c>
      <c r="EE136" s="228">
        <v>12.13</v>
      </c>
      <c r="EF136" s="229">
        <v>4.4000000000000003E-3</v>
      </c>
      <c r="EG136" s="230">
        <v>70582</v>
      </c>
      <c r="EH136" s="230">
        <v>187300</v>
      </c>
      <c r="EI136" s="229">
        <v>-0.62319999999999998</v>
      </c>
      <c r="EJ136" s="229">
        <v>0.3649</v>
      </c>
      <c r="EK136" s="228">
        <v>258.07</v>
      </c>
      <c r="EL136" s="228">
        <v>109.53</v>
      </c>
      <c r="EM136" s="228">
        <v>122.9</v>
      </c>
      <c r="EN136" s="228">
        <v>25.28</v>
      </c>
      <c r="EO136" s="228">
        <v>490.5</v>
      </c>
      <c r="EP136" s="228">
        <v>903.96</v>
      </c>
      <c r="EQ136" s="228">
        <v>-413.46</v>
      </c>
      <c r="ER136" s="229">
        <v>-0.45739999999999997</v>
      </c>
      <c r="ES136" s="228">
        <v>366.97</v>
      </c>
      <c r="ET136" s="228">
        <v>181.27</v>
      </c>
      <c r="EU136" s="231">
        <v>1120.25</v>
      </c>
      <c r="EV136" s="231">
        <v>14652855</v>
      </c>
      <c r="EW136" s="231">
        <v>1668.49</v>
      </c>
      <c r="EX136" s="231">
        <v>1685.55</v>
      </c>
      <c r="EY136" s="228">
        <v>-17.059999999999999</v>
      </c>
      <c r="EZ136" s="229">
        <v>-1.01E-2</v>
      </c>
      <c r="FA136" s="229">
        <v>0.40589999999999998</v>
      </c>
      <c r="FB136" s="227" t="s">
        <v>568</v>
      </c>
      <c r="FC136">
        <f t="shared" si="2"/>
        <v>23</v>
      </c>
    </row>
    <row r="137" spans="1:159" ht="17.25" thickBot="1" x14ac:dyDescent="0.3">
      <c r="A137" s="226">
        <v>45946</v>
      </c>
      <c r="B137" s="227" t="s">
        <v>175</v>
      </c>
      <c r="C137" s="227" t="s">
        <v>262</v>
      </c>
      <c r="D137" s="228">
        <v>275</v>
      </c>
      <c r="E137" s="228">
        <v>12</v>
      </c>
      <c r="F137" s="231">
        <v>3275.2</v>
      </c>
      <c r="G137" s="231">
        <v>3272.2</v>
      </c>
      <c r="H137" s="228">
        <v>3</v>
      </c>
      <c r="I137" s="229">
        <v>8.9999999999999998E-4</v>
      </c>
      <c r="J137" s="231">
        <v>3268.5</v>
      </c>
      <c r="K137" s="231">
        <v>3260.3</v>
      </c>
      <c r="L137" s="228">
        <v>8.1999999999999993</v>
      </c>
      <c r="M137" s="229">
        <v>2.5000000000000001E-3</v>
      </c>
      <c r="N137" s="231">
        <v>3275.2</v>
      </c>
      <c r="O137" s="231">
        <v>3272.2</v>
      </c>
      <c r="P137" s="228">
        <v>3</v>
      </c>
      <c r="Q137" s="229">
        <v>8.9999999999999998E-4</v>
      </c>
      <c r="R137" s="231">
        <v>3291.1</v>
      </c>
      <c r="S137" s="231">
        <v>3281.3</v>
      </c>
      <c r="T137" s="228">
        <v>9.8000000000000007</v>
      </c>
      <c r="U137" s="229">
        <v>3.0000000000000001E-3</v>
      </c>
      <c r="V137" s="231">
        <v>3290.7</v>
      </c>
      <c r="W137" s="231">
        <v>3283.4</v>
      </c>
      <c r="X137" s="228">
        <v>7.3</v>
      </c>
      <c r="Y137" s="229">
        <v>2.2000000000000001E-3</v>
      </c>
      <c r="Z137" s="228">
        <v>6.7</v>
      </c>
      <c r="AA137" s="228">
        <v>11.9</v>
      </c>
      <c r="AB137" s="228">
        <v>-5.2</v>
      </c>
      <c r="AC137" s="229">
        <v>2E-3</v>
      </c>
      <c r="AD137" s="228">
        <v>6.7</v>
      </c>
      <c r="AE137" s="228">
        <v>11.9</v>
      </c>
      <c r="AF137" s="228">
        <v>-5.2</v>
      </c>
      <c r="AG137" s="229">
        <v>2E-3</v>
      </c>
      <c r="AH137" s="228">
        <v>22.6</v>
      </c>
      <c r="AI137" s="228">
        <v>21</v>
      </c>
      <c r="AJ137" s="228">
        <v>1.6</v>
      </c>
      <c r="AK137" s="229">
        <v>6.8999999999999999E-3</v>
      </c>
      <c r="AL137" s="228">
        <v>22.2</v>
      </c>
      <c r="AM137" s="228">
        <v>23.1</v>
      </c>
      <c r="AN137" s="228">
        <v>-0.9</v>
      </c>
      <c r="AO137" s="229">
        <v>6.7999999999999996E-3</v>
      </c>
      <c r="AP137" s="231">
        <v>3276.76</v>
      </c>
      <c r="AQ137" s="231">
        <v>3290.67</v>
      </c>
      <c r="AR137" s="228">
        <v>0</v>
      </c>
      <c r="AS137" s="228">
        <v>221</v>
      </c>
      <c r="AT137" s="228">
        <v>279</v>
      </c>
      <c r="AU137" s="228">
        <v>-58</v>
      </c>
      <c r="AV137" s="229">
        <v>-0.2084</v>
      </c>
      <c r="AW137" s="228">
        <v>173</v>
      </c>
      <c r="AX137" s="228">
        <v>259</v>
      </c>
      <c r="AY137" s="228">
        <v>-86</v>
      </c>
      <c r="AZ137" s="229">
        <v>-0.33289999999999997</v>
      </c>
      <c r="BA137" s="228">
        <v>45</v>
      </c>
      <c r="BB137" s="228">
        <v>17</v>
      </c>
      <c r="BC137" s="228">
        <v>28</v>
      </c>
      <c r="BD137" s="229">
        <v>1.6402000000000001</v>
      </c>
      <c r="BE137" s="228">
        <v>3</v>
      </c>
      <c r="BF137" s="228">
        <v>3</v>
      </c>
      <c r="BG137" s="228">
        <v>0</v>
      </c>
      <c r="BH137" s="229">
        <v>0.1071</v>
      </c>
      <c r="BI137" s="228">
        <v>970</v>
      </c>
      <c r="BJ137" s="230">
        <v>1313</v>
      </c>
      <c r="BK137" s="228">
        <v>-343</v>
      </c>
      <c r="BL137" s="229">
        <v>-0.26119999999999999</v>
      </c>
      <c r="BM137" s="228">
        <v>552</v>
      </c>
      <c r="BN137" s="228">
        <v>847</v>
      </c>
      <c r="BO137" s="228">
        <v>-295</v>
      </c>
      <c r="BP137" s="229">
        <v>-0.34820000000000001</v>
      </c>
      <c r="BQ137" s="230">
        <v>1742</v>
      </c>
      <c r="BR137" s="230">
        <v>2438</v>
      </c>
      <c r="BS137" s="228">
        <v>-696</v>
      </c>
      <c r="BT137" s="229">
        <v>-0.28539999999999999</v>
      </c>
      <c r="BU137" s="230">
        <v>244244</v>
      </c>
      <c r="BV137" s="230">
        <v>540246</v>
      </c>
      <c r="BW137" s="230">
        <v>-296002</v>
      </c>
      <c r="BX137" s="229">
        <v>-0.54790000000000005</v>
      </c>
      <c r="BY137" s="228">
        <v>885</v>
      </c>
      <c r="BZ137" s="228">
        <v>885</v>
      </c>
      <c r="CA137" s="228">
        <v>0</v>
      </c>
      <c r="CB137" s="229">
        <v>-2.0000000000000001E-4</v>
      </c>
      <c r="CC137" s="228">
        <v>829</v>
      </c>
      <c r="CD137" s="228">
        <v>841</v>
      </c>
      <c r="CE137" s="228">
        <v>-12</v>
      </c>
      <c r="CF137" s="229">
        <v>-1.46E-2</v>
      </c>
      <c r="CG137" s="228">
        <v>46</v>
      </c>
      <c r="CH137" s="228">
        <v>35</v>
      </c>
      <c r="CI137" s="228">
        <v>11</v>
      </c>
      <c r="CJ137" s="229">
        <v>0.32219999999999999</v>
      </c>
      <c r="CK137" s="228">
        <v>10</v>
      </c>
      <c r="CL137" s="228">
        <v>9</v>
      </c>
      <c r="CM137" s="228">
        <v>1</v>
      </c>
      <c r="CN137" s="229">
        <v>0.09</v>
      </c>
      <c r="CO137" s="228">
        <v>827</v>
      </c>
      <c r="CP137" s="228">
        <v>768</v>
      </c>
      <c r="CQ137" s="228">
        <v>59</v>
      </c>
      <c r="CR137" s="229">
        <v>7.6899999999999996E-2</v>
      </c>
      <c r="CS137" s="228">
        <v>583</v>
      </c>
      <c r="CT137" s="228">
        <v>539</v>
      </c>
      <c r="CU137" s="228">
        <v>44</v>
      </c>
      <c r="CV137" s="229">
        <v>8.1600000000000006E-2</v>
      </c>
      <c r="CW137" s="230">
        <v>2295</v>
      </c>
      <c r="CX137" s="230">
        <v>2192</v>
      </c>
      <c r="CY137" s="228">
        <v>103</v>
      </c>
      <c r="CZ137" s="229">
        <v>4.6899999999999997E-2</v>
      </c>
      <c r="DA137" s="228">
        <v>28.51</v>
      </c>
      <c r="DB137" s="228">
        <v>28.09</v>
      </c>
      <c r="DC137" s="228">
        <v>0.42</v>
      </c>
      <c r="DD137" s="228">
        <v>0.42</v>
      </c>
      <c r="DE137" s="228">
        <v>36.04</v>
      </c>
      <c r="DF137" s="228">
        <v>36.130000000000003</v>
      </c>
      <c r="DG137" s="228">
        <v>-7.53</v>
      </c>
      <c r="DH137" s="228">
        <v>-0.09</v>
      </c>
      <c r="DI137" s="228">
        <v>27.65</v>
      </c>
      <c r="DJ137" s="228">
        <v>27.27</v>
      </c>
      <c r="DK137" s="228">
        <v>0.38</v>
      </c>
      <c r="DL137" s="228">
        <v>0.38</v>
      </c>
      <c r="DM137" s="228">
        <v>30.03</v>
      </c>
      <c r="DN137" s="228">
        <v>29.36</v>
      </c>
      <c r="DO137" s="228">
        <v>0.67</v>
      </c>
      <c r="DP137" s="228">
        <v>0.67</v>
      </c>
      <c r="DQ137" s="228">
        <v>0.7</v>
      </c>
      <c r="DR137" s="228">
        <v>0.7</v>
      </c>
      <c r="DS137" s="228">
        <v>0</v>
      </c>
      <c r="DT137" s="229">
        <v>0</v>
      </c>
      <c r="DU137" s="231">
        <v>3200</v>
      </c>
      <c r="DV137" s="231">
        <v>3100</v>
      </c>
      <c r="DW137" s="228">
        <v>0.56999999999999995</v>
      </c>
      <c r="DX137" s="228">
        <v>0.64</v>
      </c>
      <c r="DY137" s="228">
        <v>-7.0000000000000007E-2</v>
      </c>
      <c r="DZ137" s="229">
        <v>-0.1094</v>
      </c>
      <c r="EA137" s="229">
        <v>6.3299999999999995E-2</v>
      </c>
      <c r="EB137" s="230">
        <v>134200</v>
      </c>
      <c r="EC137" s="229">
        <v>4.8999999999999998E-3</v>
      </c>
      <c r="ED137" s="229">
        <v>6.3299999999999995E-2</v>
      </c>
      <c r="EE137" s="228">
        <v>13.91</v>
      </c>
      <c r="EF137" s="229">
        <v>4.1999999999999997E-3</v>
      </c>
      <c r="EG137" s="230">
        <v>119464</v>
      </c>
      <c r="EH137" s="230">
        <v>295084</v>
      </c>
      <c r="EI137" s="229">
        <v>-0.59519999999999995</v>
      </c>
      <c r="EJ137" s="229">
        <v>0.48909999999999998</v>
      </c>
      <c r="EK137" s="231">
        <v>1002.84</v>
      </c>
      <c r="EL137" s="228">
        <v>537.66999999999996</v>
      </c>
      <c r="EM137" s="228">
        <v>220.98</v>
      </c>
      <c r="EN137" s="228">
        <v>34.89</v>
      </c>
      <c r="EO137" s="231">
        <v>1761.49</v>
      </c>
      <c r="EP137" s="231">
        <v>2469.7600000000002</v>
      </c>
      <c r="EQ137" s="228">
        <v>-708.27</v>
      </c>
      <c r="ER137" s="229">
        <v>-0.2868</v>
      </c>
      <c r="ES137" s="228">
        <v>827.16</v>
      </c>
      <c r="ET137" s="228">
        <v>547.23</v>
      </c>
      <c r="EU137" s="228">
        <v>884.83</v>
      </c>
      <c r="EV137" s="231">
        <v>16050690</v>
      </c>
      <c r="EW137" s="231">
        <v>2259.2199999999998</v>
      </c>
      <c r="EX137" s="231">
        <v>2156.37</v>
      </c>
      <c r="EY137" s="228">
        <v>102.85</v>
      </c>
      <c r="EZ137" s="229">
        <v>4.7699999999999999E-2</v>
      </c>
      <c r="FA137" s="229">
        <v>0.4365</v>
      </c>
      <c r="FB137" s="227" t="s">
        <v>556</v>
      </c>
      <c r="FC137">
        <f t="shared" si="2"/>
        <v>56</v>
      </c>
    </row>
    <row r="138" spans="1:159" ht="17.25" thickBot="1" x14ac:dyDescent="0.3">
      <c r="A138" s="226">
        <v>45946</v>
      </c>
      <c r="B138" s="227" t="s">
        <v>227</v>
      </c>
      <c r="C138" s="227" t="s">
        <v>263</v>
      </c>
      <c r="D138" s="228">
        <v>3750</v>
      </c>
      <c r="E138" s="228">
        <v>12</v>
      </c>
      <c r="F138" s="228">
        <v>227.14</v>
      </c>
      <c r="G138" s="228">
        <v>226.61</v>
      </c>
      <c r="H138" s="228">
        <v>0.53</v>
      </c>
      <c r="I138" s="229">
        <v>2.3E-3</v>
      </c>
      <c r="J138" s="228">
        <v>226.84</v>
      </c>
      <c r="K138" s="228">
        <v>226.55</v>
      </c>
      <c r="L138" s="228">
        <v>0.28999999999999998</v>
      </c>
      <c r="M138" s="229">
        <v>1.2999999999999999E-3</v>
      </c>
      <c r="N138" s="228">
        <v>227.14</v>
      </c>
      <c r="O138" s="228">
        <v>226.61</v>
      </c>
      <c r="P138" s="228">
        <v>0.53</v>
      </c>
      <c r="Q138" s="229">
        <v>2.3E-3</v>
      </c>
      <c r="R138" s="228">
        <v>227.44</v>
      </c>
      <c r="S138" s="228">
        <v>227.18</v>
      </c>
      <c r="T138" s="228">
        <v>0.26</v>
      </c>
      <c r="U138" s="229">
        <v>1.1000000000000001E-3</v>
      </c>
      <c r="V138" s="228">
        <v>228.27</v>
      </c>
      <c r="W138" s="228">
        <v>227.53</v>
      </c>
      <c r="X138" s="228">
        <v>0.74</v>
      </c>
      <c r="Y138" s="229">
        <v>3.3E-3</v>
      </c>
      <c r="Z138" s="228">
        <v>0.3</v>
      </c>
      <c r="AA138" s="228">
        <v>0.06</v>
      </c>
      <c r="AB138" s="228">
        <v>0.24</v>
      </c>
      <c r="AC138" s="229">
        <v>1.2999999999999999E-3</v>
      </c>
      <c r="AD138" s="228">
        <v>0.3</v>
      </c>
      <c r="AE138" s="228">
        <v>0.06</v>
      </c>
      <c r="AF138" s="228">
        <v>0.24</v>
      </c>
      <c r="AG138" s="229">
        <v>1.2999999999999999E-3</v>
      </c>
      <c r="AH138" s="228">
        <v>0.6</v>
      </c>
      <c r="AI138" s="228">
        <v>0.63</v>
      </c>
      <c r="AJ138" s="228">
        <v>-0.03</v>
      </c>
      <c r="AK138" s="229">
        <v>2.5999999999999999E-3</v>
      </c>
      <c r="AL138" s="228">
        <v>1.43</v>
      </c>
      <c r="AM138" s="228">
        <v>0.98</v>
      </c>
      <c r="AN138" s="228">
        <v>0.45</v>
      </c>
      <c r="AO138" s="229">
        <v>6.3E-3</v>
      </c>
      <c r="AP138" s="228">
        <v>226.81</v>
      </c>
      <c r="AQ138" s="228">
        <v>226.82</v>
      </c>
      <c r="AR138" s="228">
        <v>0</v>
      </c>
      <c r="AS138" s="228">
        <v>276</v>
      </c>
      <c r="AT138" s="228">
        <v>330</v>
      </c>
      <c r="AU138" s="228">
        <v>-54</v>
      </c>
      <c r="AV138" s="229">
        <v>-0.16489999999999999</v>
      </c>
      <c r="AW138" s="228">
        <v>228</v>
      </c>
      <c r="AX138" s="228">
        <v>292</v>
      </c>
      <c r="AY138" s="228">
        <v>-65</v>
      </c>
      <c r="AZ138" s="229">
        <v>-0.22109999999999999</v>
      </c>
      <c r="BA138" s="228">
        <v>46</v>
      </c>
      <c r="BB138" s="228">
        <v>34</v>
      </c>
      <c r="BC138" s="228">
        <v>12</v>
      </c>
      <c r="BD138" s="229">
        <v>0.36020000000000002</v>
      </c>
      <c r="BE138" s="228">
        <v>2</v>
      </c>
      <c r="BF138" s="228">
        <v>4</v>
      </c>
      <c r="BG138" s="228">
        <v>-2</v>
      </c>
      <c r="BH138" s="229">
        <v>-0.5111</v>
      </c>
      <c r="BI138" s="228">
        <v>737</v>
      </c>
      <c r="BJ138" s="228">
        <v>633</v>
      </c>
      <c r="BK138" s="228">
        <v>104</v>
      </c>
      <c r="BL138" s="229">
        <v>0.16420000000000001</v>
      </c>
      <c r="BM138" s="228">
        <v>368</v>
      </c>
      <c r="BN138" s="228">
        <v>355</v>
      </c>
      <c r="BO138" s="228">
        <v>13</v>
      </c>
      <c r="BP138" s="229">
        <v>3.7199999999999997E-2</v>
      </c>
      <c r="BQ138" s="230">
        <v>1381</v>
      </c>
      <c r="BR138" s="230">
        <v>1318</v>
      </c>
      <c r="BS138" s="228">
        <v>63</v>
      </c>
      <c r="BT138" s="229">
        <v>4.7600000000000003E-2</v>
      </c>
      <c r="BU138" s="230">
        <v>6648382</v>
      </c>
      <c r="BV138" s="230">
        <v>12908300</v>
      </c>
      <c r="BW138" s="230">
        <v>-6259918</v>
      </c>
      <c r="BX138" s="229">
        <v>-0.48499999999999999</v>
      </c>
      <c r="BY138" s="230">
        <v>1871</v>
      </c>
      <c r="BZ138" s="230">
        <v>1854</v>
      </c>
      <c r="CA138" s="228">
        <v>17</v>
      </c>
      <c r="CB138" s="229">
        <v>9.1999999999999998E-3</v>
      </c>
      <c r="CC138" s="230">
        <v>1742</v>
      </c>
      <c r="CD138" s="230">
        <v>1746</v>
      </c>
      <c r="CE138" s="228">
        <v>-5</v>
      </c>
      <c r="CF138" s="229">
        <v>-2.7000000000000001E-3</v>
      </c>
      <c r="CG138" s="228">
        <v>118</v>
      </c>
      <c r="CH138" s="228">
        <v>97</v>
      </c>
      <c r="CI138" s="228">
        <v>21</v>
      </c>
      <c r="CJ138" s="229">
        <v>0.22040000000000001</v>
      </c>
      <c r="CK138" s="228">
        <v>11</v>
      </c>
      <c r="CL138" s="228">
        <v>11</v>
      </c>
      <c r="CM138" s="228">
        <v>1</v>
      </c>
      <c r="CN138" s="229">
        <v>4.8399999999999999E-2</v>
      </c>
      <c r="CO138" s="228">
        <v>797</v>
      </c>
      <c r="CP138" s="228">
        <v>815</v>
      </c>
      <c r="CQ138" s="228">
        <v>-18</v>
      </c>
      <c r="CR138" s="229">
        <v>-2.1999999999999999E-2</v>
      </c>
      <c r="CS138" s="228">
        <v>575</v>
      </c>
      <c r="CT138" s="228">
        <v>568</v>
      </c>
      <c r="CU138" s="228">
        <v>7</v>
      </c>
      <c r="CV138" s="229">
        <v>1.24E-2</v>
      </c>
      <c r="CW138" s="230">
        <v>3243</v>
      </c>
      <c r="CX138" s="230">
        <v>3237</v>
      </c>
      <c r="CY138" s="228">
        <v>6</v>
      </c>
      <c r="CZ138" s="229">
        <v>1.9E-3</v>
      </c>
      <c r="DA138" s="228">
        <v>30.74</v>
      </c>
      <c r="DB138" s="228">
        <v>31.6</v>
      </c>
      <c r="DC138" s="228">
        <v>-0.86</v>
      </c>
      <c r="DD138" s="228">
        <v>-0.86</v>
      </c>
      <c r="DE138" s="228">
        <v>47.63</v>
      </c>
      <c r="DF138" s="228">
        <v>47.75</v>
      </c>
      <c r="DG138" s="228">
        <v>-16.89</v>
      </c>
      <c r="DH138" s="228">
        <v>-0.12</v>
      </c>
      <c r="DI138" s="228">
        <v>30.62</v>
      </c>
      <c r="DJ138" s="228">
        <v>31.3</v>
      </c>
      <c r="DK138" s="228">
        <v>-0.68</v>
      </c>
      <c r="DL138" s="228">
        <v>-0.68</v>
      </c>
      <c r="DM138" s="228">
        <v>30.97</v>
      </c>
      <c r="DN138" s="228">
        <v>32.130000000000003</v>
      </c>
      <c r="DO138" s="228">
        <v>-1.1599999999999999</v>
      </c>
      <c r="DP138" s="228">
        <v>-1.1599999999999999</v>
      </c>
      <c r="DQ138" s="228">
        <v>0.72</v>
      </c>
      <c r="DR138" s="228">
        <v>0.7</v>
      </c>
      <c r="DS138" s="228">
        <v>0.02</v>
      </c>
      <c r="DT138" s="229">
        <v>2.86E-2</v>
      </c>
      <c r="DU138" s="228">
        <v>230</v>
      </c>
      <c r="DV138" s="228">
        <v>220</v>
      </c>
      <c r="DW138" s="228">
        <v>0.5</v>
      </c>
      <c r="DX138" s="228">
        <v>0.56000000000000005</v>
      </c>
      <c r="DY138" s="228">
        <v>-0.06</v>
      </c>
      <c r="DZ138" s="229">
        <v>-0.1071</v>
      </c>
      <c r="EA138" s="229">
        <v>6.9199999999999998E-2</v>
      </c>
      <c r="EB138" s="230">
        <v>4736250</v>
      </c>
      <c r="EC138" s="229">
        <v>1.2999999999999999E-3</v>
      </c>
      <c r="ED138" s="229">
        <v>6.9199999999999998E-2</v>
      </c>
      <c r="EE138" s="228">
        <v>0.01</v>
      </c>
      <c r="EF138" s="229">
        <v>0</v>
      </c>
      <c r="EG138" s="230">
        <v>3211692</v>
      </c>
      <c r="EH138" s="230">
        <v>8626812</v>
      </c>
      <c r="EI138" s="229">
        <v>-0.62770000000000004</v>
      </c>
      <c r="EJ138" s="229">
        <v>0.48309999999999997</v>
      </c>
      <c r="EK138" s="228">
        <v>761.94</v>
      </c>
      <c r="EL138" s="228">
        <v>365.27</v>
      </c>
      <c r="EM138" s="228">
        <v>275.25</v>
      </c>
      <c r="EN138" s="228">
        <v>53.43</v>
      </c>
      <c r="EO138" s="231">
        <v>1402.46</v>
      </c>
      <c r="EP138" s="231">
        <v>1336.35</v>
      </c>
      <c r="EQ138" s="228">
        <v>66.12</v>
      </c>
      <c r="ER138" s="229">
        <v>4.9500000000000002E-2</v>
      </c>
      <c r="ES138" s="228">
        <v>807.12</v>
      </c>
      <c r="ET138" s="228">
        <v>545.07000000000005</v>
      </c>
      <c r="EU138" s="231">
        <v>1871.31</v>
      </c>
      <c r="EV138" s="231">
        <v>134225816</v>
      </c>
      <c r="EW138" s="231">
        <v>3223.5</v>
      </c>
      <c r="EX138" s="231">
        <v>3213.92</v>
      </c>
      <c r="EY138" s="228">
        <v>9.58</v>
      </c>
      <c r="EZ138" s="229">
        <v>3.0000000000000001E-3</v>
      </c>
      <c r="FA138" s="229">
        <v>1.0638000000000001</v>
      </c>
      <c r="FB138" s="227" t="s">
        <v>555</v>
      </c>
      <c r="FC138">
        <f t="shared" si="2"/>
        <v>129</v>
      </c>
    </row>
    <row r="139" spans="1:159" ht="17.25" thickBot="1" x14ac:dyDescent="0.3">
      <c r="A139" s="226">
        <v>45946</v>
      </c>
      <c r="B139" s="227" t="s">
        <v>615</v>
      </c>
      <c r="C139" s="227" t="s">
        <v>264</v>
      </c>
      <c r="D139" s="228">
        <v>375</v>
      </c>
      <c r="E139" s="228">
        <v>12</v>
      </c>
      <c r="F139" s="231">
        <v>1349.4</v>
      </c>
      <c r="G139" s="231">
        <v>1337.6</v>
      </c>
      <c r="H139" s="228">
        <v>11.8</v>
      </c>
      <c r="I139" s="229">
        <v>8.8000000000000005E-3</v>
      </c>
      <c r="J139" s="231">
        <v>1348.5</v>
      </c>
      <c r="K139" s="231">
        <v>1334.8</v>
      </c>
      <c r="L139" s="228">
        <v>13.7</v>
      </c>
      <c r="M139" s="229">
        <v>1.03E-2</v>
      </c>
      <c r="N139" s="231">
        <v>1349.4</v>
      </c>
      <c r="O139" s="231">
        <v>1337.6</v>
      </c>
      <c r="P139" s="228">
        <v>11.8</v>
      </c>
      <c r="Q139" s="229">
        <v>8.8000000000000005E-3</v>
      </c>
      <c r="R139" s="231">
        <v>1356.1</v>
      </c>
      <c r="S139" s="231">
        <v>1342.4</v>
      </c>
      <c r="T139" s="228">
        <v>13.7</v>
      </c>
      <c r="U139" s="229">
        <v>1.0200000000000001E-2</v>
      </c>
      <c r="V139" s="231">
        <v>1370</v>
      </c>
      <c r="W139" s="231">
        <v>1351.9</v>
      </c>
      <c r="X139" s="228">
        <v>18.100000000000001</v>
      </c>
      <c r="Y139" s="229">
        <v>1.34E-2</v>
      </c>
      <c r="Z139" s="228">
        <v>0.9</v>
      </c>
      <c r="AA139" s="228">
        <v>2.8</v>
      </c>
      <c r="AB139" s="228">
        <v>-1.9</v>
      </c>
      <c r="AC139" s="229">
        <v>6.9999999999999999E-4</v>
      </c>
      <c r="AD139" s="228">
        <v>0.9</v>
      </c>
      <c r="AE139" s="228">
        <v>2.8</v>
      </c>
      <c r="AF139" s="228">
        <v>-1.9</v>
      </c>
      <c r="AG139" s="229">
        <v>6.9999999999999999E-4</v>
      </c>
      <c r="AH139" s="228">
        <v>7.6</v>
      </c>
      <c r="AI139" s="228">
        <v>7.6</v>
      </c>
      <c r="AJ139" s="228">
        <v>0</v>
      </c>
      <c r="AK139" s="229">
        <v>5.5999999999999999E-3</v>
      </c>
      <c r="AL139" s="228">
        <v>21.5</v>
      </c>
      <c r="AM139" s="228">
        <v>17.100000000000001</v>
      </c>
      <c r="AN139" s="228">
        <v>4.4000000000000004</v>
      </c>
      <c r="AO139" s="229">
        <v>1.5900000000000001E-2</v>
      </c>
      <c r="AP139" s="231">
        <v>1352.89</v>
      </c>
      <c r="AQ139" s="231">
        <v>1356.77</v>
      </c>
      <c r="AR139" s="228">
        <v>0</v>
      </c>
      <c r="AS139" s="228">
        <v>123</v>
      </c>
      <c r="AT139" s="228">
        <v>80</v>
      </c>
      <c r="AU139" s="228">
        <v>44</v>
      </c>
      <c r="AV139" s="229">
        <v>0.5464</v>
      </c>
      <c r="AW139" s="228">
        <v>111</v>
      </c>
      <c r="AX139" s="228">
        <v>75</v>
      </c>
      <c r="AY139" s="228">
        <v>36</v>
      </c>
      <c r="AZ139" s="229">
        <v>0.48809999999999998</v>
      </c>
      <c r="BA139" s="228">
        <v>12</v>
      </c>
      <c r="BB139" s="228">
        <v>5</v>
      </c>
      <c r="BC139" s="228">
        <v>7</v>
      </c>
      <c r="BD139" s="229">
        <v>1.5165</v>
      </c>
      <c r="BE139" s="228">
        <v>1</v>
      </c>
      <c r="BF139" s="228">
        <v>1</v>
      </c>
      <c r="BG139" s="228">
        <v>0</v>
      </c>
      <c r="BH139" s="229">
        <v>0.3</v>
      </c>
      <c r="BI139" s="228">
        <v>291</v>
      </c>
      <c r="BJ139" s="228">
        <v>201</v>
      </c>
      <c r="BK139" s="228">
        <v>89</v>
      </c>
      <c r="BL139" s="229">
        <v>0.44400000000000001</v>
      </c>
      <c r="BM139" s="228">
        <v>103</v>
      </c>
      <c r="BN139" s="228">
        <v>72</v>
      </c>
      <c r="BO139" s="228">
        <v>31</v>
      </c>
      <c r="BP139" s="229">
        <v>0.43149999999999999</v>
      </c>
      <c r="BQ139" s="228">
        <v>517</v>
      </c>
      <c r="BR139" s="228">
        <v>353</v>
      </c>
      <c r="BS139" s="228">
        <v>164</v>
      </c>
      <c r="BT139" s="229">
        <v>0.46460000000000001</v>
      </c>
      <c r="BU139" s="230">
        <v>604497</v>
      </c>
      <c r="BV139" s="230">
        <v>589204</v>
      </c>
      <c r="BW139" s="230">
        <v>15293</v>
      </c>
      <c r="BX139" s="229">
        <v>2.5999999999999999E-2</v>
      </c>
      <c r="BY139" s="230">
        <v>1355</v>
      </c>
      <c r="BZ139" s="230">
        <v>1376</v>
      </c>
      <c r="CA139" s="228">
        <v>-21</v>
      </c>
      <c r="CB139" s="229">
        <v>-1.54E-2</v>
      </c>
      <c r="CC139" s="230">
        <v>1334</v>
      </c>
      <c r="CD139" s="230">
        <v>1356</v>
      </c>
      <c r="CE139" s="228">
        <v>-22</v>
      </c>
      <c r="CF139" s="229">
        <v>-1.61E-2</v>
      </c>
      <c r="CG139" s="228">
        <v>18</v>
      </c>
      <c r="CH139" s="228">
        <v>17</v>
      </c>
      <c r="CI139" s="228">
        <v>1</v>
      </c>
      <c r="CJ139" s="229">
        <v>5.6399999999999999E-2</v>
      </c>
      <c r="CK139" s="228">
        <v>2</v>
      </c>
      <c r="CL139" s="228">
        <v>3</v>
      </c>
      <c r="CM139" s="228">
        <v>0</v>
      </c>
      <c r="CN139" s="229">
        <v>-0.15090000000000001</v>
      </c>
      <c r="CO139" s="228">
        <v>263</v>
      </c>
      <c r="CP139" s="228">
        <v>304</v>
      </c>
      <c r="CQ139" s="228">
        <v>-41</v>
      </c>
      <c r="CR139" s="229">
        <v>-0.1351</v>
      </c>
      <c r="CS139" s="228">
        <v>158</v>
      </c>
      <c r="CT139" s="228">
        <v>161</v>
      </c>
      <c r="CU139" s="228">
        <v>-3</v>
      </c>
      <c r="CV139" s="229">
        <v>-1.8599999999999998E-2</v>
      </c>
      <c r="CW139" s="230">
        <v>1775</v>
      </c>
      <c r="CX139" s="230">
        <v>1840</v>
      </c>
      <c r="CY139" s="228">
        <v>-65</v>
      </c>
      <c r="CZ139" s="229">
        <v>-3.5499999999999997E-2</v>
      </c>
      <c r="DA139" s="228">
        <v>28.17</v>
      </c>
      <c r="DB139" s="228">
        <v>28.55</v>
      </c>
      <c r="DC139" s="228">
        <v>-0.38</v>
      </c>
      <c r="DD139" s="228">
        <v>-0.38</v>
      </c>
      <c r="DE139" s="228">
        <v>38.1</v>
      </c>
      <c r="DF139" s="228">
        <v>38.17</v>
      </c>
      <c r="DG139" s="228">
        <v>-9.93</v>
      </c>
      <c r="DH139" s="228">
        <v>-7.0000000000000007E-2</v>
      </c>
      <c r="DI139" s="228">
        <v>28.49</v>
      </c>
      <c r="DJ139" s="228">
        <v>28.98</v>
      </c>
      <c r="DK139" s="228">
        <v>-0.49</v>
      </c>
      <c r="DL139" s="228">
        <v>-0.49</v>
      </c>
      <c r="DM139" s="228">
        <v>27.26</v>
      </c>
      <c r="DN139" s="228">
        <v>27.35</v>
      </c>
      <c r="DO139" s="228">
        <v>-0.09</v>
      </c>
      <c r="DP139" s="228">
        <v>-0.09</v>
      </c>
      <c r="DQ139" s="228">
        <v>0.6</v>
      </c>
      <c r="DR139" s="228">
        <v>0.53</v>
      </c>
      <c r="DS139" s="228">
        <v>7.0000000000000007E-2</v>
      </c>
      <c r="DT139" s="229">
        <v>0.1321</v>
      </c>
      <c r="DU139" s="231">
        <v>1400</v>
      </c>
      <c r="DV139" s="231">
        <v>1300</v>
      </c>
      <c r="DW139" s="228">
        <v>0.35</v>
      </c>
      <c r="DX139" s="228">
        <v>0.36</v>
      </c>
      <c r="DY139" s="228">
        <v>-0.01</v>
      </c>
      <c r="DZ139" s="229">
        <v>-2.7799999999999998E-2</v>
      </c>
      <c r="EA139" s="229">
        <v>1.4999999999999999E-2</v>
      </c>
      <c r="EB139" s="230">
        <v>146250</v>
      </c>
      <c r="EC139" s="229">
        <v>5.0000000000000001E-3</v>
      </c>
      <c r="ED139" s="229">
        <v>1.4999999999999999E-2</v>
      </c>
      <c r="EE139" s="228">
        <v>3.88</v>
      </c>
      <c r="EF139" s="229">
        <v>2.8999999999999998E-3</v>
      </c>
      <c r="EG139" s="230">
        <v>346418</v>
      </c>
      <c r="EH139" s="230">
        <v>411268</v>
      </c>
      <c r="EI139" s="229">
        <v>-0.15770000000000001</v>
      </c>
      <c r="EJ139" s="229">
        <v>0.57310000000000005</v>
      </c>
      <c r="EK139" s="228">
        <v>302.52999999999997</v>
      </c>
      <c r="EL139" s="228">
        <v>100.71</v>
      </c>
      <c r="EM139" s="228">
        <v>123.52</v>
      </c>
      <c r="EN139" s="228">
        <v>30.2</v>
      </c>
      <c r="EO139" s="228">
        <v>526.77</v>
      </c>
      <c r="EP139" s="228">
        <v>357.61</v>
      </c>
      <c r="EQ139" s="228">
        <v>169.16</v>
      </c>
      <c r="ER139" s="229">
        <v>0.47299999999999998</v>
      </c>
      <c r="ES139" s="228">
        <v>275.86</v>
      </c>
      <c r="ET139" s="228">
        <v>154.46</v>
      </c>
      <c r="EU139" s="231">
        <v>1354.8</v>
      </c>
      <c r="EV139" s="231">
        <v>60530911</v>
      </c>
      <c r="EW139" s="231">
        <v>1785.12</v>
      </c>
      <c r="EX139" s="231">
        <v>1839.22</v>
      </c>
      <c r="EY139" s="228">
        <v>-54.1</v>
      </c>
      <c r="EZ139" s="229">
        <v>-2.9399999999999999E-2</v>
      </c>
      <c r="FA139" s="229">
        <v>0.21729999999999999</v>
      </c>
      <c r="FB139" s="227" t="s">
        <v>556</v>
      </c>
      <c r="FC139">
        <f t="shared" si="2"/>
        <v>21</v>
      </c>
    </row>
    <row r="140" spans="1:159" ht="17.25" thickBot="1" x14ac:dyDescent="0.3">
      <c r="A140" s="226">
        <v>45946</v>
      </c>
      <c r="B140" s="227" t="s">
        <v>206</v>
      </c>
      <c r="C140" s="227" t="s">
        <v>550</v>
      </c>
      <c r="D140" s="228">
        <v>6500</v>
      </c>
      <c r="E140" s="228">
        <v>12</v>
      </c>
      <c r="F140" s="228">
        <v>112.76</v>
      </c>
      <c r="G140" s="228">
        <v>112.31</v>
      </c>
      <c r="H140" s="228">
        <v>0.45</v>
      </c>
      <c r="I140" s="229">
        <v>4.0000000000000001E-3</v>
      </c>
      <c r="J140" s="228">
        <v>112.36</v>
      </c>
      <c r="K140" s="228">
        <v>111.87</v>
      </c>
      <c r="L140" s="228">
        <v>0.49</v>
      </c>
      <c r="M140" s="229">
        <v>4.4000000000000003E-3</v>
      </c>
      <c r="N140" s="228">
        <v>112.76</v>
      </c>
      <c r="O140" s="228">
        <v>112.31</v>
      </c>
      <c r="P140" s="228">
        <v>0.45</v>
      </c>
      <c r="Q140" s="229">
        <v>4.0000000000000001E-3</v>
      </c>
      <c r="R140" s="228">
        <v>113.4</v>
      </c>
      <c r="S140" s="228">
        <v>112.86</v>
      </c>
      <c r="T140" s="228">
        <v>0.54</v>
      </c>
      <c r="U140" s="229">
        <v>4.7999999999999996E-3</v>
      </c>
      <c r="V140" s="228">
        <v>114.28</v>
      </c>
      <c r="W140" s="228">
        <v>113.4</v>
      </c>
      <c r="X140" s="228">
        <v>0.88</v>
      </c>
      <c r="Y140" s="229">
        <v>7.7999999999999996E-3</v>
      </c>
      <c r="Z140" s="228">
        <v>0.4</v>
      </c>
      <c r="AA140" s="228">
        <v>0.44</v>
      </c>
      <c r="AB140" s="228">
        <v>-0.04</v>
      </c>
      <c r="AC140" s="229">
        <v>3.5999999999999999E-3</v>
      </c>
      <c r="AD140" s="228">
        <v>0.4</v>
      </c>
      <c r="AE140" s="228">
        <v>0.44</v>
      </c>
      <c r="AF140" s="228">
        <v>-0.04</v>
      </c>
      <c r="AG140" s="229">
        <v>3.5999999999999999E-3</v>
      </c>
      <c r="AH140" s="228">
        <v>1.04</v>
      </c>
      <c r="AI140" s="228">
        <v>0.99</v>
      </c>
      <c r="AJ140" s="228">
        <v>0.05</v>
      </c>
      <c r="AK140" s="229">
        <v>9.2999999999999992E-3</v>
      </c>
      <c r="AL140" s="228">
        <v>1.92</v>
      </c>
      <c r="AM140" s="228">
        <v>1.53</v>
      </c>
      <c r="AN140" s="228">
        <v>0.39</v>
      </c>
      <c r="AO140" s="229">
        <v>1.7100000000000001E-2</v>
      </c>
      <c r="AP140" s="228">
        <v>113.78</v>
      </c>
      <c r="AQ140" s="228">
        <v>114.33</v>
      </c>
      <c r="AR140" s="228">
        <v>0</v>
      </c>
      <c r="AS140" s="228">
        <v>175</v>
      </c>
      <c r="AT140" s="228">
        <v>148</v>
      </c>
      <c r="AU140" s="228">
        <v>27</v>
      </c>
      <c r="AV140" s="229">
        <v>0.18060000000000001</v>
      </c>
      <c r="AW140" s="228">
        <v>147</v>
      </c>
      <c r="AX140" s="228">
        <v>126</v>
      </c>
      <c r="AY140" s="228">
        <v>21</v>
      </c>
      <c r="AZ140" s="229">
        <v>0.1709</v>
      </c>
      <c r="BA140" s="228">
        <v>27</v>
      </c>
      <c r="BB140" s="228">
        <v>22</v>
      </c>
      <c r="BC140" s="228">
        <v>5</v>
      </c>
      <c r="BD140" s="229">
        <v>0.22639999999999999</v>
      </c>
      <c r="BE140" s="228">
        <v>1</v>
      </c>
      <c r="BF140" s="228">
        <v>1</v>
      </c>
      <c r="BG140" s="228">
        <v>0</v>
      </c>
      <c r="BH140" s="229">
        <v>0.45450000000000002</v>
      </c>
      <c r="BI140" s="228">
        <v>358</v>
      </c>
      <c r="BJ140" s="228">
        <v>329</v>
      </c>
      <c r="BK140" s="228">
        <v>29</v>
      </c>
      <c r="BL140" s="229">
        <v>8.8800000000000004E-2</v>
      </c>
      <c r="BM140" s="228">
        <v>138</v>
      </c>
      <c r="BN140" s="228">
        <v>111</v>
      </c>
      <c r="BO140" s="228">
        <v>27</v>
      </c>
      <c r="BP140" s="229">
        <v>0.24179999999999999</v>
      </c>
      <c r="BQ140" s="228">
        <v>671</v>
      </c>
      <c r="BR140" s="228">
        <v>588</v>
      </c>
      <c r="BS140" s="228">
        <v>83</v>
      </c>
      <c r="BT140" s="229">
        <v>0.14080000000000001</v>
      </c>
      <c r="BU140" s="230">
        <v>10010057</v>
      </c>
      <c r="BV140" s="230">
        <v>7126151</v>
      </c>
      <c r="BW140" s="230">
        <v>2883906</v>
      </c>
      <c r="BX140" s="229">
        <v>0.4047</v>
      </c>
      <c r="BY140" s="228">
        <v>694</v>
      </c>
      <c r="BZ140" s="228">
        <v>705</v>
      </c>
      <c r="CA140" s="228">
        <v>-11</v>
      </c>
      <c r="CB140" s="229">
        <v>-1.55E-2</v>
      </c>
      <c r="CC140" s="228">
        <v>644</v>
      </c>
      <c r="CD140" s="228">
        <v>660</v>
      </c>
      <c r="CE140" s="228">
        <v>-16</v>
      </c>
      <c r="CF140" s="229">
        <v>-2.35E-2</v>
      </c>
      <c r="CG140" s="228">
        <v>45</v>
      </c>
      <c r="CH140" s="228">
        <v>40</v>
      </c>
      <c r="CI140" s="228">
        <v>4</v>
      </c>
      <c r="CJ140" s="229">
        <v>0.1091</v>
      </c>
      <c r="CK140" s="228">
        <v>5</v>
      </c>
      <c r="CL140" s="228">
        <v>4</v>
      </c>
      <c r="CM140" s="228">
        <v>0</v>
      </c>
      <c r="CN140" s="229">
        <v>5.0799999999999998E-2</v>
      </c>
      <c r="CO140" s="228">
        <v>377</v>
      </c>
      <c r="CP140" s="228">
        <v>389</v>
      </c>
      <c r="CQ140" s="228">
        <v>-12</v>
      </c>
      <c r="CR140" s="229">
        <v>-3.1600000000000003E-2</v>
      </c>
      <c r="CS140" s="228">
        <v>197</v>
      </c>
      <c r="CT140" s="228">
        <v>194</v>
      </c>
      <c r="CU140" s="228">
        <v>3</v>
      </c>
      <c r="CV140" s="229">
        <v>1.5100000000000001E-2</v>
      </c>
      <c r="CW140" s="230">
        <v>1268</v>
      </c>
      <c r="CX140" s="230">
        <v>1288</v>
      </c>
      <c r="CY140" s="228">
        <v>-20</v>
      </c>
      <c r="CZ140" s="229">
        <v>-1.5800000000000002E-2</v>
      </c>
      <c r="DA140" s="228">
        <v>33.630000000000003</v>
      </c>
      <c r="DB140" s="228">
        <v>35.15</v>
      </c>
      <c r="DC140" s="228">
        <v>-1.52</v>
      </c>
      <c r="DD140" s="228">
        <v>-1.52</v>
      </c>
      <c r="DE140" s="228">
        <v>52.75</v>
      </c>
      <c r="DF140" s="228">
        <v>52.88</v>
      </c>
      <c r="DG140" s="228">
        <v>-19.12</v>
      </c>
      <c r="DH140" s="228">
        <v>-0.13</v>
      </c>
      <c r="DI140" s="228">
        <v>34.1</v>
      </c>
      <c r="DJ140" s="228">
        <v>35.549999999999997</v>
      </c>
      <c r="DK140" s="228">
        <v>-1.45</v>
      </c>
      <c r="DL140" s="228">
        <v>-1.45</v>
      </c>
      <c r="DM140" s="228">
        <v>32.409999999999997</v>
      </c>
      <c r="DN140" s="228">
        <v>33.97</v>
      </c>
      <c r="DO140" s="228">
        <v>-1.56</v>
      </c>
      <c r="DP140" s="228">
        <v>-1.56</v>
      </c>
      <c r="DQ140" s="228">
        <v>0.52</v>
      </c>
      <c r="DR140" s="228">
        <v>0.5</v>
      </c>
      <c r="DS140" s="228">
        <v>0.02</v>
      </c>
      <c r="DT140" s="229">
        <v>0.04</v>
      </c>
      <c r="DU140" s="228">
        <v>115</v>
      </c>
      <c r="DV140" s="228">
        <v>110</v>
      </c>
      <c r="DW140" s="228">
        <v>0.39</v>
      </c>
      <c r="DX140" s="228">
        <v>0.34</v>
      </c>
      <c r="DY140" s="228">
        <v>0.05</v>
      </c>
      <c r="DZ140" s="229">
        <v>0.14710000000000001</v>
      </c>
      <c r="EA140" s="229">
        <v>7.0999999999999994E-2</v>
      </c>
      <c r="EB140" s="230">
        <v>3958500</v>
      </c>
      <c r="EC140" s="229">
        <v>5.7000000000000002E-3</v>
      </c>
      <c r="ED140" s="229">
        <v>7.0999999999999994E-2</v>
      </c>
      <c r="EE140" s="228">
        <v>0.55000000000000004</v>
      </c>
      <c r="EF140" s="229">
        <v>4.7999999999999996E-3</v>
      </c>
      <c r="EG140" s="230">
        <v>3676267</v>
      </c>
      <c r="EH140" s="230">
        <v>2414778</v>
      </c>
      <c r="EI140" s="229">
        <v>0.52239999999999998</v>
      </c>
      <c r="EJ140" s="229">
        <v>0.36730000000000002</v>
      </c>
      <c r="EK140" s="228">
        <v>374.88</v>
      </c>
      <c r="EL140" s="228">
        <v>136.94999999999999</v>
      </c>
      <c r="EM140" s="228">
        <v>176.6</v>
      </c>
      <c r="EN140" s="228">
        <v>19.88</v>
      </c>
      <c r="EO140" s="228">
        <v>688.42</v>
      </c>
      <c r="EP140" s="228">
        <v>595.46</v>
      </c>
      <c r="EQ140" s="228">
        <v>92.97</v>
      </c>
      <c r="ER140" s="229">
        <v>0.15609999999999999</v>
      </c>
      <c r="ES140" s="228">
        <v>390.8</v>
      </c>
      <c r="ET140" s="228">
        <v>186.9</v>
      </c>
      <c r="EU140" s="228">
        <v>693.97</v>
      </c>
      <c r="EV140" s="231">
        <v>154894704</v>
      </c>
      <c r="EW140" s="231">
        <v>1271.67</v>
      </c>
      <c r="EX140" s="231">
        <v>1288.55</v>
      </c>
      <c r="EY140" s="228">
        <v>-16.88</v>
      </c>
      <c r="EZ140" s="229">
        <v>-1.3100000000000001E-2</v>
      </c>
      <c r="FA140" s="229">
        <v>0.72589999999999999</v>
      </c>
      <c r="FB140" s="227" t="s">
        <v>556</v>
      </c>
      <c r="FC140">
        <f t="shared" si="2"/>
        <v>50</v>
      </c>
    </row>
    <row r="141" spans="1:159" ht="17.25" thickBot="1" x14ac:dyDescent="0.3">
      <c r="A141" s="226">
        <v>45946</v>
      </c>
      <c r="B141" s="227" t="s">
        <v>215</v>
      </c>
      <c r="C141" s="227" t="s">
        <v>591</v>
      </c>
      <c r="D141" s="228">
        <v>2700</v>
      </c>
      <c r="E141" s="228">
        <v>12</v>
      </c>
      <c r="F141" s="228">
        <v>210.62</v>
      </c>
      <c r="G141" s="228">
        <v>212.66</v>
      </c>
      <c r="H141" s="228">
        <v>-2.04</v>
      </c>
      <c r="I141" s="229">
        <v>-9.5999999999999992E-3</v>
      </c>
      <c r="J141" s="228">
        <v>209.78</v>
      </c>
      <c r="K141" s="228">
        <v>211.69</v>
      </c>
      <c r="L141" s="228">
        <v>-1.91</v>
      </c>
      <c r="M141" s="229">
        <v>-8.9999999999999993E-3</v>
      </c>
      <c r="N141" s="228">
        <v>210.62</v>
      </c>
      <c r="O141" s="228">
        <v>212.66</v>
      </c>
      <c r="P141" s="228">
        <v>-2.04</v>
      </c>
      <c r="Q141" s="229">
        <v>-9.5999999999999992E-3</v>
      </c>
      <c r="R141" s="228">
        <v>211.91</v>
      </c>
      <c r="S141" s="228">
        <v>213.81</v>
      </c>
      <c r="T141" s="228">
        <v>-1.9</v>
      </c>
      <c r="U141" s="229">
        <v>-8.8999999999999999E-3</v>
      </c>
      <c r="V141" s="228">
        <v>212.95</v>
      </c>
      <c r="W141" s="228">
        <v>214.59</v>
      </c>
      <c r="X141" s="228">
        <v>-1.64</v>
      </c>
      <c r="Y141" s="229">
        <v>-7.6E-3</v>
      </c>
      <c r="Z141" s="228">
        <v>0.84</v>
      </c>
      <c r="AA141" s="228">
        <v>0.97</v>
      </c>
      <c r="AB141" s="228">
        <v>-0.13</v>
      </c>
      <c r="AC141" s="229">
        <v>4.0000000000000001E-3</v>
      </c>
      <c r="AD141" s="228">
        <v>0.84</v>
      </c>
      <c r="AE141" s="228">
        <v>0.97</v>
      </c>
      <c r="AF141" s="228">
        <v>-0.13</v>
      </c>
      <c r="AG141" s="229">
        <v>4.0000000000000001E-3</v>
      </c>
      <c r="AH141" s="228">
        <v>2.13</v>
      </c>
      <c r="AI141" s="228">
        <v>2.12</v>
      </c>
      <c r="AJ141" s="228">
        <v>0.01</v>
      </c>
      <c r="AK141" s="229">
        <v>1.0200000000000001E-2</v>
      </c>
      <c r="AL141" s="228">
        <v>3.17</v>
      </c>
      <c r="AM141" s="228">
        <v>2.9</v>
      </c>
      <c r="AN141" s="228">
        <v>0.27</v>
      </c>
      <c r="AO141" s="229">
        <v>1.5100000000000001E-2</v>
      </c>
      <c r="AP141" s="228">
        <v>211.07</v>
      </c>
      <c r="AQ141" s="228">
        <v>212.37</v>
      </c>
      <c r="AR141" s="228">
        <v>0</v>
      </c>
      <c r="AS141" s="228">
        <v>48</v>
      </c>
      <c r="AT141" s="228">
        <v>207</v>
      </c>
      <c r="AU141" s="228">
        <v>-159</v>
      </c>
      <c r="AV141" s="229">
        <v>-0.76649999999999996</v>
      </c>
      <c r="AW141" s="228">
        <v>39</v>
      </c>
      <c r="AX141" s="228">
        <v>187</v>
      </c>
      <c r="AY141" s="228">
        <v>-149</v>
      </c>
      <c r="AZ141" s="229">
        <v>-0.79330000000000001</v>
      </c>
      <c r="BA141" s="228">
        <v>9</v>
      </c>
      <c r="BB141" s="228">
        <v>18</v>
      </c>
      <c r="BC141" s="228">
        <v>-9</v>
      </c>
      <c r="BD141" s="229">
        <v>-0.50470000000000004</v>
      </c>
      <c r="BE141" s="228">
        <v>1</v>
      </c>
      <c r="BF141" s="228">
        <v>2</v>
      </c>
      <c r="BG141" s="228">
        <v>-1</v>
      </c>
      <c r="BH141" s="229">
        <v>-0.58620000000000005</v>
      </c>
      <c r="BI141" s="228">
        <v>74</v>
      </c>
      <c r="BJ141" s="228">
        <v>530</v>
      </c>
      <c r="BK141" s="228">
        <v>-456</v>
      </c>
      <c r="BL141" s="229">
        <v>-0.86109999999999998</v>
      </c>
      <c r="BM141" s="228">
        <v>33</v>
      </c>
      <c r="BN141" s="228">
        <v>210</v>
      </c>
      <c r="BO141" s="228">
        <v>-177</v>
      </c>
      <c r="BP141" s="229">
        <v>-0.8448</v>
      </c>
      <c r="BQ141" s="228">
        <v>154</v>
      </c>
      <c r="BR141" s="228">
        <v>946</v>
      </c>
      <c r="BS141" s="228">
        <v>-792</v>
      </c>
      <c r="BT141" s="229">
        <v>-0.83679999999999999</v>
      </c>
      <c r="BU141" s="230">
        <v>1290867</v>
      </c>
      <c r="BV141" s="230">
        <v>4435216</v>
      </c>
      <c r="BW141" s="230">
        <v>-3144349</v>
      </c>
      <c r="BX141" s="229">
        <v>-0.70899999999999996</v>
      </c>
      <c r="BY141" s="228">
        <v>401</v>
      </c>
      <c r="BZ141" s="228">
        <v>399</v>
      </c>
      <c r="CA141" s="228">
        <v>2</v>
      </c>
      <c r="CB141" s="229">
        <v>3.8E-3</v>
      </c>
      <c r="CC141" s="228">
        <v>372</v>
      </c>
      <c r="CD141" s="228">
        <v>374</v>
      </c>
      <c r="CE141" s="228">
        <v>-2</v>
      </c>
      <c r="CF141" s="229">
        <v>-6.1000000000000004E-3</v>
      </c>
      <c r="CG141" s="228">
        <v>26</v>
      </c>
      <c r="CH141" s="228">
        <v>23</v>
      </c>
      <c r="CI141" s="228">
        <v>3</v>
      </c>
      <c r="CJ141" s="229">
        <v>0.13550000000000001</v>
      </c>
      <c r="CK141" s="228">
        <v>3</v>
      </c>
      <c r="CL141" s="228">
        <v>2</v>
      </c>
      <c r="CM141" s="228">
        <v>1</v>
      </c>
      <c r="CN141" s="229">
        <v>0.36359999999999998</v>
      </c>
      <c r="CO141" s="228">
        <v>178</v>
      </c>
      <c r="CP141" s="228">
        <v>177</v>
      </c>
      <c r="CQ141" s="228">
        <v>1</v>
      </c>
      <c r="CR141" s="229">
        <v>5.1000000000000004E-3</v>
      </c>
      <c r="CS141" s="228">
        <v>87</v>
      </c>
      <c r="CT141" s="228">
        <v>90</v>
      </c>
      <c r="CU141" s="228">
        <v>-3</v>
      </c>
      <c r="CV141" s="229">
        <v>-2.8500000000000001E-2</v>
      </c>
      <c r="CW141" s="228">
        <v>666</v>
      </c>
      <c r="CX141" s="228">
        <v>666</v>
      </c>
      <c r="CY141" s="228">
        <v>0</v>
      </c>
      <c r="CZ141" s="229">
        <v>-2.0000000000000001E-4</v>
      </c>
      <c r="DA141" s="228">
        <v>27.7</v>
      </c>
      <c r="DB141" s="228">
        <v>27.11</v>
      </c>
      <c r="DC141" s="228">
        <v>0.59</v>
      </c>
      <c r="DD141" s="228">
        <v>0.59</v>
      </c>
      <c r="DE141" s="228">
        <v>47.44</v>
      </c>
      <c r="DF141" s="228">
        <v>47.54</v>
      </c>
      <c r="DG141" s="228">
        <v>-19.739999999999998</v>
      </c>
      <c r="DH141" s="228">
        <v>-0.1</v>
      </c>
      <c r="DI141" s="228">
        <v>27.88</v>
      </c>
      <c r="DJ141" s="228">
        <v>27.12</v>
      </c>
      <c r="DK141" s="228">
        <v>0.76</v>
      </c>
      <c r="DL141" s="228">
        <v>0.76</v>
      </c>
      <c r="DM141" s="228">
        <v>27.31</v>
      </c>
      <c r="DN141" s="228">
        <v>27.08</v>
      </c>
      <c r="DO141" s="228">
        <v>0.23</v>
      </c>
      <c r="DP141" s="228">
        <v>0.23</v>
      </c>
      <c r="DQ141" s="228">
        <v>0.49</v>
      </c>
      <c r="DR141" s="228">
        <v>0.51</v>
      </c>
      <c r="DS141" s="228">
        <v>-0.02</v>
      </c>
      <c r="DT141" s="229">
        <v>-3.9199999999999999E-2</v>
      </c>
      <c r="DU141" s="228">
        <v>210</v>
      </c>
      <c r="DV141" s="228">
        <v>210</v>
      </c>
      <c r="DW141" s="228">
        <v>0.44</v>
      </c>
      <c r="DX141" s="228">
        <v>0.4</v>
      </c>
      <c r="DY141" s="228">
        <v>0.04</v>
      </c>
      <c r="DZ141" s="229">
        <v>0.1</v>
      </c>
      <c r="EA141" s="229">
        <v>7.1800000000000003E-2</v>
      </c>
      <c r="EB141" s="230">
        <v>1185300</v>
      </c>
      <c r="EC141" s="229">
        <v>6.1000000000000004E-3</v>
      </c>
      <c r="ED141" s="229">
        <v>7.1800000000000003E-2</v>
      </c>
      <c r="EE141" s="228">
        <v>1.3</v>
      </c>
      <c r="EF141" s="229">
        <v>6.1999999999999998E-3</v>
      </c>
      <c r="EG141" s="230">
        <v>513200</v>
      </c>
      <c r="EH141" s="230">
        <v>1339617</v>
      </c>
      <c r="EI141" s="229">
        <v>-0.6169</v>
      </c>
      <c r="EJ141" s="229">
        <v>0.39760000000000001</v>
      </c>
      <c r="EK141" s="228">
        <v>76.069999999999993</v>
      </c>
      <c r="EL141" s="228">
        <v>33.119999999999997</v>
      </c>
      <c r="EM141" s="228">
        <v>48.5</v>
      </c>
      <c r="EN141" s="228">
        <v>14.93</v>
      </c>
      <c r="EO141" s="228">
        <v>157.69</v>
      </c>
      <c r="EP141" s="228">
        <v>958.59</v>
      </c>
      <c r="EQ141" s="228">
        <v>-800.9</v>
      </c>
      <c r="ER141" s="229">
        <v>-0.83550000000000002</v>
      </c>
      <c r="ES141" s="228">
        <v>183.25</v>
      </c>
      <c r="ET141" s="228">
        <v>86.04</v>
      </c>
      <c r="EU141" s="228">
        <v>400.82</v>
      </c>
      <c r="EV141" s="231">
        <v>72342848</v>
      </c>
      <c r="EW141" s="228">
        <v>670.11</v>
      </c>
      <c r="EX141" s="228">
        <v>674.11</v>
      </c>
      <c r="EY141" s="228">
        <v>-4</v>
      </c>
      <c r="EZ141" s="229">
        <v>-5.8999999999999999E-3</v>
      </c>
      <c r="FA141" s="229">
        <v>0.437</v>
      </c>
      <c r="FB141" s="227" t="s">
        <v>567</v>
      </c>
      <c r="FC141">
        <f t="shared" si="2"/>
        <v>29</v>
      </c>
    </row>
    <row r="142" spans="1:159" ht="17.25" thickBot="1" x14ac:dyDescent="0.3">
      <c r="A142" s="226">
        <v>45946</v>
      </c>
      <c r="B142" s="227" t="s">
        <v>168</v>
      </c>
      <c r="C142" s="227" t="s">
        <v>265</v>
      </c>
      <c r="D142" s="228">
        <v>500</v>
      </c>
      <c r="E142" s="228">
        <v>12</v>
      </c>
      <c r="F142" s="231">
        <v>1282</v>
      </c>
      <c r="G142" s="231">
        <v>1226.5999999999999</v>
      </c>
      <c r="H142" s="228">
        <v>55.4</v>
      </c>
      <c r="I142" s="229">
        <v>4.5199999999999997E-2</v>
      </c>
      <c r="J142" s="231">
        <v>1276.5999999999999</v>
      </c>
      <c r="K142" s="231">
        <v>1221.4000000000001</v>
      </c>
      <c r="L142" s="228">
        <v>55.2</v>
      </c>
      <c r="M142" s="229">
        <v>4.5199999999999997E-2</v>
      </c>
      <c r="N142" s="231">
        <v>1282</v>
      </c>
      <c r="O142" s="231">
        <v>1226.5999999999999</v>
      </c>
      <c r="P142" s="228">
        <v>55.4</v>
      </c>
      <c r="Q142" s="229">
        <v>4.5199999999999997E-2</v>
      </c>
      <c r="R142" s="231">
        <v>1288.8</v>
      </c>
      <c r="S142" s="231">
        <v>1232.9000000000001</v>
      </c>
      <c r="T142" s="228">
        <v>55.9</v>
      </c>
      <c r="U142" s="229">
        <v>4.53E-2</v>
      </c>
      <c r="V142" s="231">
        <v>1295.2</v>
      </c>
      <c r="W142" s="231">
        <v>1240</v>
      </c>
      <c r="X142" s="228">
        <v>55.2</v>
      </c>
      <c r="Y142" s="229">
        <v>4.4499999999999998E-2</v>
      </c>
      <c r="Z142" s="228">
        <v>5.4</v>
      </c>
      <c r="AA142" s="228">
        <v>5.2</v>
      </c>
      <c r="AB142" s="228">
        <v>0.2</v>
      </c>
      <c r="AC142" s="229">
        <v>4.1999999999999997E-3</v>
      </c>
      <c r="AD142" s="228">
        <v>5.4</v>
      </c>
      <c r="AE142" s="228">
        <v>5.2</v>
      </c>
      <c r="AF142" s="228">
        <v>0.2</v>
      </c>
      <c r="AG142" s="229">
        <v>4.1999999999999997E-3</v>
      </c>
      <c r="AH142" s="228">
        <v>12.2</v>
      </c>
      <c r="AI142" s="228">
        <v>11.5</v>
      </c>
      <c r="AJ142" s="228">
        <v>0.7</v>
      </c>
      <c r="AK142" s="229">
        <v>9.5999999999999992E-3</v>
      </c>
      <c r="AL142" s="228">
        <v>18.600000000000001</v>
      </c>
      <c r="AM142" s="228">
        <v>18.600000000000001</v>
      </c>
      <c r="AN142" s="228">
        <v>0</v>
      </c>
      <c r="AO142" s="229">
        <v>1.46E-2</v>
      </c>
      <c r="AP142" s="231">
        <v>1266</v>
      </c>
      <c r="AQ142" s="231">
        <v>1273.1400000000001</v>
      </c>
      <c r="AR142" s="228">
        <v>0</v>
      </c>
      <c r="AS142" s="230">
        <v>1872</v>
      </c>
      <c r="AT142" s="228">
        <v>856</v>
      </c>
      <c r="AU142" s="230">
        <v>1016</v>
      </c>
      <c r="AV142" s="229">
        <v>1.1863999999999999</v>
      </c>
      <c r="AW142" s="230">
        <v>1635</v>
      </c>
      <c r="AX142" s="228">
        <v>636</v>
      </c>
      <c r="AY142" s="228">
        <v>999</v>
      </c>
      <c r="AZ142" s="229">
        <v>1.5719000000000001</v>
      </c>
      <c r="BA142" s="228">
        <v>228</v>
      </c>
      <c r="BB142" s="228">
        <v>219</v>
      </c>
      <c r="BC142" s="228">
        <v>9</v>
      </c>
      <c r="BD142" s="229">
        <v>4.3099999999999999E-2</v>
      </c>
      <c r="BE142" s="228">
        <v>9</v>
      </c>
      <c r="BF142" s="228">
        <v>2</v>
      </c>
      <c r="BG142" s="228">
        <v>7</v>
      </c>
      <c r="BH142" s="229">
        <v>3.931</v>
      </c>
      <c r="BI142" s="230">
        <v>9240</v>
      </c>
      <c r="BJ142" s="230">
        <v>2390</v>
      </c>
      <c r="BK142" s="230">
        <v>6850</v>
      </c>
      <c r="BL142" s="229">
        <v>2.8662000000000001</v>
      </c>
      <c r="BM142" s="230">
        <v>6402</v>
      </c>
      <c r="BN142" s="230">
        <v>1150</v>
      </c>
      <c r="BO142" s="230">
        <v>5252</v>
      </c>
      <c r="BP142" s="229">
        <v>4.5655999999999999</v>
      </c>
      <c r="BQ142" s="230">
        <v>17514</v>
      </c>
      <c r="BR142" s="230">
        <v>4396</v>
      </c>
      <c r="BS142" s="230">
        <v>13117</v>
      </c>
      <c r="BT142" s="229">
        <v>2.9836999999999998</v>
      </c>
      <c r="BU142" s="230">
        <v>7325053</v>
      </c>
      <c r="BV142" s="230">
        <v>2360473</v>
      </c>
      <c r="BW142" s="230">
        <v>4964580</v>
      </c>
      <c r="BX142" s="229">
        <v>2.1032000000000002</v>
      </c>
      <c r="BY142" s="230">
        <v>2605</v>
      </c>
      <c r="BZ142" s="230">
        <v>2564</v>
      </c>
      <c r="CA142" s="228">
        <v>40</v>
      </c>
      <c r="CB142" s="229">
        <v>1.5699999999999999E-2</v>
      </c>
      <c r="CC142" s="230">
        <v>2350</v>
      </c>
      <c r="CD142" s="230">
        <v>2352</v>
      </c>
      <c r="CE142" s="228">
        <v>-2</v>
      </c>
      <c r="CF142" s="229">
        <v>-1E-3</v>
      </c>
      <c r="CG142" s="228">
        <v>249</v>
      </c>
      <c r="CH142" s="228">
        <v>208</v>
      </c>
      <c r="CI142" s="228">
        <v>41</v>
      </c>
      <c r="CJ142" s="229">
        <v>0.1958</v>
      </c>
      <c r="CK142" s="228">
        <v>6</v>
      </c>
      <c r="CL142" s="228">
        <v>4</v>
      </c>
      <c r="CM142" s="228">
        <v>2</v>
      </c>
      <c r="CN142" s="229">
        <v>0.4844</v>
      </c>
      <c r="CO142" s="230">
        <v>1151</v>
      </c>
      <c r="CP142" s="228">
        <v>652</v>
      </c>
      <c r="CQ142" s="228">
        <v>498</v>
      </c>
      <c r="CR142" s="229">
        <v>0.76419999999999999</v>
      </c>
      <c r="CS142" s="230">
        <v>1173</v>
      </c>
      <c r="CT142" s="228">
        <v>498</v>
      </c>
      <c r="CU142" s="228">
        <v>675</v>
      </c>
      <c r="CV142" s="229">
        <v>1.3559000000000001</v>
      </c>
      <c r="CW142" s="230">
        <v>4928</v>
      </c>
      <c r="CX142" s="230">
        <v>3714</v>
      </c>
      <c r="CY142" s="230">
        <v>1214</v>
      </c>
      <c r="CZ142" s="229">
        <v>0.32679999999999998</v>
      </c>
      <c r="DA142" s="228">
        <v>23.28</v>
      </c>
      <c r="DB142" s="228">
        <v>24.29</v>
      </c>
      <c r="DC142" s="228">
        <v>-1.01</v>
      </c>
      <c r="DD142" s="228">
        <v>-1.01</v>
      </c>
      <c r="DE142" s="228">
        <v>24.56</v>
      </c>
      <c r="DF142" s="228">
        <v>23.88</v>
      </c>
      <c r="DG142" s="228">
        <v>-1.28</v>
      </c>
      <c r="DH142" s="228">
        <v>0.68</v>
      </c>
      <c r="DI142" s="228">
        <v>22.17</v>
      </c>
      <c r="DJ142" s="228">
        <v>23.81</v>
      </c>
      <c r="DK142" s="228">
        <v>-1.64</v>
      </c>
      <c r="DL142" s="228">
        <v>-1.64</v>
      </c>
      <c r="DM142" s="228">
        <v>24.88</v>
      </c>
      <c r="DN142" s="228">
        <v>25.27</v>
      </c>
      <c r="DO142" s="228">
        <v>-0.39</v>
      </c>
      <c r="DP142" s="228">
        <v>-0.39</v>
      </c>
      <c r="DQ142" s="228">
        <v>1.02</v>
      </c>
      <c r="DR142" s="228">
        <v>0.76</v>
      </c>
      <c r="DS142" s="228">
        <v>0.26</v>
      </c>
      <c r="DT142" s="229">
        <v>0.34210000000000002</v>
      </c>
      <c r="DU142" s="231">
        <v>1300</v>
      </c>
      <c r="DV142" s="231">
        <v>1200</v>
      </c>
      <c r="DW142" s="228">
        <v>0.69</v>
      </c>
      <c r="DX142" s="228">
        <v>0.48</v>
      </c>
      <c r="DY142" s="228">
        <v>0.21</v>
      </c>
      <c r="DZ142" s="229">
        <v>0.4375</v>
      </c>
      <c r="EA142" s="229">
        <v>9.7799999999999998E-2</v>
      </c>
      <c r="EB142" s="230">
        <v>1653500</v>
      </c>
      <c r="EC142" s="229">
        <v>5.3E-3</v>
      </c>
      <c r="ED142" s="229">
        <v>9.7799999999999998E-2</v>
      </c>
      <c r="EE142" s="228">
        <v>7.14</v>
      </c>
      <c r="EF142" s="229">
        <v>5.5999999999999999E-3</v>
      </c>
      <c r="EG142" s="230">
        <v>2806940</v>
      </c>
      <c r="EH142" s="230">
        <v>977844</v>
      </c>
      <c r="EI142" s="229">
        <v>1.8705000000000001</v>
      </c>
      <c r="EJ142" s="229">
        <v>0.38319999999999999</v>
      </c>
      <c r="EK142" s="231">
        <v>9357.91</v>
      </c>
      <c r="EL142" s="231">
        <v>6161.91</v>
      </c>
      <c r="EM142" s="231">
        <v>1850.11</v>
      </c>
      <c r="EN142" s="228">
        <v>54.47</v>
      </c>
      <c r="EO142" s="231">
        <v>17369.93</v>
      </c>
      <c r="EP142" s="231">
        <v>4214.2700000000004</v>
      </c>
      <c r="EQ142" s="231">
        <v>13155.66</v>
      </c>
      <c r="ER142" s="229">
        <v>3.1217000000000001</v>
      </c>
      <c r="ES142" s="231">
        <v>1136.8900000000001</v>
      </c>
      <c r="ET142" s="231">
        <v>1109.79</v>
      </c>
      <c r="EU142" s="231">
        <v>2606.08</v>
      </c>
      <c r="EV142" s="231">
        <v>71801274</v>
      </c>
      <c r="EW142" s="231">
        <v>4852.7700000000004</v>
      </c>
      <c r="EX142" s="231">
        <v>3531.29</v>
      </c>
      <c r="EY142" s="231">
        <v>1321.48</v>
      </c>
      <c r="EZ142" s="229">
        <v>0.37419999999999998</v>
      </c>
      <c r="FA142" s="229">
        <v>0.53539999999999999</v>
      </c>
      <c r="FB142" s="227" t="s">
        <v>555</v>
      </c>
      <c r="FC142">
        <f t="shared" si="2"/>
        <v>255</v>
      </c>
    </row>
    <row r="143" spans="1:159" ht="17.25" thickBot="1" x14ac:dyDescent="0.3">
      <c r="A143" s="226">
        <v>45946</v>
      </c>
      <c r="B143" s="227" t="s">
        <v>161</v>
      </c>
      <c r="C143" s="227" t="s">
        <v>585</v>
      </c>
      <c r="D143" s="228">
        <v>6400</v>
      </c>
      <c r="E143" s="228">
        <v>12</v>
      </c>
      <c r="F143" s="228">
        <v>87.19</v>
      </c>
      <c r="G143" s="228">
        <v>87.35</v>
      </c>
      <c r="H143" s="228">
        <v>-0.16</v>
      </c>
      <c r="I143" s="229">
        <v>-1.8E-3</v>
      </c>
      <c r="J143" s="228">
        <v>86.95</v>
      </c>
      <c r="K143" s="228">
        <v>87.04</v>
      </c>
      <c r="L143" s="228">
        <v>-0.09</v>
      </c>
      <c r="M143" s="229">
        <v>-1E-3</v>
      </c>
      <c r="N143" s="228">
        <v>87.19</v>
      </c>
      <c r="O143" s="228">
        <v>87.35</v>
      </c>
      <c r="P143" s="228">
        <v>-0.16</v>
      </c>
      <c r="Q143" s="229">
        <v>-1.8E-3</v>
      </c>
      <c r="R143" s="228">
        <v>87.69</v>
      </c>
      <c r="S143" s="228">
        <v>87.85</v>
      </c>
      <c r="T143" s="228">
        <v>-0.16</v>
      </c>
      <c r="U143" s="229">
        <v>-1.8E-3</v>
      </c>
      <c r="V143" s="228">
        <v>88.12</v>
      </c>
      <c r="W143" s="228">
        <v>88.43</v>
      </c>
      <c r="X143" s="228">
        <v>-0.31</v>
      </c>
      <c r="Y143" s="229">
        <v>-3.5000000000000001E-3</v>
      </c>
      <c r="Z143" s="228">
        <v>0.24</v>
      </c>
      <c r="AA143" s="228">
        <v>0.31</v>
      </c>
      <c r="AB143" s="228">
        <v>-7.0000000000000007E-2</v>
      </c>
      <c r="AC143" s="229">
        <v>2.8E-3</v>
      </c>
      <c r="AD143" s="228">
        <v>0.24</v>
      </c>
      <c r="AE143" s="228">
        <v>0.31</v>
      </c>
      <c r="AF143" s="228">
        <v>-7.0000000000000007E-2</v>
      </c>
      <c r="AG143" s="229">
        <v>2.8E-3</v>
      </c>
      <c r="AH143" s="228">
        <v>0.74</v>
      </c>
      <c r="AI143" s="228">
        <v>0.81</v>
      </c>
      <c r="AJ143" s="228">
        <v>-7.0000000000000007E-2</v>
      </c>
      <c r="AK143" s="229">
        <v>8.5000000000000006E-3</v>
      </c>
      <c r="AL143" s="228">
        <v>1.17</v>
      </c>
      <c r="AM143" s="228">
        <v>1.39</v>
      </c>
      <c r="AN143" s="228">
        <v>-0.22</v>
      </c>
      <c r="AO143" s="229">
        <v>1.35E-2</v>
      </c>
      <c r="AP143" s="228">
        <v>87.05</v>
      </c>
      <c r="AQ143" s="228">
        <v>87.5</v>
      </c>
      <c r="AR143" s="228">
        <v>0</v>
      </c>
      <c r="AS143" s="228">
        <v>119</v>
      </c>
      <c r="AT143" s="228">
        <v>83</v>
      </c>
      <c r="AU143" s="228">
        <v>36</v>
      </c>
      <c r="AV143" s="229">
        <v>0.43480000000000002</v>
      </c>
      <c r="AW143" s="228">
        <v>104</v>
      </c>
      <c r="AX143" s="228">
        <v>73</v>
      </c>
      <c r="AY143" s="228">
        <v>31</v>
      </c>
      <c r="AZ143" s="229">
        <v>0.4209</v>
      </c>
      <c r="BA143" s="228">
        <v>14</v>
      </c>
      <c r="BB143" s="228">
        <v>9</v>
      </c>
      <c r="BC143" s="228">
        <v>5</v>
      </c>
      <c r="BD143" s="229">
        <v>0.56410000000000005</v>
      </c>
      <c r="BE143" s="228">
        <v>1</v>
      </c>
      <c r="BF143" s="228">
        <v>1</v>
      </c>
      <c r="BG143" s="228">
        <v>0</v>
      </c>
      <c r="BH143" s="229">
        <v>0.2727</v>
      </c>
      <c r="BI143" s="228">
        <v>235</v>
      </c>
      <c r="BJ143" s="228">
        <v>170</v>
      </c>
      <c r="BK143" s="228">
        <v>66</v>
      </c>
      <c r="BL143" s="229">
        <v>0.38719999999999999</v>
      </c>
      <c r="BM143" s="228">
        <v>116</v>
      </c>
      <c r="BN143" s="228">
        <v>80</v>
      </c>
      <c r="BO143" s="228">
        <v>36</v>
      </c>
      <c r="BP143" s="229">
        <v>0.4536</v>
      </c>
      <c r="BQ143" s="228">
        <v>470</v>
      </c>
      <c r="BR143" s="228">
        <v>332</v>
      </c>
      <c r="BS143" s="228">
        <v>138</v>
      </c>
      <c r="BT143" s="229">
        <v>0.41499999999999998</v>
      </c>
      <c r="BU143" s="230">
        <v>11631344</v>
      </c>
      <c r="BV143" s="230">
        <v>12891713</v>
      </c>
      <c r="BW143" s="230">
        <v>-1260369</v>
      </c>
      <c r="BX143" s="229">
        <v>-9.7799999999999998E-2</v>
      </c>
      <c r="BY143" s="228">
        <v>409</v>
      </c>
      <c r="BZ143" s="228">
        <v>405</v>
      </c>
      <c r="CA143" s="228">
        <v>5</v>
      </c>
      <c r="CB143" s="229">
        <v>1.1599999999999999E-2</v>
      </c>
      <c r="CC143" s="228">
        <v>382</v>
      </c>
      <c r="CD143" s="228">
        <v>381</v>
      </c>
      <c r="CE143" s="228">
        <v>2</v>
      </c>
      <c r="CF143" s="229">
        <v>4.0000000000000001E-3</v>
      </c>
      <c r="CG143" s="228">
        <v>24</v>
      </c>
      <c r="CH143" s="228">
        <v>21</v>
      </c>
      <c r="CI143" s="228">
        <v>3</v>
      </c>
      <c r="CJ143" s="229">
        <v>0.13980000000000001</v>
      </c>
      <c r="CK143" s="228">
        <v>3</v>
      </c>
      <c r="CL143" s="228">
        <v>3</v>
      </c>
      <c r="CM143" s="228">
        <v>0</v>
      </c>
      <c r="CN143" s="229">
        <v>8.9300000000000004E-2</v>
      </c>
      <c r="CO143" s="228">
        <v>171</v>
      </c>
      <c r="CP143" s="228">
        <v>169</v>
      </c>
      <c r="CQ143" s="228">
        <v>2</v>
      </c>
      <c r="CR143" s="229">
        <v>1.3899999999999999E-2</v>
      </c>
      <c r="CS143" s="228">
        <v>83</v>
      </c>
      <c r="CT143" s="228">
        <v>83</v>
      </c>
      <c r="CU143" s="228">
        <v>-1</v>
      </c>
      <c r="CV143" s="229">
        <v>-7.4000000000000003E-3</v>
      </c>
      <c r="CW143" s="228">
        <v>663</v>
      </c>
      <c r="CX143" s="228">
        <v>657</v>
      </c>
      <c r="CY143" s="228">
        <v>6</v>
      </c>
      <c r="CZ143" s="229">
        <v>9.7999999999999997E-3</v>
      </c>
      <c r="DA143" s="228">
        <v>25.59</v>
      </c>
      <c r="DB143" s="228">
        <v>26.95</v>
      </c>
      <c r="DC143" s="228">
        <v>-1.36</v>
      </c>
      <c r="DD143" s="228">
        <v>-1.36</v>
      </c>
      <c r="DE143" s="228">
        <v>39.700000000000003</v>
      </c>
      <c r="DF143" s="228">
        <v>39.799999999999997</v>
      </c>
      <c r="DG143" s="228">
        <v>-14.11</v>
      </c>
      <c r="DH143" s="228">
        <v>-0.1</v>
      </c>
      <c r="DI143" s="228">
        <v>25.7</v>
      </c>
      <c r="DJ143" s="228">
        <v>27.07</v>
      </c>
      <c r="DK143" s="228">
        <v>-1.37</v>
      </c>
      <c r="DL143" s="228">
        <v>-1.37</v>
      </c>
      <c r="DM143" s="228">
        <v>25.36</v>
      </c>
      <c r="DN143" s="228">
        <v>26.71</v>
      </c>
      <c r="DO143" s="228">
        <v>-1.35</v>
      </c>
      <c r="DP143" s="228">
        <v>-1.35</v>
      </c>
      <c r="DQ143" s="228">
        <v>0.48</v>
      </c>
      <c r="DR143" s="228">
        <v>0.49</v>
      </c>
      <c r="DS143" s="228">
        <v>-0.01</v>
      </c>
      <c r="DT143" s="229">
        <v>-2.0400000000000001E-2</v>
      </c>
      <c r="DU143" s="228">
        <v>90</v>
      </c>
      <c r="DV143" s="228">
        <v>80</v>
      </c>
      <c r="DW143" s="228">
        <v>0.49</v>
      </c>
      <c r="DX143" s="228">
        <v>0.47</v>
      </c>
      <c r="DY143" s="228">
        <v>0.02</v>
      </c>
      <c r="DZ143" s="229">
        <v>4.2599999999999999E-2</v>
      </c>
      <c r="EA143" s="229">
        <v>6.6100000000000006E-2</v>
      </c>
      <c r="EB143" s="230">
        <v>2739200</v>
      </c>
      <c r="EC143" s="229">
        <v>5.7000000000000002E-3</v>
      </c>
      <c r="ED143" s="229">
        <v>6.6100000000000006E-2</v>
      </c>
      <c r="EE143" s="228">
        <v>0.45</v>
      </c>
      <c r="EF143" s="229">
        <v>5.1999999999999998E-3</v>
      </c>
      <c r="EG143" s="230">
        <v>5369450</v>
      </c>
      <c r="EH143" s="230">
        <v>6770376</v>
      </c>
      <c r="EI143" s="229">
        <v>-0.2069</v>
      </c>
      <c r="EJ143" s="229">
        <v>0.46160000000000001</v>
      </c>
      <c r="EK143" s="228">
        <v>241.57</v>
      </c>
      <c r="EL143" s="228">
        <v>118.84</v>
      </c>
      <c r="EM143" s="228">
        <v>118.46</v>
      </c>
      <c r="EN143" s="228">
        <v>15.86</v>
      </c>
      <c r="EO143" s="228">
        <v>478.87</v>
      </c>
      <c r="EP143" s="228">
        <v>337.78</v>
      </c>
      <c r="EQ143" s="228">
        <v>141.1</v>
      </c>
      <c r="ER143" s="229">
        <v>0.41770000000000002</v>
      </c>
      <c r="ES143" s="228">
        <v>177.97</v>
      </c>
      <c r="ET143" s="228">
        <v>79.77</v>
      </c>
      <c r="EU143" s="228">
        <v>409.37</v>
      </c>
      <c r="EV143" s="231">
        <v>398201603</v>
      </c>
      <c r="EW143" s="228">
        <v>667.1</v>
      </c>
      <c r="EX143" s="228">
        <v>661.25</v>
      </c>
      <c r="EY143" s="228">
        <v>5.85</v>
      </c>
      <c r="EZ143" s="229">
        <v>8.8000000000000005E-3</v>
      </c>
      <c r="FA143" s="229">
        <v>0.191</v>
      </c>
      <c r="FB143" s="227" t="s">
        <v>567</v>
      </c>
      <c r="FC143">
        <f t="shared" si="2"/>
        <v>27</v>
      </c>
    </row>
    <row r="144" spans="1:159" ht="17.25" thickBot="1" x14ac:dyDescent="0.3">
      <c r="A144" s="226">
        <v>45946</v>
      </c>
      <c r="B144" s="227" t="s">
        <v>181</v>
      </c>
      <c r="C144" s="227" t="s">
        <v>266</v>
      </c>
      <c r="D144" s="228">
        <v>75</v>
      </c>
      <c r="E144" s="228">
        <v>12</v>
      </c>
      <c r="F144" s="231">
        <v>25656.1</v>
      </c>
      <c r="G144" s="231">
        <v>25424.799999999999</v>
      </c>
      <c r="H144" s="228">
        <v>231.3</v>
      </c>
      <c r="I144" s="229">
        <v>9.1000000000000004E-3</v>
      </c>
      <c r="J144" s="231">
        <v>25585.3</v>
      </c>
      <c r="K144" s="231">
        <v>25323.55</v>
      </c>
      <c r="L144" s="228">
        <v>261.75</v>
      </c>
      <c r="M144" s="229">
        <v>1.03E-2</v>
      </c>
      <c r="N144" s="231">
        <v>25656.1</v>
      </c>
      <c r="O144" s="231">
        <v>25424.799999999999</v>
      </c>
      <c r="P144" s="228">
        <v>231.3</v>
      </c>
      <c r="Q144" s="229">
        <v>9.1000000000000004E-3</v>
      </c>
      <c r="R144" s="231">
        <v>25786.400000000001</v>
      </c>
      <c r="S144" s="231">
        <v>25548.6</v>
      </c>
      <c r="T144" s="228">
        <v>237.8</v>
      </c>
      <c r="U144" s="229">
        <v>9.2999999999999992E-3</v>
      </c>
      <c r="V144" s="231">
        <v>25943.1</v>
      </c>
      <c r="W144" s="231">
        <v>25713.599999999999</v>
      </c>
      <c r="X144" s="228">
        <v>229.5</v>
      </c>
      <c r="Y144" s="229">
        <v>8.8999999999999999E-3</v>
      </c>
      <c r="Z144" s="228">
        <v>70.8</v>
      </c>
      <c r="AA144" s="228">
        <v>101.25</v>
      </c>
      <c r="AB144" s="228">
        <v>-30.45</v>
      </c>
      <c r="AC144" s="229">
        <v>2.8E-3</v>
      </c>
      <c r="AD144" s="228">
        <v>70.8</v>
      </c>
      <c r="AE144" s="228">
        <v>101.25</v>
      </c>
      <c r="AF144" s="228">
        <v>-30.45</v>
      </c>
      <c r="AG144" s="229">
        <v>2.8E-3</v>
      </c>
      <c r="AH144" s="228">
        <v>201.1</v>
      </c>
      <c r="AI144" s="228">
        <v>225.05</v>
      </c>
      <c r="AJ144" s="228">
        <v>-23.95</v>
      </c>
      <c r="AK144" s="229">
        <v>7.9000000000000008E-3</v>
      </c>
      <c r="AL144" s="228">
        <v>357.8</v>
      </c>
      <c r="AM144" s="228">
        <v>390.05</v>
      </c>
      <c r="AN144" s="228">
        <v>-32.25</v>
      </c>
      <c r="AO144" s="229">
        <v>1.4E-2</v>
      </c>
      <c r="AP144" s="231">
        <v>25595.1</v>
      </c>
      <c r="AQ144" s="231">
        <v>25726.51</v>
      </c>
      <c r="AR144" s="228">
        <v>0</v>
      </c>
      <c r="AS144" s="230">
        <v>18951</v>
      </c>
      <c r="AT144" s="230">
        <v>17738</v>
      </c>
      <c r="AU144" s="230">
        <v>1213</v>
      </c>
      <c r="AV144" s="229">
        <v>6.8400000000000002E-2</v>
      </c>
      <c r="AW144" s="230">
        <v>16096</v>
      </c>
      <c r="AX144" s="230">
        <v>14839</v>
      </c>
      <c r="AY144" s="230">
        <v>1257</v>
      </c>
      <c r="AZ144" s="229">
        <v>8.4699999999999998E-2</v>
      </c>
      <c r="BA144" s="230">
        <v>2329</v>
      </c>
      <c r="BB144" s="230">
        <v>2393</v>
      </c>
      <c r="BC144" s="228">
        <v>-64</v>
      </c>
      <c r="BD144" s="229">
        <v>-2.6800000000000001E-2</v>
      </c>
      <c r="BE144" s="228">
        <v>526</v>
      </c>
      <c r="BF144" s="228">
        <v>506</v>
      </c>
      <c r="BG144" s="228">
        <v>20</v>
      </c>
      <c r="BH144" s="229">
        <v>3.8800000000000001E-2</v>
      </c>
      <c r="BI144" s="230">
        <v>7068681</v>
      </c>
      <c r="BJ144" s="230">
        <v>6278590</v>
      </c>
      <c r="BK144" s="230">
        <v>790091</v>
      </c>
      <c r="BL144" s="229">
        <v>0.1258</v>
      </c>
      <c r="BM144" s="230">
        <v>5728919</v>
      </c>
      <c r="BN144" s="230">
        <v>5490787</v>
      </c>
      <c r="BO144" s="230">
        <v>238132</v>
      </c>
      <c r="BP144" s="229">
        <v>4.3400000000000001E-2</v>
      </c>
      <c r="BQ144" s="230">
        <v>12816551</v>
      </c>
      <c r="BR144" s="230">
        <v>11787115</v>
      </c>
      <c r="BS144" s="230">
        <v>1029435</v>
      </c>
      <c r="BT144" s="229">
        <v>8.7300000000000003E-2</v>
      </c>
      <c r="BU144" s="228">
        <v>0</v>
      </c>
      <c r="BV144" s="228">
        <v>0</v>
      </c>
      <c r="BW144" s="228">
        <v>0</v>
      </c>
      <c r="BX144" s="229">
        <v>0</v>
      </c>
      <c r="BY144" s="230">
        <v>52189</v>
      </c>
      <c r="BZ144" s="230">
        <v>51846</v>
      </c>
      <c r="CA144" s="228">
        <v>343</v>
      </c>
      <c r="CB144" s="229">
        <v>6.6E-3</v>
      </c>
      <c r="CC144" s="230">
        <v>45557</v>
      </c>
      <c r="CD144" s="230">
        <v>46006</v>
      </c>
      <c r="CE144" s="228">
        <v>-449</v>
      </c>
      <c r="CF144" s="229">
        <v>-9.7000000000000003E-3</v>
      </c>
      <c r="CG144" s="230">
        <v>5595</v>
      </c>
      <c r="CH144" s="230">
        <v>4927</v>
      </c>
      <c r="CI144" s="228">
        <v>668</v>
      </c>
      <c r="CJ144" s="229">
        <v>0.1356</v>
      </c>
      <c r="CK144" s="230">
        <v>1036</v>
      </c>
      <c r="CL144" s="228">
        <v>913</v>
      </c>
      <c r="CM144" s="228">
        <v>123</v>
      </c>
      <c r="CN144" s="229">
        <v>0.1346</v>
      </c>
      <c r="CO144" s="230">
        <v>543004</v>
      </c>
      <c r="CP144" s="230">
        <v>507238</v>
      </c>
      <c r="CQ144" s="230">
        <v>35766</v>
      </c>
      <c r="CR144" s="229">
        <v>7.0499999999999993E-2</v>
      </c>
      <c r="CS144" s="230">
        <v>750912</v>
      </c>
      <c r="CT144" s="230">
        <v>615010</v>
      </c>
      <c r="CU144" s="230">
        <v>135902</v>
      </c>
      <c r="CV144" s="229">
        <v>0.221</v>
      </c>
      <c r="CW144" s="230">
        <v>1346105</v>
      </c>
      <c r="CX144" s="230">
        <v>1174095</v>
      </c>
      <c r="CY144" s="230">
        <v>172010</v>
      </c>
      <c r="CZ144" s="229">
        <v>0.14649999999999999</v>
      </c>
      <c r="DA144" s="228">
        <v>10.85</v>
      </c>
      <c r="DB144" s="228">
        <v>10.45</v>
      </c>
      <c r="DC144" s="228">
        <v>0.4</v>
      </c>
      <c r="DD144" s="228">
        <v>0.4</v>
      </c>
      <c r="DE144" s="228">
        <v>15.08</v>
      </c>
      <c r="DF144" s="228">
        <v>15.06</v>
      </c>
      <c r="DG144" s="228">
        <v>-4.2300000000000004</v>
      </c>
      <c r="DH144" s="228">
        <v>0.02</v>
      </c>
      <c r="DI144" s="228">
        <v>9.44</v>
      </c>
      <c r="DJ144" s="228">
        <v>9.1300000000000008</v>
      </c>
      <c r="DK144" s="228">
        <v>0.31</v>
      </c>
      <c r="DL144" s="228">
        <v>0.31</v>
      </c>
      <c r="DM144" s="228">
        <v>12.36</v>
      </c>
      <c r="DN144" s="228">
        <v>11.8</v>
      </c>
      <c r="DO144" s="228">
        <v>0.56000000000000005</v>
      </c>
      <c r="DP144" s="228">
        <v>0.56000000000000005</v>
      </c>
      <c r="DQ144" s="228">
        <v>1.38</v>
      </c>
      <c r="DR144" s="228">
        <v>1.21</v>
      </c>
      <c r="DS144" s="228">
        <v>0.17</v>
      </c>
      <c r="DT144" s="229">
        <v>0.14050000000000001</v>
      </c>
      <c r="DU144" s="231">
        <v>26000</v>
      </c>
      <c r="DV144" s="231">
        <v>24500</v>
      </c>
      <c r="DW144" s="228">
        <v>0.81</v>
      </c>
      <c r="DX144" s="228">
        <v>0.87</v>
      </c>
      <c r="DY144" s="228">
        <v>-0.06</v>
      </c>
      <c r="DZ144" s="229">
        <v>-6.9000000000000006E-2</v>
      </c>
      <c r="EA144" s="229">
        <v>0.12709999999999999</v>
      </c>
      <c r="EB144" s="230">
        <v>2276475</v>
      </c>
      <c r="EC144" s="229">
        <v>5.1000000000000004E-3</v>
      </c>
      <c r="ED144" s="229">
        <v>0.12709999999999999</v>
      </c>
      <c r="EE144" s="228">
        <v>131.41</v>
      </c>
      <c r="EF144" s="229">
        <v>5.1000000000000004E-3</v>
      </c>
      <c r="EG144" s="228">
        <v>0</v>
      </c>
      <c r="EH144" s="228">
        <v>0</v>
      </c>
      <c r="EI144" s="229">
        <v>0</v>
      </c>
      <c r="EJ144" s="229">
        <v>0</v>
      </c>
      <c r="EK144" s="231">
        <v>7116235.5499999998</v>
      </c>
      <c r="EL144" s="231">
        <v>5595877.1500000004</v>
      </c>
      <c r="EM144" s="231">
        <v>18923.78</v>
      </c>
      <c r="EN144" s="228">
        <v>820.77</v>
      </c>
      <c r="EO144" s="231">
        <v>12731036.48</v>
      </c>
      <c r="EP144" s="231">
        <v>11642831.5</v>
      </c>
      <c r="EQ144" s="231">
        <v>1088204.98</v>
      </c>
      <c r="ER144" s="229">
        <v>9.35E-2</v>
      </c>
      <c r="ES144" s="231">
        <v>547907.30000000005</v>
      </c>
      <c r="ET144" s="231">
        <v>722509.94</v>
      </c>
      <c r="EU144" s="231">
        <v>52229.14</v>
      </c>
      <c r="EV144" s="228">
        <v>0</v>
      </c>
      <c r="EW144" s="231">
        <v>1322646.3799999999</v>
      </c>
      <c r="EX144" s="231">
        <v>1150276.78</v>
      </c>
      <c r="EY144" s="231">
        <v>172369.6</v>
      </c>
      <c r="EZ144" s="229">
        <v>0.14990000000000001</v>
      </c>
      <c r="FA144" s="229">
        <v>0</v>
      </c>
      <c r="FB144" s="227" t="s">
        <v>555</v>
      </c>
      <c r="FC144">
        <f t="shared" si="2"/>
        <v>6632</v>
      </c>
    </row>
    <row r="145" spans="1:159" ht="17.25" thickBot="1" x14ac:dyDescent="0.3">
      <c r="A145" s="226">
        <v>45946</v>
      </c>
      <c r="B145" s="227" t="s">
        <v>181</v>
      </c>
      <c r="C145" s="227" t="s">
        <v>566</v>
      </c>
      <c r="D145" s="228">
        <v>25</v>
      </c>
      <c r="E145" s="228">
        <v>12</v>
      </c>
      <c r="F145" s="231">
        <v>69583.8</v>
      </c>
      <c r="G145" s="231">
        <v>69281.399999999994</v>
      </c>
      <c r="H145" s="228">
        <v>302.39999999999998</v>
      </c>
      <c r="I145" s="229">
        <v>4.4000000000000003E-3</v>
      </c>
      <c r="J145" s="231">
        <v>69453.2</v>
      </c>
      <c r="K145" s="231">
        <v>69113.55</v>
      </c>
      <c r="L145" s="228">
        <v>339.65</v>
      </c>
      <c r="M145" s="229">
        <v>4.8999999999999998E-3</v>
      </c>
      <c r="N145" s="231">
        <v>69583.8</v>
      </c>
      <c r="O145" s="231">
        <v>69281.399999999994</v>
      </c>
      <c r="P145" s="228">
        <v>302.39999999999998</v>
      </c>
      <c r="Q145" s="229">
        <v>4.4000000000000003E-3</v>
      </c>
      <c r="R145" s="231">
        <v>69975.399999999994</v>
      </c>
      <c r="S145" s="231">
        <v>69687.600000000006</v>
      </c>
      <c r="T145" s="228">
        <v>287.8</v>
      </c>
      <c r="U145" s="229">
        <v>4.1000000000000003E-3</v>
      </c>
      <c r="V145" s="231">
        <v>70305.2</v>
      </c>
      <c r="W145" s="231">
        <v>70141.2</v>
      </c>
      <c r="X145" s="228">
        <v>164</v>
      </c>
      <c r="Y145" s="229">
        <v>2.3E-3</v>
      </c>
      <c r="Z145" s="228">
        <v>130.6</v>
      </c>
      <c r="AA145" s="228">
        <v>167.85</v>
      </c>
      <c r="AB145" s="228">
        <v>-37.25</v>
      </c>
      <c r="AC145" s="229">
        <v>1.9E-3</v>
      </c>
      <c r="AD145" s="228">
        <v>130.6</v>
      </c>
      <c r="AE145" s="228">
        <v>167.85</v>
      </c>
      <c r="AF145" s="228">
        <v>-37.25</v>
      </c>
      <c r="AG145" s="229">
        <v>1.9E-3</v>
      </c>
      <c r="AH145" s="228">
        <v>522.20000000000005</v>
      </c>
      <c r="AI145" s="228">
        <v>574.04999999999995</v>
      </c>
      <c r="AJ145" s="228">
        <v>-51.85</v>
      </c>
      <c r="AK145" s="229">
        <v>7.4999999999999997E-3</v>
      </c>
      <c r="AL145" s="228">
        <v>852</v>
      </c>
      <c r="AM145" s="231">
        <v>1027.6500000000001</v>
      </c>
      <c r="AN145" s="228">
        <v>-175.65</v>
      </c>
      <c r="AO145" s="229">
        <v>1.23E-2</v>
      </c>
      <c r="AP145" s="231">
        <v>69550.47</v>
      </c>
      <c r="AQ145" s="231">
        <v>70014.399999999994</v>
      </c>
      <c r="AR145" s="228">
        <v>0</v>
      </c>
      <c r="AS145" s="228">
        <v>39</v>
      </c>
      <c r="AT145" s="228">
        <v>72</v>
      </c>
      <c r="AU145" s="228">
        <v>-33</v>
      </c>
      <c r="AV145" s="229">
        <v>-0.45300000000000001</v>
      </c>
      <c r="AW145" s="228">
        <v>30</v>
      </c>
      <c r="AX145" s="228">
        <v>66</v>
      </c>
      <c r="AY145" s="228">
        <v>-36</v>
      </c>
      <c r="AZ145" s="229">
        <v>-0.54859999999999998</v>
      </c>
      <c r="BA145" s="228">
        <v>9</v>
      </c>
      <c r="BB145" s="228">
        <v>5</v>
      </c>
      <c r="BC145" s="228">
        <v>4</v>
      </c>
      <c r="BD145" s="229">
        <v>0.78569999999999995</v>
      </c>
      <c r="BE145" s="228">
        <v>1</v>
      </c>
      <c r="BF145" s="228">
        <v>1</v>
      </c>
      <c r="BG145" s="228">
        <v>0</v>
      </c>
      <c r="BH145" s="229">
        <v>-0.16669999999999999</v>
      </c>
      <c r="BI145" s="228">
        <v>85</v>
      </c>
      <c r="BJ145" s="228">
        <v>85</v>
      </c>
      <c r="BK145" s="228">
        <v>0</v>
      </c>
      <c r="BL145" s="229">
        <v>-2E-3</v>
      </c>
      <c r="BM145" s="228">
        <v>25</v>
      </c>
      <c r="BN145" s="228">
        <v>56</v>
      </c>
      <c r="BO145" s="228">
        <v>-32</v>
      </c>
      <c r="BP145" s="229">
        <v>-0.56479999999999997</v>
      </c>
      <c r="BQ145" s="228">
        <v>149</v>
      </c>
      <c r="BR145" s="228">
        <v>214</v>
      </c>
      <c r="BS145" s="228">
        <v>-65</v>
      </c>
      <c r="BT145" s="229">
        <v>-0.30270000000000002</v>
      </c>
      <c r="BU145" s="228">
        <v>0</v>
      </c>
      <c r="BV145" s="228">
        <v>0</v>
      </c>
      <c r="BW145" s="228">
        <v>0</v>
      </c>
      <c r="BX145" s="229">
        <v>0</v>
      </c>
      <c r="BY145" s="228">
        <v>166</v>
      </c>
      <c r="BZ145" s="228">
        <v>160</v>
      </c>
      <c r="CA145" s="228">
        <v>6</v>
      </c>
      <c r="CB145" s="229">
        <v>3.9300000000000002E-2</v>
      </c>
      <c r="CC145" s="228">
        <v>138</v>
      </c>
      <c r="CD145" s="228">
        <v>135</v>
      </c>
      <c r="CE145" s="228">
        <v>4</v>
      </c>
      <c r="CF145" s="229">
        <v>2.7099999999999999E-2</v>
      </c>
      <c r="CG145" s="228">
        <v>26</v>
      </c>
      <c r="CH145" s="228">
        <v>24</v>
      </c>
      <c r="CI145" s="228">
        <v>2</v>
      </c>
      <c r="CJ145" s="229">
        <v>9.4200000000000006E-2</v>
      </c>
      <c r="CK145" s="228">
        <v>1</v>
      </c>
      <c r="CL145" s="228">
        <v>1</v>
      </c>
      <c r="CM145" s="228">
        <v>0</v>
      </c>
      <c r="CN145" s="229">
        <v>0.4</v>
      </c>
      <c r="CO145" s="228">
        <v>54</v>
      </c>
      <c r="CP145" s="228">
        <v>50</v>
      </c>
      <c r="CQ145" s="228">
        <v>4</v>
      </c>
      <c r="CR145" s="229">
        <v>7.2700000000000001E-2</v>
      </c>
      <c r="CS145" s="228">
        <v>47</v>
      </c>
      <c r="CT145" s="228">
        <v>45</v>
      </c>
      <c r="CU145" s="228">
        <v>3</v>
      </c>
      <c r="CV145" s="229">
        <v>5.8099999999999999E-2</v>
      </c>
      <c r="CW145" s="228">
        <v>267</v>
      </c>
      <c r="CX145" s="228">
        <v>255</v>
      </c>
      <c r="CY145" s="228">
        <v>13</v>
      </c>
      <c r="CZ145" s="229">
        <v>4.9200000000000001E-2</v>
      </c>
      <c r="DA145" s="228">
        <v>12.56</v>
      </c>
      <c r="DB145" s="228">
        <v>13.06</v>
      </c>
      <c r="DC145" s="228">
        <v>-0.5</v>
      </c>
      <c r="DD145" s="228">
        <v>-0.5</v>
      </c>
      <c r="DE145" s="228">
        <v>21.27</v>
      </c>
      <c r="DF145" s="228">
        <v>21.31</v>
      </c>
      <c r="DG145" s="228">
        <v>-8.7100000000000009</v>
      </c>
      <c r="DH145" s="228">
        <v>-0.04</v>
      </c>
      <c r="DI145" s="228">
        <v>12.13</v>
      </c>
      <c r="DJ145" s="228">
        <v>12.21</v>
      </c>
      <c r="DK145" s="228">
        <v>-0.08</v>
      </c>
      <c r="DL145" s="228">
        <v>-0.08</v>
      </c>
      <c r="DM145" s="228">
        <v>14.04</v>
      </c>
      <c r="DN145" s="228">
        <v>14.34</v>
      </c>
      <c r="DO145" s="228">
        <v>-0.3</v>
      </c>
      <c r="DP145" s="228">
        <v>-0.3</v>
      </c>
      <c r="DQ145" s="228">
        <v>0.88</v>
      </c>
      <c r="DR145" s="228">
        <v>0.89</v>
      </c>
      <c r="DS145" s="228">
        <v>-0.01</v>
      </c>
      <c r="DT145" s="229">
        <v>-1.12E-2</v>
      </c>
      <c r="DU145" s="231">
        <v>69200</v>
      </c>
      <c r="DV145" s="231">
        <v>67500</v>
      </c>
      <c r="DW145" s="228">
        <v>0.28999999999999998</v>
      </c>
      <c r="DX145" s="228">
        <v>0.66</v>
      </c>
      <c r="DY145" s="228">
        <v>-0.37</v>
      </c>
      <c r="DZ145" s="229">
        <v>-0.56059999999999999</v>
      </c>
      <c r="EA145" s="229">
        <v>0.1658</v>
      </c>
      <c r="EB145" s="230">
        <v>3575</v>
      </c>
      <c r="EC145" s="229">
        <v>5.5999999999999999E-3</v>
      </c>
      <c r="ED145" s="229">
        <v>0.1658</v>
      </c>
      <c r="EE145" s="228">
        <v>463.93</v>
      </c>
      <c r="EF145" s="229">
        <v>6.7000000000000002E-3</v>
      </c>
      <c r="EG145" s="228">
        <v>0</v>
      </c>
      <c r="EH145" s="228">
        <v>0</v>
      </c>
      <c r="EI145" s="229">
        <v>0</v>
      </c>
      <c r="EJ145" s="229">
        <v>0</v>
      </c>
      <c r="EK145" s="228">
        <v>85.63</v>
      </c>
      <c r="EL145" s="228">
        <v>24.21</v>
      </c>
      <c r="EM145" s="228">
        <v>39.54</v>
      </c>
      <c r="EN145" s="228">
        <v>0</v>
      </c>
      <c r="EO145" s="228">
        <v>149.38</v>
      </c>
      <c r="EP145" s="228">
        <v>212.41</v>
      </c>
      <c r="EQ145" s="228">
        <v>-63.04</v>
      </c>
      <c r="ER145" s="229">
        <v>-0.29680000000000001</v>
      </c>
      <c r="ES145" s="228">
        <v>53.16</v>
      </c>
      <c r="ET145" s="228">
        <v>45.96</v>
      </c>
      <c r="EU145" s="228">
        <v>165.94</v>
      </c>
      <c r="EV145" s="228">
        <v>0</v>
      </c>
      <c r="EW145" s="228">
        <v>265.06</v>
      </c>
      <c r="EX145" s="228">
        <v>251.85</v>
      </c>
      <c r="EY145" s="228">
        <v>13.21</v>
      </c>
      <c r="EZ145" s="229">
        <v>5.2499999999999998E-2</v>
      </c>
      <c r="FA145" s="229">
        <v>0</v>
      </c>
      <c r="FB145" s="227" t="s">
        <v>555</v>
      </c>
      <c r="FC145">
        <f t="shared" si="2"/>
        <v>28</v>
      </c>
    </row>
    <row r="146" spans="1:159" ht="17.25" thickBot="1" x14ac:dyDescent="0.3">
      <c r="A146" s="226">
        <v>45946</v>
      </c>
      <c r="B146" s="227" t="s">
        <v>227</v>
      </c>
      <c r="C146" s="227" t="s">
        <v>267</v>
      </c>
      <c r="D146" s="228">
        <v>13500</v>
      </c>
      <c r="E146" s="228">
        <v>12</v>
      </c>
      <c r="F146" s="228">
        <v>76.03</v>
      </c>
      <c r="G146" s="228">
        <v>76.81</v>
      </c>
      <c r="H146" s="228">
        <v>-0.78</v>
      </c>
      <c r="I146" s="229">
        <v>-1.0200000000000001E-2</v>
      </c>
      <c r="J146" s="228">
        <v>75.88</v>
      </c>
      <c r="K146" s="228">
        <v>76.709999999999994</v>
      </c>
      <c r="L146" s="228">
        <v>-0.83</v>
      </c>
      <c r="M146" s="229">
        <v>-1.0800000000000001E-2</v>
      </c>
      <c r="N146" s="228">
        <v>76.03</v>
      </c>
      <c r="O146" s="228">
        <v>76.81</v>
      </c>
      <c r="P146" s="228">
        <v>-0.78</v>
      </c>
      <c r="Q146" s="229">
        <v>-1.0200000000000001E-2</v>
      </c>
      <c r="R146" s="228">
        <v>76.47</v>
      </c>
      <c r="S146" s="228">
        <v>77.22</v>
      </c>
      <c r="T146" s="228">
        <v>-0.75</v>
      </c>
      <c r="U146" s="229">
        <v>-9.7000000000000003E-3</v>
      </c>
      <c r="V146" s="228">
        <v>76.930000000000007</v>
      </c>
      <c r="W146" s="228">
        <v>77.73</v>
      </c>
      <c r="X146" s="228">
        <v>-0.8</v>
      </c>
      <c r="Y146" s="229">
        <v>-1.03E-2</v>
      </c>
      <c r="Z146" s="228">
        <v>0.15</v>
      </c>
      <c r="AA146" s="228">
        <v>0.1</v>
      </c>
      <c r="AB146" s="228">
        <v>0.05</v>
      </c>
      <c r="AC146" s="229">
        <v>2E-3</v>
      </c>
      <c r="AD146" s="228">
        <v>0.15</v>
      </c>
      <c r="AE146" s="228">
        <v>0.1</v>
      </c>
      <c r="AF146" s="228">
        <v>0.05</v>
      </c>
      <c r="AG146" s="229">
        <v>2E-3</v>
      </c>
      <c r="AH146" s="228">
        <v>0.59</v>
      </c>
      <c r="AI146" s="228">
        <v>0.51</v>
      </c>
      <c r="AJ146" s="228">
        <v>0.08</v>
      </c>
      <c r="AK146" s="229">
        <v>7.7999999999999996E-3</v>
      </c>
      <c r="AL146" s="228">
        <v>1.05</v>
      </c>
      <c r="AM146" s="228">
        <v>1.02</v>
      </c>
      <c r="AN146" s="228">
        <v>0.03</v>
      </c>
      <c r="AO146" s="229">
        <v>1.38E-2</v>
      </c>
      <c r="AP146" s="228">
        <v>76.17</v>
      </c>
      <c r="AQ146" s="228">
        <v>76.62</v>
      </c>
      <c r="AR146" s="228">
        <v>0</v>
      </c>
      <c r="AS146" s="228">
        <v>224</v>
      </c>
      <c r="AT146" s="228">
        <v>263</v>
      </c>
      <c r="AU146" s="228">
        <v>-40</v>
      </c>
      <c r="AV146" s="229">
        <v>-0.1512</v>
      </c>
      <c r="AW146" s="228">
        <v>170</v>
      </c>
      <c r="AX146" s="228">
        <v>198</v>
      </c>
      <c r="AY146" s="228">
        <v>-28</v>
      </c>
      <c r="AZ146" s="229">
        <v>-0.14000000000000001</v>
      </c>
      <c r="BA146" s="228">
        <v>49</v>
      </c>
      <c r="BB146" s="228">
        <v>64</v>
      </c>
      <c r="BC146" s="228">
        <v>-15</v>
      </c>
      <c r="BD146" s="229">
        <v>-0.23630000000000001</v>
      </c>
      <c r="BE146" s="228">
        <v>5</v>
      </c>
      <c r="BF146" s="228">
        <v>2</v>
      </c>
      <c r="BG146" s="228">
        <v>3</v>
      </c>
      <c r="BH146" s="229">
        <v>1.8125</v>
      </c>
      <c r="BI146" s="228">
        <v>541</v>
      </c>
      <c r="BJ146" s="228">
        <v>927</v>
      </c>
      <c r="BK146" s="228">
        <v>-386</v>
      </c>
      <c r="BL146" s="229">
        <v>-0.41670000000000001</v>
      </c>
      <c r="BM146" s="228">
        <v>209</v>
      </c>
      <c r="BN146" s="228">
        <v>338</v>
      </c>
      <c r="BO146" s="228">
        <v>-129</v>
      </c>
      <c r="BP146" s="229">
        <v>-0.38150000000000001</v>
      </c>
      <c r="BQ146" s="228">
        <v>973</v>
      </c>
      <c r="BR146" s="230">
        <v>1529</v>
      </c>
      <c r="BS146" s="228">
        <v>-555</v>
      </c>
      <c r="BT146" s="229">
        <v>-0.36309999999999998</v>
      </c>
      <c r="BU146" s="230">
        <v>8205763</v>
      </c>
      <c r="BV146" s="230">
        <v>16784291</v>
      </c>
      <c r="BW146" s="230">
        <v>-8578528</v>
      </c>
      <c r="BX146" s="229">
        <v>-0.5111</v>
      </c>
      <c r="BY146" s="230">
        <v>2267</v>
      </c>
      <c r="BZ146" s="230">
        <v>2240</v>
      </c>
      <c r="CA146" s="228">
        <v>26</v>
      </c>
      <c r="CB146" s="229">
        <v>1.18E-2</v>
      </c>
      <c r="CC146" s="230">
        <v>2042</v>
      </c>
      <c r="CD146" s="230">
        <v>2047</v>
      </c>
      <c r="CE146" s="228">
        <v>-5</v>
      </c>
      <c r="CF146" s="229">
        <v>-2.3E-3</v>
      </c>
      <c r="CG146" s="228">
        <v>207</v>
      </c>
      <c r="CH146" s="228">
        <v>178</v>
      </c>
      <c r="CI146" s="228">
        <v>29</v>
      </c>
      <c r="CJ146" s="229">
        <v>0.1615</v>
      </c>
      <c r="CK146" s="228">
        <v>18</v>
      </c>
      <c r="CL146" s="228">
        <v>15</v>
      </c>
      <c r="CM146" s="228">
        <v>2</v>
      </c>
      <c r="CN146" s="229">
        <v>0.15229999999999999</v>
      </c>
      <c r="CO146" s="230">
        <v>1233</v>
      </c>
      <c r="CP146" s="230">
        <v>1161</v>
      </c>
      <c r="CQ146" s="228">
        <v>72</v>
      </c>
      <c r="CR146" s="229">
        <v>6.1699999999999998E-2</v>
      </c>
      <c r="CS146" s="228">
        <v>664</v>
      </c>
      <c r="CT146" s="228">
        <v>645</v>
      </c>
      <c r="CU146" s="228">
        <v>19</v>
      </c>
      <c r="CV146" s="229">
        <v>2.93E-2</v>
      </c>
      <c r="CW146" s="230">
        <v>4164</v>
      </c>
      <c r="CX146" s="230">
        <v>4046</v>
      </c>
      <c r="CY146" s="228">
        <v>117</v>
      </c>
      <c r="CZ146" s="229">
        <v>2.8899999999999999E-2</v>
      </c>
      <c r="DA146" s="228">
        <v>29.59</v>
      </c>
      <c r="DB146" s="228">
        <v>28.64</v>
      </c>
      <c r="DC146" s="228">
        <v>0.95</v>
      </c>
      <c r="DD146" s="228">
        <v>0.95</v>
      </c>
      <c r="DE146" s="228">
        <v>39.57</v>
      </c>
      <c r="DF146" s="228">
        <v>39.64</v>
      </c>
      <c r="DG146" s="228">
        <v>-9.98</v>
      </c>
      <c r="DH146" s="228">
        <v>-7.0000000000000007E-2</v>
      </c>
      <c r="DI146" s="228">
        <v>30.03</v>
      </c>
      <c r="DJ146" s="228">
        <v>28.73</v>
      </c>
      <c r="DK146" s="228">
        <v>1.3</v>
      </c>
      <c r="DL146" s="228">
        <v>1.3</v>
      </c>
      <c r="DM146" s="228">
        <v>28.45</v>
      </c>
      <c r="DN146" s="228">
        <v>28.39</v>
      </c>
      <c r="DO146" s="228">
        <v>0.06</v>
      </c>
      <c r="DP146" s="228">
        <v>0.06</v>
      </c>
      <c r="DQ146" s="228">
        <v>0.54</v>
      </c>
      <c r="DR146" s="228">
        <v>0.56000000000000005</v>
      </c>
      <c r="DS146" s="228">
        <v>-0.02</v>
      </c>
      <c r="DT146" s="229">
        <v>-3.5700000000000003E-2</v>
      </c>
      <c r="DU146" s="228">
        <v>80</v>
      </c>
      <c r="DV146" s="228">
        <v>70</v>
      </c>
      <c r="DW146" s="228">
        <v>0.39</v>
      </c>
      <c r="DX146" s="228">
        <v>0.36</v>
      </c>
      <c r="DY146" s="228">
        <v>0.03</v>
      </c>
      <c r="DZ146" s="229">
        <v>8.3299999999999999E-2</v>
      </c>
      <c r="EA146" s="229">
        <v>9.9099999999999994E-2</v>
      </c>
      <c r="EB146" s="230">
        <v>25447500</v>
      </c>
      <c r="EC146" s="229">
        <v>5.7999999999999996E-3</v>
      </c>
      <c r="ED146" s="229">
        <v>9.9099999999999994E-2</v>
      </c>
      <c r="EE146" s="228">
        <v>0.45</v>
      </c>
      <c r="EF146" s="229">
        <v>5.8999999999999999E-3</v>
      </c>
      <c r="EG146" s="230">
        <v>3431536</v>
      </c>
      <c r="EH146" s="230">
        <v>10924874</v>
      </c>
      <c r="EI146" s="229">
        <v>-0.68589999999999995</v>
      </c>
      <c r="EJ146" s="229">
        <v>0.41820000000000002</v>
      </c>
      <c r="EK146" s="228">
        <v>568.84</v>
      </c>
      <c r="EL146" s="228">
        <v>211.28</v>
      </c>
      <c r="EM146" s="228">
        <v>224.31</v>
      </c>
      <c r="EN146" s="228">
        <v>33.21</v>
      </c>
      <c r="EO146" s="231">
        <v>1004.42</v>
      </c>
      <c r="EP146" s="231">
        <v>1602.22</v>
      </c>
      <c r="EQ146" s="228">
        <v>-597.79999999999995</v>
      </c>
      <c r="ER146" s="229">
        <v>-0.37309999999999999</v>
      </c>
      <c r="ES146" s="231">
        <v>1300.77</v>
      </c>
      <c r="ET146" s="228">
        <v>652.66</v>
      </c>
      <c r="EU146" s="231">
        <v>2268.33</v>
      </c>
      <c r="EV146" s="231">
        <v>517037525</v>
      </c>
      <c r="EW146" s="231">
        <v>4221.75</v>
      </c>
      <c r="EX146" s="231">
        <v>4126.8999999999996</v>
      </c>
      <c r="EY146" s="228">
        <v>94.85</v>
      </c>
      <c r="EZ146" s="229">
        <v>2.3E-2</v>
      </c>
      <c r="FA146" s="229">
        <v>1.0590999999999999</v>
      </c>
      <c r="FB146" s="227" t="s">
        <v>567</v>
      </c>
      <c r="FC146">
        <f t="shared" si="2"/>
        <v>225</v>
      </c>
    </row>
    <row r="147" spans="1:159" ht="17.25" thickBot="1" x14ac:dyDescent="0.3">
      <c r="A147" s="226">
        <v>45946</v>
      </c>
      <c r="B147" s="227" t="s">
        <v>161</v>
      </c>
      <c r="C147" s="227" t="s">
        <v>268</v>
      </c>
      <c r="D147" s="228">
        <v>1500</v>
      </c>
      <c r="E147" s="228">
        <v>12</v>
      </c>
      <c r="F147" s="228">
        <v>342.5</v>
      </c>
      <c r="G147" s="228">
        <v>340.6</v>
      </c>
      <c r="H147" s="228">
        <v>1.9</v>
      </c>
      <c r="I147" s="229">
        <v>5.5999999999999999E-3</v>
      </c>
      <c r="J147" s="228">
        <v>341.5</v>
      </c>
      <c r="K147" s="228">
        <v>339.25</v>
      </c>
      <c r="L147" s="228">
        <v>2.25</v>
      </c>
      <c r="M147" s="229">
        <v>6.6E-3</v>
      </c>
      <c r="N147" s="228">
        <v>342.5</v>
      </c>
      <c r="O147" s="228">
        <v>340.6</v>
      </c>
      <c r="P147" s="228">
        <v>1.9</v>
      </c>
      <c r="Q147" s="229">
        <v>5.5999999999999999E-3</v>
      </c>
      <c r="R147" s="228">
        <v>342.1</v>
      </c>
      <c r="S147" s="228">
        <v>340.05</v>
      </c>
      <c r="T147" s="228">
        <v>2.0499999999999998</v>
      </c>
      <c r="U147" s="229">
        <v>6.0000000000000001E-3</v>
      </c>
      <c r="V147" s="228">
        <v>344.4</v>
      </c>
      <c r="W147" s="228">
        <v>342.4</v>
      </c>
      <c r="X147" s="228">
        <v>2</v>
      </c>
      <c r="Y147" s="229">
        <v>5.7999999999999996E-3</v>
      </c>
      <c r="Z147" s="228">
        <v>1</v>
      </c>
      <c r="AA147" s="228">
        <v>1.35</v>
      </c>
      <c r="AB147" s="228">
        <v>-0.35</v>
      </c>
      <c r="AC147" s="229">
        <v>2.8999999999999998E-3</v>
      </c>
      <c r="AD147" s="228">
        <v>1</v>
      </c>
      <c r="AE147" s="228">
        <v>1.35</v>
      </c>
      <c r="AF147" s="228">
        <v>-0.35</v>
      </c>
      <c r="AG147" s="229">
        <v>2.8999999999999998E-3</v>
      </c>
      <c r="AH147" s="228">
        <v>0.6</v>
      </c>
      <c r="AI147" s="228">
        <v>0.8</v>
      </c>
      <c r="AJ147" s="228">
        <v>-0.2</v>
      </c>
      <c r="AK147" s="229">
        <v>1.8E-3</v>
      </c>
      <c r="AL147" s="228">
        <v>2.9</v>
      </c>
      <c r="AM147" s="228">
        <v>3.15</v>
      </c>
      <c r="AN147" s="228">
        <v>-0.25</v>
      </c>
      <c r="AO147" s="229">
        <v>8.5000000000000006E-3</v>
      </c>
      <c r="AP147" s="228">
        <v>342.17</v>
      </c>
      <c r="AQ147" s="228">
        <v>341.83</v>
      </c>
      <c r="AR147" s="228">
        <v>0</v>
      </c>
      <c r="AS147" s="228">
        <v>284</v>
      </c>
      <c r="AT147" s="228">
        <v>302</v>
      </c>
      <c r="AU147" s="228">
        <v>-19</v>
      </c>
      <c r="AV147" s="229">
        <v>-6.2E-2</v>
      </c>
      <c r="AW147" s="228">
        <v>245</v>
      </c>
      <c r="AX147" s="228">
        <v>252</v>
      </c>
      <c r="AY147" s="228">
        <v>-7</v>
      </c>
      <c r="AZ147" s="229">
        <v>-2.6100000000000002E-2</v>
      </c>
      <c r="BA147" s="228">
        <v>36</v>
      </c>
      <c r="BB147" s="228">
        <v>48</v>
      </c>
      <c r="BC147" s="228">
        <v>-12</v>
      </c>
      <c r="BD147" s="229">
        <v>-0.24729999999999999</v>
      </c>
      <c r="BE147" s="228">
        <v>2</v>
      </c>
      <c r="BF147" s="228">
        <v>3</v>
      </c>
      <c r="BG147" s="228">
        <v>0</v>
      </c>
      <c r="BH147" s="229">
        <v>-9.4299999999999995E-2</v>
      </c>
      <c r="BI147" s="230">
        <v>1135</v>
      </c>
      <c r="BJ147" s="230">
        <v>1693</v>
      </c>
      <c r="BK147" s="228">
        <v>-557</v>
      </c>
      <c r="BL147" s="229">
        <v>-0.32929999999999998</v>
      </c>
      <c r="BM147" s="228">
        <v>549</v>
      </c>
      <c r="BN147" s="228">
        <v>913</v>
      </c>
      <c r="BO147" s="228">
        <v>-365</v>
      </c>
      <c r="BP147" s="229">
        <v>-0.3992</v>
      </c>
      <c r="BQ147" s="230">
        <v>1968</v>
      </c>
      <c r="BR147" s="230">
        <v>2909</v>
      </c>
      <c r="BS147" s="228">
        <v>-941</v>
      </c>
      <c r="BT147" s="229">
        <v>-0.32340000000000002</v>
      </c>
      <c r="BU147" s="230">
        <v>7458020</v>
      </c>
      <c r="BV147" s="230">
        <v>8454918</v>
      </c>
      <c r="BW147" s="230">
        <v>-996898</v>
      </c>
      <c r="BX147" s="229">
        <v>-0.1179</v>
      </c>
      <c r="BY147" s="230">
        <v>3371</v>
      </c>
      <c r="BZ147" s="230">
        <v>3366</v>
      </c>
      <c r="CA147" s="228">
        <v>5</v>
      </c>
      <c r="CB147" s="229">
        <v>1.5E-3</v>
      </c>
      <c r="CC147" s="230">
        <v>3144</v>
      </c>
      <c r="CD147" s="230">
        <v>3152</v>
      </c>
      <c r="CE147" s="228">
        <v>-9</v>
      </c>
      <c r="CF147" s="229">
        <v>-2.7000000000000001E-3</v>
      </c>
      <c r="CG147" s="228">
        <v>213</v>
      </c>
      <c r="CH147" s="228">
        <v>199</v>
      </c>
      <c r="CI147" s="228">
        <v>14</v>
      </c>
      <c r="CJ147" s="229">
        <v>6.8099999999999994E-2</v>
      </c>
      <c r="CK147" s="228">
        <v>15</v>
      </c>
      <c r="CL147" s="228">
        <v>15</v>
      </c>
      <c r="CM147" s="228">
        <v>0</v>
      </c>
      <c r="CN147" s="229">
        <v>3.3999999999999998E-3</v>
      </c>
      <c r="CO147" s="230">
        <v>1521</v>
      </c>
      <c r="CP147" s="230">
        <v>1555</v>
      </c>
      <c r="CQ147" s="228">
        <v>-33</v>
      </c>
      <c r="CR147" s="229">
        <v>-2.1399999999999999E-2</v>
      </c>
      <c r="CS147" s="228">
        <v>630</v>
      </c>
      <c r="CT147" s="228">
        <v>596</v>
      </c>
      <c r="CU147" s="228">
        <v>34</v>
      </c>
      <c r="CV147" s="229">
        <v>5.7299999999999997E-2</v>
      </c>
      <c r="CW147" s="230">
        <v>5522</v>
      </c>
      <c r="CX147" s="230">
        <v>5517</v>
      </c>
      <c r="CY147" s="228">
        <v>6</v>
      </c>
      <c r="CZ147" s="229">
        <v>1.1000000000000001E-3</v>
      </c>
      <c r="DA147" s="228">
        <v>15.96</v>
      </c>
      <c r="DB147" s="228">
        <v>16.34</v>
      </c>
      <c r="DC147" s="228">
        <v>-0.38</v>
      </c>
      <c r="DD147" s="228">
        <v>-0.38</v>
      </c>
      <c r="DE147" s="228">
        <v>28.72</v>
      </c>
      <c r="DF147" s="228">
        <v>28.77</v>
      </c>
      <c r="DG147" s="228">
        <v>-12.76</v>
      </c>
      <c r="DH147" s="228">
        <v>-0.05</v>
      </c>
      <c r="DI147" s="228">
        <v>15.6</v>
      </c>
      <c r="DJ147" s="228">
        <v>16.02</v>
      </c>
      <c r="DK147" s="228">
        <v>-0.42</v>
      </c>
      <c r="DL147" s="228">
        <v>-0.42</v>
      </c>
      <c r="DM147" s="228">
        <v>16.7</v>
      </c>
      <c r="DN147" s="228">
        <v>16.93</v>
      </c>
      <c r="DO147" s="228">
        <v>-0.23</v>
      </c>
      <c r="DP147" s="228">
        <v>-0.23</v>
      </c>
      <c r="DQ147" s="228">
        <v>0.41</v>
      </c>
      <c r="DR147" s="228">
        <v>0.38</v>
      </c>
      <c r="DS147" s="228">
        <v>0.03</v>
      </c>
      <c r="DT147" s="229">
        <v>7.8899999999999998E-2</v>
      </c>
      <c r="DU147" s="228">
        <v>345</v>
      </c>
      <c r="DV147" s="228">
        <v>340</v>
      </c>
      <c r="DW147" s="228">
        <v>0.48</v>
      </c>
      <c r="DX147" s="228">
        <v>0.54</v>
      </c>
      <c r="DY147" s="228">
        <v>-0.06</v>
      </c>
      <c r="DZ147" s="229">
        <v>-0.1111</v>
      </c>
      <c r="EA147" s="229">
        <v>6.7500000000000004E-2</v>
      </c>
      <c r="EB147" s="230">
        <v>6246000</v>
      </c>
      <c r="EC147" s="229">
        <v>-1.1999999999999999E-3</v>
      </c>
      <c r="ED147" s="229">
        <v>6.7500000000000004E-2</v>
      </c>
      <c r="EE147" s="228">
        <v>-0.34</v>
      </c>
      <c r="EF147" s="229">
        <v>-1E-3</v>
      </c>
      <c r="EG147" s="230">
        <v>4570790</v>
      </c>
      <c r="EH147" s="230">
        <v>5935692</v>
      </c>
      <c r="EI147" s="229">
        <v>-0.22989999999999999</v>
      </c>
      <c r="EJ147" s="229">
        <v>0.6129</v>
      </c>
      <c r="EK147" s="231">
        <v>1158.56</v>
      </c>
      <c r="EL147" s="228">
        <v>548.21</v>
      </c>
      <c r="EM147" s="228">
        <v>283.45</v>
      </c>
      <c r="EN147" s="228">
        <v>57.84</v>
      </c>
      <c r="EO147" s="231">
        <v>1990.22</v>
      </c>
      <c r="EP147" s="231">
        <v>2931.26</v>
      </c>
      <c r="EQ147" s="228">
        <v>-941.04</v>
      </c>
      <c r="ER147" s="229">
        <v>-0.32100000000000001</v>
      </c>
      <c r="ES147" s="231">
        <v>1558.88</v>
      </c>
      <c r="ET147" s="228">
        <v>621.08000000000004</v>
      </c>
      <c r="EU147" s="231">
        <v>3370.91</v>
      </c>
      <c r="EV147" s="231">
        <v>572782298</v>
      </c>
      <c r="EW147" s="231">
        <v>5550.87</v>
      </c>
      <c r="EX147" s="231">
        <v>5527.25</v>
      </c>
      <c r="EY147" s="228">
        <v>23.62</v>
      </c>
      <c r="EZ147" s="229">
        <v>4.3E-3</v>
      </c>
      <c r="FA147" s="229">
        <v>0.28149999999999997</v>
      </c>
      <c r="FB147" s="227" t="s">
        <v>555</v>
      </c>
      <c r="FC147">
        <f t="shared" si="2"/>
        <v>227</v>
      </c>
    </row>
    <row r="148" spans="1:159" ht="17.25" thickBot="1" x14ac:dyDescent="0.3">
      <c r="A148" s="226">
        <v>45946</v>
      </c>
      <c r="B148" s="227" t="s">
        <v>175</v>
      </c>
      <c r="C148" s="227" t="s">
        <v>686</v>
      </c>
      <c r="D148" s="228">
        <v>75</v>
      </c>
      <c r="E148" s="228">
        <v>12</v>
      </c>
      <c r="F148" s="231">
        <v>7250.5</v>
      </c>
      <c r="G148" s="231">
        <v>7252</v>
      </c>
      <c r="H148" s="228">
        <v>-1.5</v>
      </c>
      <c r="I148" s="229">
        <v>-2.0000000000000001E-4</v>
      </c>
      <c r="J148" s="231">
        <v>7225.5</v>
      </c>
      <c r="K148" s="231">
        <v>7217.5</v>
      </c>
      <c r="L148" s="228">
        <v>8</v>
      </c>
      <c r="M148" s="229">
        <v>1.1000000000000001E-3</v>
      </c>
      <c r="N148" s="231">
        <v>7250.5</v>
      </c>
      <c r="O148" s="231">
        <v>7252</v>
      </c>
      <c r="P148" s="228">
        <v>-1.5</v>
      </c>
      <c r="Q148" s="229">
        <v>-2.0000000000000001E-4</v>
      </c>
      <c r="R148" s="231">
        <v>7223.5</v>
      </c>
      <c r="S148" s="231">
        <v>7233.5</v>
      </c>
      <c r="T148" s="228">
        <v>-10</v>
      </c>
      <c r="U148" s="229">
        <v>-1.4E-3</v>
      </c>
      <c r="V148" s="231">
        <v>7191.5</v>
      </c>
      <c r="W148" s="231">
        <v>7170</v>
      </c>
      <c r="X148" s="228">
        <v>21.5</v>
      </c>
      <c r="Y148" s="229">
        <v>3.0000000000000001E-3</v>
      </c>
      <c r="Z148" s="228">
        <v>25</v>
      </c>
      <c r="AA148" s="228">
        <v>34.5</v>
      </c>
      <c r="AB148" s="228">
        <v>-9.5</v>
      </c>
      <c r="AC148" s="229">
        <v>3.5000000000000001E-3</v>
      </c>
      <c r="AD148" s="228">
        <v>25</v>
      </c>
      <c r="AE148" s="228">
        <v>34.5</v>
      </c>
      <c r="AF148" s="228">
        <v>-9.5</v>
      </c>
      <c r="AG148" s="229">
        <v>3.5000000000000001E-3</v>
      </c>
      <c r="AH148" s="228">
        <v>-2</v>
      </c>
      <c r="AI148" s="228">
        <v>16</v>
      </c>
      <c r="AJ148" s="228">
        <v>-18</v>
      </c>
      <c r="AK148" s="229">
        <v>-2.9999999999999997E-4</v>
      </c>
      <c r="AL148" s="228">
        <v>-34</v>
      </c>
      <c r="AM148" s="228">
        <v>-47.5</v>
      </c>
      <c r="AN148" s="228">
        <v>13.5</v>
      </c>
      <c r="AO148" s="229">
        <v>-4.7000000000000002E-3</v>
      </c>
      <c r="AP148" s="231">
        <v>7246.71</v>
      </c>
      <c r="AQ148" s="231">
        <v>7224.39</v>
      </c>
      <c r="AR148" s="228">
        <v>0</v>
      </c>
      <c r="AS148" s="228">
        <v>33</v>
      </c>
      <c r="AT148" s="228">
        <v>70</v>
      </c>
      <c r="AU148" s="228">
        <v>-37</v>
      </c>
      <c r="AV148" s="229">
        <v>-0.53339999999999999</v>
      </c>
      <c r="AW148" s="228">
        <v>30</v>
      </c>
      <c r="AX148" s="228">
        <v>67</v>
      </c>
      <c r="AY148" s="228">
        <v>-37</v>
      </c>
      <c r="AZ148" s="229">
        <v>-0.54800000000000004</v>
      </c>
      <c r="BA148" s="228">
        <v>2</v>
      </c>
      <c r="BB148" s="228">
        <v>3</v>
      </c>
      <c r="BC148" s="228">
        <v>-1</v>
      </c>
      <c r="BD148" s="229">
        <v>-0.2545</v>
      </c>
      <c r="BE148" s="228">
        <v>0</v>
      </c>
      <c r="BF148" s="228">
        <v>0</v>
      </c>
      <c r="BG148" s="228">
        <v>0</v>
      </c>
      <c r="BH148" s="229">
        <v>2</v>
      </c>
      <c r="BI148" s="228">
        <v>85</v>
      </c>
      <c r="BJ148" s="228">
        <v>122</v>
      </c>
      <c r="BK148" s="228">
        <v>-37</v>
      </c>
      <c r="BL148" s="229">
        <v>-0.3054</v>
      </c>
      <c r="BM148" s="228">
        <v>70</v>
      </c>
      <c r="BN148" s="228">
        <v>99</v>
      </c>
      <c r="BO148" s="228">
        <v>-28</v>
      </c>
      <c r="BP148" s="229">
        <v>-0.28599999999999998</v>
      </c>
      <c r="BQ148" s="228">
        <v>188</v>
      </c>
      <c r="BR148" s="228">
        <v>290</v>
      </c>
      <c r="BS148" s="228">
        <v>-103</v>
      </c>
      <c r="BT148" s="229">
        <v>-0.35370000000000001</v>
      </c>
      <c r="BU148" s="230">
        <v>55563</v>
      </c>
      <c r="BV148" s="230">
        <v>104590</v>
      </c>
      <c r="BW148" s="230">
        <v>-49027</v>
      </c>
      <c r="BX148" s="229">
        <v>-0.46879999999999999</v>
      </c>
      <c r="BY148" s="228">
        <v>265</v>
      </c>
      <c r="BZ148" s="228">
        <v>269</v>
      </c>
      <c r="CA148" s="228">
        <v>-4</v>
      </c>
      <c r="CB148" s="229">
        <v>-1.5100000000000001E-2</v>
      </c>
      <c r="CC148" s="228">
        <v>247</v>
      </c>
      <c r="CD148" s="228">
        <v>252</v>
      </c>
      <c r="CE148" s="228">
        <v>-5</v>
      </c>
      <c r="CF148" s="229">
        <v>-1.8800000000000001E-2</v>
      </c>
      <c r="CG148" s="228">
        <v>17</v>
      </c>
      <c r="CH148" s="228">
        <v>17</v>
      </c>
      <c r="CI148" s="228">
        <v>1</v>
      </c>
      <c r="CJ148" s="229">
        <v>3.8800000000000001E-2</v>
      </c>
      <c r="CK148" s="228">
        <v>1</v>
      </c>
      <c r="CL148" s="228">
        <v>1</v>
      </c>
      <c r="CM148" s="228">
        <v>0</v>
      </c>
      <c r="CN148" s="229">
        <v>0</v>
      </c>
      <c r="CO148" s="228">
        <v>190</v>
      </c>
      <c r="CP148" s="228">
        <v>193</v>
      </c>
      <c r="CQ148" s="228">
        <v>-3</v>
      </c>
      <c r="CR148" s="229">
        <v>-1.44E-2</v>
      </c>
      <c r="CS148" s="228">
        <v>159</v>
      </c>
      <c r="CT148" s="228">
        <v>172</v>
      </c>
      <c r="CU148" s="228">
        <v>-13</v>
      </c>
      <c r="CV148" s="229">
        <v>-7.4999999999999997E-2</v>
      </c>
      <c r="CW148" s="228">
        <v>614</v>
      </c>
      <c r="CX148" s="228">
        <v>634</v>
      </c>
      <c r="CY148" s="228">
        <v>-20</v>
      </c>
      <c r="CZ148" s="229">
        <v>-3.1099999999999999E-2</v>
      </c>
      <c r="DA148" s="228">
        <v>31.01</v>
      </c>
      <c r="DB148" s="228">
        <v>33.72</v>
      </c>
      <c r="DC148" s="228">
        <v>-2.71</v>
      </c>
      <c r="DD148" s="228">
        <v>-2.71</v>
      </c>
      <c r="DE148" s="228">
        <v>52.04</v>
      </c>
      <c r="DF148" s="228">
        <v>52.17</v>
      </c>
      <c r="DG148" s="228">
        <v>-21.03</v>
      </c>
      <c r="DH148" s="228">
        <v>-0.13</v>
      </c>
      <c r="DI148" s="228">
        <v>30.98</v>
      </c>
      <c r="DJ148" s="228">
        <v>33.86</v>
      </c>
      <c r="DK148" s="228">
        <v>-2.88</v>
      </c>
      <c r="DL148" s="228">
        <v>-2.88</v>
      </c>
      <c r="DM148" s="228">
        <v>31.04</v>
      </c>
      <c r="DN148" s="228">
        <v>33.549999999999997</v>
      </c>
      <c r="DO148" s="228">
        <v>-2.5099999999999998</v>
      </c>
      <c r="DP148" s="228">
        <v>-2.5099999999999998</v>
      </c>
      <c r="DQ148" s="228">
        <v>0.84</v>
      </c>
      <c r="DR148" s="228">
        <v>0.89</v>
      </c>
      <c r="DS148" s="228">
        <v>-0.05</v>
      </c>
      <c r="DT148" s="229">
        <v>-5.62E-2</v>
      </c>
      <c r="DU148" s="231">
        <v>7400</v>
      </c>
      <c r="DV148" s="231">
        <v>7000</v>
      </c>
      <c r="DW148" s="228">
        <v>0.83</v>
      </c>
      <c r="DX148" s="228">
        <v>0.81</v>
      </c>
      <c r="DY148" s="228">
        <v>0.02</v>
      </c>
      <c r="DZ148" s="229">
        <v>2.47E-2</v>
      </c>
      <c r="EA148" s="229">
        <v>6.83E-2</v>
      </c>
      <c r="EB148" s="230">
        <v>24075</v>
      </c>
      <c r="EC148" s="229">
        <v>-3.7000000000000002E-3</v>
      </c>
      <c r="ED148" s="229">
        <v>6.83E-2</v>
      </c>
      <c r="EE148" s="228">
        <v>-22.32</v>
      </c>
      <c r="EF148" s="229">
        <v>-3.0999999999999999E-3</v>
      </c>
      <c r="EG148" s="230">
        <v>28759</v>
      </c>
      <c r="EH148" s="230">
        <v>59621</v>
      </c>
      <c r="EI148" s="229">
        <v>-0.51759999999999995</v>
      </c>
      <c r="EJ148" s="229">
        <v>0.51759999999999995</v>
      </c>
      <c r="EK148" s="228">
        <v>87.25</v>
      </c>
      <c r="EL148" s="228">
        <v>66.569999999999993</v>
      </c>
      <c r="EM148" s="228">
        <v>32.6</v>
      </c>
      <c r="EN148" s="228">
        <v>14.62</v>
      </c>
      <c r="EO148" s="228">
        <v>186.42</v>
      </c>
      <c r="EP148" s="228">
        <v>291.17</v>
      </c>
      <c r="EQ148" s="228">
        <v>-104.75</v>
      </c>
      <c r="ER148" s="229">
        <v>-0.35980000000000001</v>
      </c>
      <c r="ES148" s="228">
        <v>186.43</v>
      </c>
      <c r="ET148" s="228">
        <v>147.25</v>
      </c>
      <c r="EU148" s="228">
        <v>265.24</v>
      </c>
      <c r="EV148" s="231">
        <v>2444664</v>
      </c>
      <c r="EW148" s="228">
        <v>598.91999999999996</v>
      </c>
      <c r="EX148" s="228">
        <v>617.58000000000004</v>
      </c>
      <c r="EY148" s="228">
        <v>-18.66</v>
      </c>
      <c r="EZ148" s="229">
        <v>-3.0200000000000001E-2</v>
      </c>
      <c r="FA148" s="229">
        <v>0.34649999999999997</v>
      </c>
      <c r="FB148" s="227" t="s">
        <v>568</v>
      </c>
      <c r="FC148">
        <f>BY217-CC217</f>
        <v>0</v>
      </c>
    </row>
    <row r="149" spans="1:159" ht="17.25" thickBot="1" x14ac:dyDescent="0.3">
      <c r="A149" s="226">
        <v>45946</v>
      </c>
      <c r="B149" s="227" t="s">
        <v>615</v>
      </c>
      <c r="C149" s="227" t="s">
        <v>613</v>
      </c>
      <c r="D149" s="228">
        <v>3125</v>
      </c>
      <c r="E149" s="228">
        <v>12</v>
      </c>
      <c r="F149" s="228">
        <v>263.02</v>
      </c>
      <c r="G149" s="228">
        <v>262.31</v>
      </c>
      <c r="H149" s="228">
        <v>0.71</v>
      </c>
      <c r="I149" s="229">
        <v>2.7000000000000001E-3</v>
      </c>
      <c r="J149" s="228">
        <v>263.31</v>
      </c>
      <c r="K149" s="228">
        <v>261.62</v>
      </c>
      <c r="L149" s="228">
        <v>1.69</v>
      </c>
      <c r="M149" s="229">
        <v>6.4999999999999997E-3</v>
      </c>
      <c r="N149" s="228">
        <v>263.02</v>
      </c>
      <c r="O149" s="228">
        <v>262.31</v>
      </c>
      <c r="P149" s="228">
        <v>0.71</v>
      </c>
      <c r="Q149" s="229">
        <v>2.7000000000000001E-3</v>
      </c>
      <c r="R149" s="228">
        <v>259.85000000000002</v>
      </c>
      <c r="S149" s="228">
        <v>259.72000000000003</v>
      </c>
      <c r="T149" s="228">
        <v>0.13</v>
      </c>
      <c r="U149" s="229">
        <v>5.0000000000000001E-4</v>
      </c>
      <c r="V149" s="228">
        <v>258.33999999999997</v>
      </c>
      <c r="W149" s="228">
        <v>258.33</v>
      </c>
      <c r="X149" s="228">
        <v>0.01</v>
      </c>
      <c r="Y149" s="229">
        <v>0</v>
      </c>
      <c r="Z149" s="228">
        <v>-0.28999999999999998</v>
      </c>
      <c r="AA149" s="228">
        <v>0.69</v>
      </c>
      <c r="AB149" s="228">
        <v>-0.98</v>
      </c>
      <c r="AC149" s="229">
        <v>-1.1000000000000001E-3</v>
      </c>
      <c r="AD149" s="228">
        <v>-0.28999999999999998</v>
      </c>
      <c r="AE149" s="228">
        <v>0.69</v>
      </c>
      <c r="AF149" s="228">
        <v>-0.98</v>
      </c>
      <c r="AG149" s="229">
        <v>-1.1000000000000001E-3</v>
      </c>
      <c r="AH149" s="228">
        <v>-3.46</v>
      </c>
      <c r="AI149" s="228">
        <v>-1.9</v>
      </c>
      <c r="AJ149" s="228">
        <v>-1.56</v>
      </c>
      <c r="AK149" s="229">
        <v>-1.3100000000000001E-2</v>
      </c>
      <c r="AL149" s="228">
        <v>-4.97</v>
      </c>
      <c r="AM149" s="228">
        <v>-3.29</v>
      </c>
      <c r="AN149" s="228">
        <v>-1.68</v>
      </c>
      <c r="AO149" s="229">
        <v>-1.89E-2</v>
      </c>
      <c r="AP149" s="228">
        <v>263.7</v>
      </c>
      <c r="AQ149" s="228">
        <v>260.67</v>
      </c>
      <c r="AR149" s="228">
        <v>0</v>
      </c>
      <c r="AS149" s="228">
        <v>373</v>
      </c>
      <c r="AT149" s="228">
        <v>209</v>
      </c>
      <c r="AU149" s="228">
        <v>165</v>
      </c>
      <c r="AV149" s="229">
        <v>0.78849999999999998</v>
      </c>
      <c r="AW149" s="228">
        <v>252</v>
      </c>
      <c r="AX149" s="228">
        <v>184</v>
      </c>
      <c r="AY149" s="228">
        <v>68</v>
      </c>
      <c r="AZ149" s="229">
        <v>0.36890000000000001</v>
      </c>
      <c r="BA149" s="228">
        <v>120</v>
      </c>
      <c r="BB149" s="228">
        <v>23</v>
      </c>
      <c r="BC149" s="228">
        <v>96</v>
      </c>
      <c r="BD149" s="229">
        <v>4.1303000000000001</v>
      </c>
      <c r="BE149" s="228">
        <v>1</v>
      </c>
      <c r="BF149" s="228">
        <v>1</v>
      </c>
      <c r="BG149" s="228">
        <v>0</v>
      </c>
      <c r="BH149" s="229">
        <v>0.15379999999999999</v>
      </c>
      <c r="BI149" s="228">
        <v>578</v>
      </c>
      <c r="BJ149" s="228">
        <v>713</v>
      </c>
      <c r="BK149" s="228">
        <v>-134</v>
      </c>
      <c r="BL149" s="229">
        <v>-0.18870000000000001</v>
      </c>
      <c r="BM149" s="228">
        <v>335</v>
      </c>
      <c r="BN149" s="228">
        <v>343</v>
      </c>
      <c r="BO149" s="228">
        <v>-8</v>
      </c>
      <c r="BP149" s="229">
        <v>-2.4400000000000002E-2</v>
      </c>
      <c r="BQ149" s="230">
        <v>1286</v>
      </c>
      <c r="BR149" s="230">
        <v>1264</v>
      </c>
      <c r="BS149" s="228">
        <v>22</v>
      </c>
      <c r="BT149" s="229">
        <v>1.72E-2</v>
      </c>
      <c r="BU149" s="230">
        <v>3842705</v>
      </c>
      <c r="BV149" s="230">
        <v>3418765</v>
      </c>
      <c r="BW149" s="230">
        <v>423940</v>
      </c>
      <c r="BX149" s="229">
        <v>0.124</v>
      </c>
      <c r="BY149" s="230">
        <v>1878</v>
      </c>
      <c r="BZ149" s="230">
        <v>1765</v>
      </c>
      <c r="CA149" s="228">
        <v>113</v>
      </c>
      <c r="CB149" s="229">
        <v>6.3899999999999998E-2</v>
      </c>
      <c r="CC149" s="230">
        <v>1690</v>
      </c>
      <c r="CD149" s="230">
        <v>1679</v>
      </c>
      <c r="CE149" s="228">
        <v>11</v>
      </c>
      <c r="CF149" s="229">
        <v>6.4000000000000003E-3</v>
      </c>
      <c r="CG149" s="228">
        <v>182</v>
      </c>
      <c r="CH149" s="228">
        <v>80</v>
      </c>
      <c r="CI149" s="228">
        <v>102</v>
      </c>
      <c r="CJ149" s="229">
        <v>1.2784</v>
      </c>
      <c r="CK149" s="228">
        <v>6</v>
      </c>
      <c r="CL149" s="228">
        <v>6</v>
      </c>
      <c r="CM149" s="228">
        <v>0</v>
      </c>
      <c r="CN149" s="229">
        <v>1.3299999999999999E-2</v>
      </c>
      <c r="CO149" s="228">
        <v>382</v>
      </c>
      <c r="CP149" s="228">
        <v>400</v>
      </c>
      <c r="CQ149" s="228">
        <v>-17</v>
      </c>
      <c r="CR149" s="229">
        <v>-4.36E-2</v>
      </c>
      <c r="CS149" s="228">
        <v>276</v>
      </c>
      <c r="CT149" s="228">
        <v>266</v>
      </c>
      <c r="CU149" s="228">
        <v>10</v>
      </c>
      <c r="CV149" s="229">
        <v>3.7999999999999999E-2</v>
      </c>
      <c r="CW149" s="230">
        <v>2537</v>
      </c>
      <c r="CX149" s="230">
        <v>2431</v>
      </c>
      <c r="CY149" s="228">
        <v>105</v>
      </c>
      <c r="CZ149" s="229">
        <v>4.3400000000000001E-2</v>
      </c>
      <c r="DA149" s="228">
        <v>25.83</v>
      </c>
      <c r="DB149" s="228">
        <v>26.63</v>
      </c>
      <c r="DC149" s="228">
        <v>-0.8</v>
      </c>
      <c r="DD149" s="228">
        <v>-0.8</v>
      </c>
      <c r="DE149" s="228">
        <v>37.47</v>
      </c>
      <c r="DF149" s="228">
        <v>37.549999999999997</v>
      </c>
      <c r="DG149" s="228">
        <v>-11.64</v>
      </c>
      <c r="DH149" s="228">
        <v>-0.08</v>
      </c>
      <c r="DI149" s="228">
        <v>25.87</v>
      </c>
      <c r="DJ149" s="228">
        <v>26.12</v>
      </c>
      <c r="DK149" s="228">
        <v>-0.25</v>
      </c>
      <c r="DL149" s="228">
        <v>-0.25</v>
      </c>
      <c r="DM149" s="228">
        <v>25.75</v>
      </c>
      <c r="DN149" s="228">
        <v>27.7</v>
      </c>
      <c r="DO149" s="228">
        <v>-1.95</v>
      </c>
      <c r="DP149" s="228">
        <v>-1.95</v>
      </c>
      <c r="DQ149" s="228">
        <v>0.72</v>
      </c>
      <c r="DR149" s="228">
        <v>0.67</v>
      </c>
      <c r="DS149" s="228">
        <v>0.05</v>
      </c>
      <c r="DT149" s="229">
        <v>7.46E-2</v>
      </c>
      <c r="DU149" s="228">
        <v>270</v>
      </c>
      <c r="DV149" s="228">
        <v>250</v>
      </c>
      <c r="DW149" s="228">
        <v>0.57999999999999996</v>
      </c>
      <c r="DX149" s="228">
        <v>0.48</v>
      </c>
      <c r="DY149" s="228">
        <v>0.1</v>
      </c>
      <c r="DZ149" s="229">
        <v>0.20830000000000001</v>
      </c>
      <c r="EA149" s="229">
        <v>0.10009999999999999</v>
      </c>
      <c r="EB149" s="230">
        <v>3265625</v>
      </c>
      <c r="EC149" s="229">
        <v>-1.21E-2</v>
      </c>
      <c r="ED149" s="229">
        <v>0.10009999999999999</v>
      </c>
      <c r="EE149" s="228">
        <v>-3.03</v>
      </c>
      <c r="EF149" s="229">
        <v>-1.15E-2</v>
      </c>
      <c r="EG149" s="230">
        <v>1842296</v>
      </c>
      <c r="EH149" s="230">
        <v>1324262</v>
      </c>
      <c r="EI149" s="229">
        <v>0.39119999999999999</v>
      </c>
      <c r="EJ149" s="229">
        <v>0.47939999999999999</v>
      </c>
      <c r="EK149" s="228">
        <v>595.49</v>
      </c>
      <c r="EL149" s="228">
        <v>330.36</v>
      </c>
      <c r="EM149" s="228">
        <v>372.81</v>
      </c>
      <c r="EN149" s="228">
        <v>26.59</v>
      </c>
      <c r="EO149" s="231">
        <v>1298.6600000000001</v>
      </c>
      <c r="EP149" s="231">
        <v>1269.08</v>
      </c>
      <c r="EQ149" s="228">
        <v>29.58</v>
      </c>
      <c r="ER149" s="229">
        <v>2.3300000000000001E-2</v>
      </c>
      <c r="ES149" s="228">
        <v>381.68</v>
      </c>
      <c r="ET149" s="228">
        <v>259.83999999999997</v>
      </c>
      <c r="EU149" s="231">
        <v>1875.58</v>
      </c>
      <c r="EV149" s="231">
        <v>205324177</v>
      </c>
      <c r="EW149" s="231">
        <v>2517.1</v>
      </c>
      <c r="EX149" s="231">
        <v>2407.56</v>
      </c>
      <c r="EY149" s="228">
        <v>109.54</v>
      </c>
      <c r="EZ149" s="229">
        <v>4.5499999999999999E-2</v>
      </c>
      <c r="FA149" s="229">
        <v>0.46970000000000001</v>
      </c>
      <c r="FB149" s="227" t="s">
        <v>555</v>
      </c>
      <c r="FC149">
        <f t="shared" ref="FC149:FC194" si="3">BY216-CC216</f>
        <v>121</v>
      </c>
    </row>
    <row r="150" spans="1:159" ht="17.25" thickBot="1" x14ac:dyDescent="0.3">
      <c r="A150" s="226">
        <v>45946</v>
      </c>
      <c r="B150" s="227" t="s">
        <v>206</v>
      </c>
      <c r="C150" s="227" t="s">
        <v>528</v>
      </c>
      <c r="D150" s="228">
        <v>350</v>
      </c>
      <c r="E150" s="228">
        <v>12</v>
      </c>
      <c r="F150" s="231">
        <v>1693.2</v>
      </c>
      <c r="G150" s="231">
        <v>1608.4</v>
      </c>
      <c r="H150" s="228">
        <v>84.8</v>
      </c>
      <c r="I150" s="229">
        <v>5.2699999999999997E-2</v>
      </c>
      <c r="J150" s="231">
        <v>1687.1</v>
      </c>
      <c r="K150" s="231">
        <v>1601.4</v>
      </c>
      <c r="L150" s="228">
        <v>85.7</v>
      </c>
      <c r="M150" s="229">
        <v>5.3499999999999999E-2</v>
      </c>
      <c r="N150" s="231">
        <v>1693.2</v>
      </c>
      <c r="O150" s="231">
        <v>1608.4</v>
      </c>
      <c r="P150" s="228">
        <v>84.8</v>
      </c>
      <c r="Q150" s="229">
        <v>5.2699999999999997E-2</v>
      </c>
      <c r="R150" s="231">
        <v>1700.1</v>
      </c>
      <c r="S150" s="231">
        <v>1617.2</v>
      </c>
      <c r="T150" s="228">
        <v>82.9</v>
      </c>
      <c r="U150" s="229">
        <v>5.1299999999999998E-2</v>
      </c>
      <c r="V150" s="231">
        <v>1705.3</v>
      </c>
      <c r="W150" s="231">
        <v>1619</v>
      </c>
      <c r="X150" s="228">
        <v>86.3</v>
      </c>
      <c r="Y150" s="229">
        <v>5.33E-2</v>
      </c>
      <c r="Z150" s="228">
        <v>6.1</v>
      </c>
      <c r="AA150" s="228">
        <v>7</v>
      </c>
      <c r="AB150" s="228">
        <v>-0.9</v>
      </c>
      <c r="AC150" s="229">
        <v>3.5999999999999999E-3</v>
      </c>
      <c r="AD150" s="228">
        <v>6.1</v>
      </c>
      <c r="AE150" s="228">
        <v>7</v>
      </c>
      <c r="AF150" s="228">
        <v>-0.9</v>
      </c>
      <c r="AG150" s="229">
        <v>3.5999999999999999E-3</v>
      </c>
      <c r="AH150" s="228">
        <v>13</v>
      </c>
      <c r="AI150" s="228">
        <v>15.8</v>
      </c>
      <c r="AJ150" s="228">
        <v>-2.8</v>
      </c>
      <c r="AK150" s="229">
        <v>7.7000000000000002E-3</v>
      </c>
      <c r="AL150" s="228">
        <v>18.2</v>
      </c>
      <c r="AM150" s="228">
        <v>17.600000000000001</v>
      </c>
      <c r="AN150" s="228">
        <v>0.6</v>
      </c>
      <c r="AO150" s="229">
        <v>1.0800000000000001E-2</v>
      </c>
      <c r="AP150" s="231">
        <v>1680.2</v>
      </c>
      <c r="AQ150" s="231">
        <v>1687.26</v>
      </c>
      <c r="AR150" s="228">
        <v>0</v>
      </c>
      <c r="AS150" s="228">
        <v>666</v>
      </c>
      <c r="AT150" s="228">
        <v>196</v>
      </c>
      <c r="AU150" s="228">
        <v>471</v>
      </c>
      <c r="AV150" s="229">
        <v>2.4037999999999999</v>
      </c>
      <c r="AW150" s="228">
        <v>609</v>
      </c>
      <c r="AX150" s="228">
        <v>184</v>
      </c>
      <c r="AY150" s="228">
        <v>425</v>
      </c>
      <c r="AZ150" s="229">
        <v>2.3136000000000001</v>
      </c>
      <c r="BA150" s="228">
        <v>55</v>
      </c>
      <c r="BB150" s="228">
        <v>12</v>
      </c>
      <c r="BC150" s="228">
        <v>43</v>
      </c>
      <c r="BD150" s="229">
        <v>3.7179000000000002</v>
      </c>
      <c r="BE150" s="228">
        <v>3</v>
      </c>
      <c r="BF150" s="228">
        <v>1</v>
      </c>
      <c r="BG150" s="228">
        <v>3</v>
      </c>
      <c r="BH150" s="229">
        <v>4.7</v>
      </c>
      <c r="BI150" s="230">
        <v>4602</v>
      </c>
      <c r="BJ150" s="228">
        <v>864</v>
      </c>
      <c r="BK150" s="230">
        <v>3738</v>
      </c>
      <c r="BL150" s="229">
        <v>4.3273000000000001</v>
      </c>
      <c r="BM150" s="230">
        <v>1747</v>
      </c>
      <c r="BN150" s="228">
        <v>223</v>
      </c>
      <c r="BO150" s="230">
        <v>1524</v>
      </c>
      <c r="BP150" s="229">
        <v>6.8380000000000001</v>
      </c>
      <c r="BQ150" s="230">
        <v>7015</v>
      </c>
      <c r="BR150" s="230">
        <v>1282</v>
      </c>
      <c r="BS150" s="230">
        <v>5733</v>
      </c>
      <c r="BT150" s="229">
        <v>4.4698000000000002</v>
      </c>
      <c r="BU150" s="230">
        <v>2710467</v>
      </c>
      <c r="BV150" s="230">
        <v>482488</v>
      </c>
      <c r="BW150" s="230">
        <v>2227979</v>
      </c>
      <c r="BX150" s="229">
        <v>4.6177000000000001</v>
      </c>
      <c r="BY150" s="228">
        <v>800</v>
      </c>
      <c r="BZ150" s="228">
        <v>859</v>
      </c>
      <c r="CA150" s="228">
        <v>-59</v>
      </c>
      <c r="CB150" s="229">
        <v>-6.8900000000000003E-2</v>
      </c>
      <c r="CC150" s="228">
        <v>772</v>
      </c>
      <c r="CD150" s="228">
        <v>837</v>
      </c>
      <c r="CE150" s="228">
        <v>-65</v>
      </c>
      <c r="CF150" s="229">
        <v>-7.7700000000000005E-2</v>
      </c>
      <c r="CG150" s="228">
        <v>27</v>
      </c>
      <c r="CH150" s="228">
        <v>22</v>
      </c>
      <c r="CI150" s="228">
        <v>6</v>
      </c>
      <c r="CJ150" s="229">
        <v>0.26169999999999999</v>
      </c>
      <c r="CK150" s="228">
        <v>1</v>
      </c>
      <c r="CL150" s="228">
        <v>1</v>
      </c>
      <c r="CM150" s="228">
        <v>0</v>
      </c>
      <c r="CN150" s="229">
        <v>0.1429</v>
      </c>
      <c r="CO150" s="228">
        <v>443</v>
      </c>
      <c r="CP150" s="228">
        <v>331</v>
      </c>
      <c r="CQ150" s="228">
        <v>113</v>
      </c>
      <c r="CR150" s="229">
        <v>0.34100000000000003</v>
      </c>
      <c r="CS150" s="228">
        <v>312</v>
      </c>
      <c r="CT150" s="228">
        <v>190</v>
      </c>
      <c r="CU150" s="228">
        <v>122</v>
      </c>
      <c r="CV150" s="229">
        <v>0.64159999999999995</v>
      </c>
      <c r="CW150" s="230">
        <v>1556</v>
      </c>
      <c r="CX150" s="230">
        <v>1380</v>
      </c>
      <c r="CY150" s="228">
        <v>176</v>
      </c>
      <c r="CZ150" s="229">
        <v>0.12720000000000001</v>
      </c>
      <c r="DA150" s="228">
        <v>26.25</v>
      </c>
      <c r="DB150" s="228">
        <v>37.229999999999997</v>
      </c>
      <c r="DC150" s="228">
        <v>-10.98</v>
      </c>
      <c r="DD150" s="228">
        <v>-10.98</v>
      </c>
      <c r="DE150" s="228">
        <v>38.869999999999997</v>
      </c>
      <c r="DF150" s="228">
        <v>38.340000000000003</v>
      </c>
      <c r="DG150" s="228">
        <v>-12.62</v>
      </c>
      <c r="DH150" s="228">
        <v>0.53</v>
      </c>
      <c r="DI150" s="228">
        <v>25.79</v>
      </c>
      <c r="DJ150" s="228">
        <v>37.26</v>
      </c>
      <c r="DK150" s="228">
        <v>-11.47</v>
      </c>
      <c r="DL150" s="228">
        <v>-11.47</v>
      </c>
      <c r="DM150" s="228">
        <v>27.46</v>
      </c>
      <c r="DN150" s="228">
        <v>37.15</v>
      </c>
      <c r="DO150" s="228">
        <v>-9.69</v>
      </c>
      <c r="DP150" s="228">
        <v>-9.69</v>
      </c>
      <c r="DQ150" s="228">
        <v>0.7</v>
      </c>
      <c r="DR150" s="228">
        <v>0.57999999999999996</v>
      </c>
      <c r="DS150" s="228">
        <v>0.12</v>
      </c>
      <c r="DT150" s="229">
        <v>0.2069</v>
      </c>
      <c r="DU150" s="231">
        <v>1700</v>
      </c>
      <c r="DV150" s="231">
        <v>1600</v>
      </c>
      <c r="DW150" s="228">
        <v>0.38</v>
      </c>
      <c r="DX150" s="228">
        <v>0.26</v>
      </c>
      <c r="DY150" s="228">
        <v>0.12</v>
      </c>
      <c r="DZ150" s="229">
        <v>0.46150000000000002</v>
      </c>
      <c r="EA150" s="229">
        <v>3.5700000000000003E-2</v>
      </c>
      <c r="EB150" s="230">
        <v>134400</v>
      </c>
      <c r="EC150" s="229">
        <v>4.1000000000000003E-3</v>
      </c>
      <c r="ED150" s="229">
        <v>3.5700000000000003E-2</v>
      </c>
      <c r="EE150" s="228">
        <v>7.06</v>
      </c>
      <c r="EF150" s="229">
        <v>4.1999999999999997E-3</v>
      </c>
      <c r="EG150" s="230">
        <v>374939</v>
      </c>
      <c r="EH150" s="230">
        <v>228690</v>
      </c>
      <c r="EI150" s="229">
        <v>0.63949999999999996</v>
      </c>
      <c r="EJ150" s="229">
        <v>0.13830000000000001</v>
      </c>
      <c r="EK150" s="231">
        <v>4719.1400000000003</v>
      </c>
      <c r="EL150" s="231">
        <v>1692.22</v>
      </c>
      <c r="EM150" s="228">
        <v>661.6</v>
      </c>
      <c r="EN150" s="228">
        <v>22.2</v>
      </c>
      <c r="EO150" s="231">
        <v>7072.96</v>
      </c>
      <c r="EP150" s="231">
        <v>1252.42</v>
      </c>
      <c r="EQ150" s="231">
        <v>5820.54</v>
      </c>
      <c r="ER150" s="229">
        <v>4.6474000000000002</v>
      </c>
      <c r="ES150" s="228">
        <v>448.99</v>
      </c>
      <c r="ET150" s="228">
        <v>296.85000000000002</v>
      </c>
      <c r="EU150" s="228">
        <v>800.22</v>
      </c>
      <c r="EV150" s="231">
        <v>17614093</v>
      </c>
      <c r="EW150" s="231">
        <v>1546.06</v>
      </c>
      <c r="EX150" s="231">
        <v>1319.22</v>
      </c>
      <c r="EY150" s="228">
        <v>226.84</v>
      </c>
      <c r="EZ150" s="229">
        <v>0.17199999999999999</v>
      </c>
      <c r="FA150" s="229">
        <v>0.52159999999999995</v>
      </c>
      <c r="FB150" s="227" t="s">
        <v>556</v>
      </c>
      <c r="FC150">
        <f t="shared" si="3"/>
        <v>0</v>
      </c>
    </row>
    <row r="151" spans="1:159" ht="17.25" thickBot="1" x14ac:dyDescent="0.3">
      <c r="A151" s="226">
        <v>45946</v>
      </c>
      <c r="B151" s="227" t="s">
        <v>221</v>
      </c>
      <c r="C151" s="227" t="s">
        <v>518</v>
      </c>
      <c r="D151" s="228">
        <v>75</v>
      </c>
      <c r="E151" s="228">
        <v>12</v>
      </c>
      <c r="F151" s="231">
        <v>8797.5</v>
      </c>
      <c r="G151" s="231">
        <v>8724.5</v>
      </c>
      <c r="H151" s="228">
        <v>73</v>
      </c>
      <c r="I151" s="229">
        <v>8.3999999999999995E-3</v>
      </c>
      <c r="J151" s="231">
        <v>8796.5</v>
      </c>
      <c r="K151" s="231">
        <v>8757</v>
      </c>
      <c r="L151" s="228">
        <v>39.5</v>
      </c>
      <c r="M151" s="229">
        <v>4.4999999999999997E-3</v>
      </c>
      <c r="N151" s="231">
        <v>8797.5</v>
      </c>
      <c r="O151" s="231">
        <v>8724.5</v>
      </c>
      <c r="P151" s="228">
        <v>73</v>
      </c>
      <c r="Q151" s="229">
        <v>8.3999999999999995E-3</v>
      </c>
      <c r="R151" s="231">
        <v>8815</v>
      </c>
      <c r="S151" s="231">
        <v>8727.5</v>
      </c>
      <c r="T151" s="228">
        <v>87.5</v>
      </c>
      <c r="U151" s="229">
        <v>0.01</v>
      </c>
      <c r="V151" s="231">
        <v>8838.5</v>
      </c>
      <c r="W151" s="231">
        <v>8760</v>
      </c>
      <c r="X151" s="228">
        <v>78.5</v>
      </c>
      <c r="Y151" s="229">
        <v>8.9999999999999993E-3</v>
      </c>
      <c r="Z151" s="228">
        <v>1</v>
      </c>
      <c r="AA151" s="228">
        <v>-32.5</v>
      </c>
      <c r="AB151" s="228">
        <v>33.5</v>
      </c>
      <c r="AC151" s="229">
        <v>1E-4</v>
      </c>
      <c r="AD151" s="228">
        <v>1</v>
      </c>
      <c r="AE151" s="228">
        <v>-32.5</v>
      </c>
      <c r="AF151" s="228">
        <v>33.5</v>
      </c>
      <c r="AG151" s="229">
        <v>1E-4</v>
      </c>
      <c r="AH151" s="228">
        <v>18.5</v>
      </c>
      <c r="AI151" s="228">
        <v>-29.5</v>
      </c>
      <c r="AJ151" s="228">
        <v>48</v>
      </c>
      <c r="AK151" s="229">
        <v>2.0999999999999999E-3</v>
      </c>
      <c r="AL151" s="228">
        <v>42</v>
      </c>
      <c r="AM151" s="228">
        <v>3</v>
      </c>
      <c r="AN151" s="228">
        <v>39</v>
      </c>
      <c r="AO151" s="229">
        <v>4.7999999999999996E-3</v>
      </c>
      <c r="AP151" s="231">
        <v>8765.5300000000007</v>
      </c>
      <c r="AQ151" s="231">
        <v>8767.9599999999991</v>
      </c>
      <c r="AR151" s="228">
        <v>0</v>
      </c>
      <c r="AS151" s="228">
        <v>249</v>
      </c>
      <c r="AT151" s="228">
        <v>412</v>
      </c>
      <c r="AU151" s="228">
        <v>-164</v>
      </c>
      <c r="AV151" s="229">
        <v>-0.39700000000000002</v>
      </c>
      <c r="AW151" s="228">
        <v>208</v>
      </c>
      <c r="AX151" s="228">
        <v>350</v>
      </c>
      <c r="AY151" s="228">
        <v>-142</v>
      </c>
      <c r="AZ151" s="229">
        <v>-0.40529999999999999</v>
      </c>
      <c r="BA151" s="228">
        <v>37</v>
      </c>
      <c r="BB151" s="228">
        <v>60</v>
      </c>
      <c r="BC151" s="228">
        <v>-23</v>
      </c>
      <c r="BD151" s="229">
        <v>-0.37869999999999998</v>
      </c>
      <c r="BE151" s="228">
        <v>4</v>
      </c>
      <c r="BF151" s="228">
        <v>3</v>
      </c>
      <c r="BG151" s="228">
        <v>1</v>
      </c>
      <c r="BH151" s="229">
        <v>0.16</v>
      </c>
      <c r="BI151" s="228">
        <v>826</v>
      </c>
      <c r="BJ151" s="230">
        <v>1205</v>
      </c>
      <c r="BK151" s="228">
        <v>-379</v>
      </c>
      <c r="BL151" s="229">
        <v>-0.3145</v>
      </c>
      <c r="BM151" s="228">
        <v>365</v>
      </c>
      <c r="BN151" s="228">
        <v>787</v>
      </c>
      <c r="BO151" s="228">
        <v>-423</v>
      </c>
      <c r="BP151" s="229">
        <v>-0.53680000000000005</v>
      </c>
      <c r="BQ151" s="230">
        <v>1440</v>
      </c>
      <c r="BR151" s="230">
        <v>2405</v>
      </c>
      <c r="BS151" s="228">
        <v>-966</v>
      </c>
      <c r="BT151" s="229">
        <v>-0.40139999999999998</v>
      </c>
      <c r="BU151" s="230">
        <v>107218</v>
      </c>
      <c r="BV151" s="230">
        <v>156941</v>
      </c>
      <c r="BW151" s="230">
        <v>-49723</v>
      </c>
      <c r="BX151" s="229">
        <v>-0.31680000000000003</v>
      </c>
      <c r="BY151" s="230">
        <v>1073</v>
      </c>
      <c r="BZ151" s="230">
        <v>1033</v>
      </c>
      <c r="CA151" s="228">
        <v>39</v>
      </c>
      <c r="CB151" s="229">
        <v>3.8100000000000002E-2</v>
      </c>
      <c r="CC151" s="230">
        <v>1001</v>
      </c>
      <c r="CD151" s="228">
        <v>973</v>
      </c>
      <c r="CE151" s="228">
        <v>28</v>
      </c>
      <c r="CF151" s="229">
        <v>2.86E-2</v>
      </c>
      <c r="CG151" s="228">
        <v>63</v>
      </c>
      <c r="CH151" s="228">
        <v>54</v>
      </c>
      <c r="CI151" s="228">
        <v>9</v>
      </c>
      <c r="CJ151" s="229">
        <v>0.1709</v>
      </c>
      <c r="CK151" s="228">
        <v>9</v>
      </c>
      <c r="CL151" s="228">
        <v>6</v>
      </c>
      <c r="CM151" s="228">
        <v>2</v>
      </c>
      <c r="CN151" s="229">
        <v>0.35709999999999997</v>
      </c>
      <c r="CO151" s="228">
        <v>694</v>
      </c>
      <c r="CP151" s="228">
        <v>663</v>
      </c>
      <c r="CQ151" s="228">
        <v>31</v>
      </c>
      <c r="CR151" s="229">
        <v>4.6399999999999997E-2</v>
      </c>
      <c r="CS151" s="228">
        <v>373</v>
      </c>
      <c r="CT151" s="228">
        <v>355</v>
      </c>
      <c r="CU151" s="228">
        <v>18</v>
      </c>
      <c r="CV151" s="229">
        <v>5.1900000000000002E-2</v>
      </c>
      <c r="CW151" s="230">
        <v>2140</v>
      </c>
      <c r="CX151" s="230">
        <v>2051</v>
      </c>
      <c r="CY151" s="228">
        <v>88</v>
      </c>
      <c r="CZ151" s="229">
        <v>4.3099999999999999E-2</v>
      </c>
      <c r="DA151" s="228">
        <v>41.72</v>
      </c>
      <c r="DB151" s="228">
        <v>42.76</v>
      </c>
      <c r="DC151" s="228">
        <v>-1.04</v>
      </c>
      <c r="DD151" s="228">
        <v>-1.04</v>
      </c>
      <c r="DE151" s="228">
        <v>41.83</v>
      </c>
      <c r="DF151" s="228">
        <v>41.93</v>
      </c>
      <c r="DG151" s="228">
        <v>-0.11</v>
      </c>
      <c r="DH151" s="228">
        <v>-0.1</v>
      </c>
      <c r="DI151" s="228">
        <v>42.1</v>
      </c>
      <c r="DJ151" s="228">
        <v>43.36</v>
      </c>
      <c r="DK151" s="228">
        <v>-1.26</v>
      </c>
      <c r="DL151" s="228">
        <v>-1.26</v>
      </c>
      <c r="DM151" s="228">
        <v>40.880000000000003</v>
      </c>
      <c r="DN151" s="228">
        <v>41.84</v>
      </c>
      <c r="DO151" s="228">
        <v>-0.96</v>
      </c>
      <c r="DP151" s="228">
        <v>-0.96</v>
      </c>
      <c r="DQ151" s="228">
        <v>0.54</v>
      </c>
      <c r="DR151" s="228">
        <v>0.54</v>
      </c>
      <c r="DS151" s="228">
        <v>0</v>
      </c>
      <c r="DT151" s="229">
        <v>0</v>
      </c>
      <c r="DU151" s="231">
        <v>9500</v>
      </c>
      <c r="DV151" s="231">
        <v>8500</v>
      </c>
      <c r="DW151" s="228">
        <v>0.44</v>
      </c>
      <c r="DX151" s="228">
        <v>0.65</v>
      </c>
      <c r="DY151" s="228">
        <v>-0.21</v>
      </c>
      <c r="DZ151" s="229">
        <v>-0.3231</v>
      </c>
      <c r="EA151" s="229">
        <v>6.7199999999999996E-2</v>
      </c>
      <c r="EB151" s="230">
        <v>68775</v>
      </c>
      <c r="EC151" s="229">
        <v>2E-3</v>
      </c>
      <c r="ED151" s="229">
        <v>6.7199999999999996E-2</v>
      </c>
      <c r="EE151" s="228">
        <v>2.4300000000000002</v>
      </c>
      <c r="EF151" s="229">
        <v>2.9999999999999997E-4</v>
      </c>
      <c r="EG151" s="230">
        <v>37392</v>
      </c>
      <c r="EH151" s="230">
        <v>50630</v>
      </c>
      <c r="EI151" s="229">
        <v>-0.26150000000000001</v>
      </c>
      <c r="EJ151" s="229">
        <v>0.34870000000000001</v>
      </c>
      <c r="EK151" s="228">
        <v>876.76</v>
      </c>
      <c r="EL151" s="228">
        <v>360.8</v>
      </c>
      <c r="EM151" s="228">
        <v>247.8</v>
      </c>
      <c r="EN151" s="228">
        <v>43.75</v>
      </c>
      <c r="EO151" s="231">
        <v>1485.36</v>
      </c>
      <c r="EP151" s="231">
        <v>2494.9299999999998</v>
      </c>
      <c r="EQ151" s="231">
        <v>-1009.57</v>
      </c>
      <c r="ER151" s="229">
        <v>-0.40460000000000002</v>
      </c>
      <c r="ES151" s="228">
        <v>746.15</v>
      </c>
      <c r="ET151" s="228">
        <v>363.7</v>
      </c>
      <c r="EU151" s="231">
        <v>1072.96</v>
      </c>
      <c r="EV151" s="231">
        <v>3401732</v>
      </c>
      <c r="EW151" s="231">
        <v>2182.8000000000002</v>
      </c>
      <c r="EX151" s="231">
        <v>2085.86</v>
      </c>
      <c r="EY151" s="228">
        <v>96.94</v>
      </c>
      <c r="EZ151" s="229">
        <v>4.65E-2</v>
      </c>
      <c r="FA151" s="229">
        <v>0.71499999999999997</v>
      </c>
      <c r="FB151" s="227" t="s">
        <v>555</v>
      </c>
      <c r="FC151">
        <f t="shared" si="3"/>
        <v>0</v>
      </c>
    </row>
    <row r="152" spans="1:159" ht="17.25" thickBot="1" x14ac:dyDescent="0.3">
      <c r="A152" s="226">
        <v>45946</v>
      </c>
      <c r="B152" s="227" t="s">
        <v>193</v>
      </c>
      <c r="C152" s="227" t="s">
        <v>587</v>
      </c>
      <c r="D152" s="228">
        <v>1400</v>
      </c>
      <c r="E152" s="228">
        <v>12</v>
      </c>
      <c r="F152" s="228">
        <v>416.3</v>
      </c>
      <c r="G152" s="228">
        <v>421.15</v>
      </c>
      <c r="H152" s="228">
        <v>-4.8499999999999996</v>
      </c>
      <c r="I152" s="229">
        <v>-1.15E-2</v>
      </c>
      <c r="J152" s="228">
        <v>417.25</v>
      </c>
      <c r="K152" s="228">
        <v>423.05</v>
      </c>
      <c r="L152" s="228">
        <v>-5.8</v>
      </c>
      <c r="M152" s="229">
        <v>-1.37E-2</v>
      </c>
      <c r="N152" s="228">
        <v>416.3</v>
      </c>
      <c r="O152" s="228">
        <v>421.15</v>
      </c>
      <c r="P152" s="228">
        <v>-4.8499999999999996</v>
      </c>
      <c r="Q152" s="229">
        <v>-1.15E-2</v>
      </c>
      <c r="R152" s="228">
        <v>416.25</v>
      </c>
      <c r="S152" s="228">
        <v>420.4</v>
      </c>
      <c r="T152" s="228">
        <v>-4.1500000000000004</v>
      </c>
      <c r="U152" s="229">
        <v>-9.9000000000000008E-3</v>
      </c>
      <c r="V152" s="228">
        <v>417.75</v>
      </c>
      <c r="W152" s="228">
        <v>422.8</v>
      </c>
      <c r="X152" s="228">
        <v>-5.05</v>
      </c>
      <c r="Y152" s="229">
        <v>-1.1900000000000001E-2</v>
      </c>
      <c r="Z152" s="228">
        <v>-0.95</v>
      </c>
      <c r="AA152" s="228">
        <v>-1.9</v>
      </c>
      <c r="AB152" s="228">
        <v>0.95</v>
      </c>
      <c r="AC152" s="229">
        <v>-2.3E-3</v>
      </c>
      <c r="AD152" s="228">
        <v>-0.95</v>
      </c>
      <c r="AE152" s="228">
        <v>-1.9</v>
      </c>
      <c r="AF152" s="228">
        <v>0.95</v>
      </c>
      <c r="AG152" s="229">
        <v>-2.3E-3</v>
      </c>
      <c r="AH152" s="228">
        <v>-1</v>
      </c>
      <c r="AI152" s="228">
        <v>-2.65</v>
      </c>
      <c r="AJ152" s="228">
        <v>1.65</v>
      </c>
      <c r="AK152" s="229">
        <v>-2.3999999999999998E-3</v>
      </c>
      <c r="AL152" s="228">
        <v>0.5</v>
      </c>
      <c r="AM152" s="228">
        <v>-0.25</v>
      </c>
      <c r="AN152" s="228">
        <v>0.75</v>
      </c>
      <c r="AO152" s="229">
        <v>1.1999999999999999E-3</v>
      </c>
      <c r="AP152" s="228">
        <v>417.15</v>
      </c>
      <c r="AQ152" s="228">
        <v>416.79</v>
      </c>
      <c r="AR152" s="228">
        <v>0</v>
      </c>
      <c r="AS152" s="228">
        <v>63</v>
      </c>
      <c r="AT152" s="228">
        <v>82</v>
      </c>
      <c r="AU152" s="228">
        <v>-19</v>
      </c>
      <c r="AV152" s="229">
        <v>-0.23069999999999999</v>
      </c>
      <c r="AW152" s="228">
        <v>50</v>
      </c>
      <c r="AX152" s="228">
        <v>70</v>
      </c>
      <c r="AY152" s="228">
        <v>-20</v>
      </c>
      <c r="AZ152" s="229">
        <v>-0.28610000000000002</v>
      </c>
      <c r="BA152" s="228">
        <v>12</v>
      </c>
      <c r="BB152" s="228">
        <v>11</v>
      </c>
      <c r="BC152" s="228">
        <v>2</v>
      </c>
      <c r="BD152" s="229">
        <v>0.16569999999999999</v>
      </c>
      <c r="BE152" s="228">
        <v>1</v>
      </c>
      <c r="BF152" s="228">
        <v>2</v>
      </c>
      <c r="BG152" s="228">
        <v>-1</v>
      </c>
      <c r="BH152" s="229">
        <v>-0.4138</v>
      </c>
      <c r="BI152" s="228">
        <v>133</v>
      </c>
      <c r="BJ152" s="228">
        <v>180</v>
      </c>
      <c r="BK152" s="228">
        <v>-47</v>
      </c>
      <c r="BL152" s="229">
        <v>-0.25969999999999999</v>
      </c>
      <c r="BM152" s="228">
        <v>69</v>
      </c>
      <c r="BN152" s="228">
        <v>84</v>
      </c>
      <c r="BO152" s="228">
        <v>-15</v>
      </c>
      <c r="BP152" s="229">
        <v>-0.17899999999999999</v>
      </c>
      <c r="BQ152" s="228">
        <v>265</v>
      </c>
      <c r="BR152" s="228">
        <v>346</v>
      </c>
      <c r="BS152" s="228">
        <v>-81</v>
      </c>
      <c r="BT152" s="229">
        <v>-0.23319999999999999</v>
      </c>
      <c r="BU152" s="230">
        <v>1730172</v>
      </c>
      <c r="BV152" s="230">
        <v>2378366</v>
      </c>
      <c r="BW152" s="230">
        <v>-648194</v>
      </c>
      <c r="BX152" s="229">
        <v>-0.27250000000000002</v>
      </c>
      <c r="BY152" s="228">
        <v>450</v>
      </c>
      <c r="BZ152" s="228">
        <v>443</v>
      </c>
      <c r="CA152" s="228">
        <v>7</v>
      </c>
      <c r="CB152" s="229">
        <v>1.6199999999999999E-2</v>
      </c>
      <c r="CC152" s="228">
        <v>422</v>
      </c>
      <c r="CD152" s="228">
        <v>419</v>
      </c>
      <c r="CE152" s="228">
        <v>3</v>
      </c>
      <c r="CF152" s="229">
        <v>7.7999999999999996E-3</v>
      </c>
      <c r="CG152" s="228">
        <v>24</v>
      </c>
      <c r="CH152" s="228">
        <v>20</v>
      </c>
      <c r="CI152" s="228">
        <v>3</v>
      </c>
      <c r="CJ152" s="229">
        <v>0.1739</v>
      </c>
      <c r="CK152" s="228">
        <v>4</v>
      </c>
      <c r="CL152" s="228">
        <v>3</v>
      </c>
      <c r="CM152" s="228">
        <v>0</v>
      </c>
      <c r="CN152" s="229">
        <v>0.1167</v>
      </c>
      <c r="CO152" s="228">
        <v>263</v>
      </c>
      <c r="CP152" s="228">
        <v>256</v>
      </c>
      <c r="CQ152" s="228">
        <v>6</v>
      </c>
      <c r="CR152" s="229">
        <v>2.41E-2</v>
      </c>
      <c r="CS152" s="228">
        <v>141</v>
      </c>
      <c r="CT152" s="228">
        <v>139</v>
      </c>
      <c r="CU152" s="228">
        <v>2</v>
      </c>
      <c r="CV152" s="229">
        <v>1.2999999999999999E-2</v>
      </c>
      <c r="CW152" s="228">
        <v>854</v>
      </c>
      <c r="CX152" s="228">
        <v>838</v>
      </c>
      <c r="CY152" s="228">
        <v>15</v>
      </c>
      <c r="CZ152" s="229">
        <v>1.8100000000000002E-2</v>
      </c>
      <c r="DA152" s="228">
        <v>27.42</v>
      </c>
      <c r="DB152" s="228">
        <v>28.9</v>
      </c>
      <c r="DC152" s="228">
        <v>-1.48</v>
      </c>
      <c r="DD152" s="228">
        <v>-1.48</v>
      </c>
      <c r="DE152" s="228">
        <v>44.48</v>
      </c>
      <c r="DF152" s="228">
        <v>44.56</v>
      </c>
      <c r="DG152" s="228">
        <v>-17.059999999999999</v>
      </c>
      <c r="DH152" s="228">
        <v>-0.08</v>
      </c>
      <c r="DI152" s="228">
        <v>27.54</v>
      </c>
      <c r="DJ152" s="228">
        <v>29.1</v>
      </c>
      <c r="DK152" s="228">
        <v>-1.56</v>
      </c>
      <c r="DL152" s="228">
        <v>-1.56</v>
      </c>
      <c r="DM152" s="228">
        <v>27.19</v>
      </c>
      <c r="DN152" s="228">
        <v>28.46</v>
      </c>
      <c r="DO152" s="228">
        <v>-1.27</v>
      </c>
      <c r="DP152" s="228">
        <v>-1.27</v>
      </c>
      <c r="DQ152" s="228">
        <v>0.54</v>
      </c>
      <c r="DR152" s="228">
        <v>0.54</v>
      </c>
      <c r="DS152" s="228">
        <v>0</v>
      </c>
      <c r="DT152" s="229">
        <v>0</v>
      </c>
      <c r="DU152" s="228">
        <v>420</v>
      </c>
      <c r="DV152" s="228">
        <v>420</v>
      </c>
      <c r="DW152" s="228">
        <v>0.52</v>
      </c>
      <c r="DX152" s="228">
        <v>0.47</v>
      </c>
      <c r="DY152" s="228">
        <v>0.05</v>
      </c>
      <c r="DZ152" s="229">
        <v>0.10639999999999999</v>
      </c>
      <c r="EA152" s="229">
        <v>6.1199999999999997E-2</v>
      </c>
      <c r="EB152" s="230">
        <v>567000</v>
      </c>
      <c r="EC152" s="229">
        <v>-1E-4</v>
      </c>
      <c r="ED152" s="229">
        <v>6.1199999999999997E-2</v>
      </c>
      <c r="EE152" s="228">
        <v>-0.36</v>
      </c>
      <c r="EF152" s="229">
        <v>-8.9999999999999998E-4</v>
      </c>
      <c r="EG152" s="230">
        <v>951675</v>
      </c>
      <c r="EH152" s="230">
        <v>1439334</v>
      </c>
      <c r="EI152" s="229">
        <v>-0.33879999999999999</v>
      </c>
      <c r="EJ152" s="229">
        <v>0.55000000000000004</v>
      </c>
      <c r="EK152" s="228">
        <v>138.6</v>
      </c>
      <c r="EL152" s="228">
        <v>68.27</v>
      </c>
      <c r="EM152" s="228">
        <v>63.3</v>
      </c>
      <c r="EN152" s="228">
        <v>13.92</v>
      </c>
      <c r="EO152" s="228">
        <v>270.17</v>
      </c>
      <c r="EP152" s="228">
        <v>354.72</v>
      </c>
      <c r="EQ152" s="228">
        <v>-84.55</v>
      </c>
      <c r="ER152" s="229">
        <v>-0.2384</v>
      </c>
      <c r="ES152" s="228">
        <v>275.05</v>
      </c>
      <c r="ET152" s="228">
        <v>136.88</v>
      </c>
      <c r="EU152" s="228">
        <v>449.71</v>
      </c>
      <c r="EV152" s="231">
        <v>94123587</v>
      </c>
      <c r="EW152" s="228">
        <v>861.65</v>
      </c>
      <c r="EX152" s="228">
        <v>851.42</v>
      </c>
      <c r="EY152" s="228">
        <v>10.23</v>
      </c>
      <c r="EZ152" s="229">
        <v>1.2E-2</v>
      </c>
      <c r="FA152" s="229">
        <v>0.21779999999999999</v>
      </c>
      <c r="FB152" s="227" t="s">
        <v>567</v>
      </c>
      <c r="FC152">
        <f t="shared" si="3"/>
        <v>0</v>
      </c>
    </row>
    <row r="153" spans="1:159" ht="17.25" thickBot="1" x14ac:dyDescent="0.3">
      <c r="A153" s="226">
        <v>45946</v>
      </c>
      <c r="B153" s="227" t="s">
        <v>193</v>
      </c>
      <c r="C153" s="227" t="s">
        <v>269</v>
      </c>
      <c r="D153" s="228">
        <v>2250</v>
      </c>
      <c r="E153" s="228">
        <v>12</v>
      </c>
      <c r="F153" s="228">
        <v>248.59</v>
      </c>
      <c r="G153" s="228">
        <v>248.07</v>
      </c>
      <c r="H153" s="228">
        <v>0.52</v>
      </c>
      <c r="I153" s="229">
        <v>2.0999999999999999E-3</v>
      </c>
      <c r="J153" s="228">
        <v>248.35</v>
      </c>
      <c r="K153" s="228">
        <v>247.72</v>
      </c>
      <c r="L153" s="228">
        <v>0.63</v>
      </c>
      <c r="M153" s="229">
        <v>2.5000000000000001E-3</v>
      </c>
      <c r="N153" s="228">
        <v>248.59</v>
      </c>
      <c r="O153" s="228">
        <v>248.07</v>
      </c>
      <c r="P153" s="228">
        <v>0.52</v>
      </c>
      <c r="Q153" s="229">
        <v>2.0999999999999999E-3</v>
      </c>
      <c r="R153" s="228">
        <v>249.79</v>
      </c>
      <c r="S153" s="228">
        <v>249.28</v>
      </c>
      <c r="T153" s="228">
        <v>0.51</v>
      </c>
      <c r="U153" s="229">
        <v>2E-3</v>
      </c>
      <c r="V153" s="228">
        <v>251.19</v>
      </c>
      <c r="W153" s="228">
        <v>250.68</v>
      </c>
      <c r="X153" s="228">
        <v>0.51</v>
      </c>
      <c r="Y153" s="229">
        <v>2E-3</v>
      </c>
      <c r="Z153" s="228">
        <v>0.24</v>
      </c>
      <c r="AA153" s="228">
        <v>0.35</v>
      </c>
      <c r="AB153" s="228">
        <v>-0.11</v>
      </c>
      <c r="AC153" s="229">
        <v>1E-3</v>
      </c>
      <c r="AD153" s="228">
        <v>0.24</v>
      </c>
      <c r="AE153" s="228">
        <v>0.35</v>
      </c>
      <c r="AF153" s="228">
        <v>-0.11</v>
      </c>
      <c r="AG153" s="229">
        <v>1E-3</v>
      </c>
      <c r="AH153" s="228">
        <v>1.44</v>
      </c>
      <c r="AI153" s="228">
        <v>1.56</v>
      </c>
      <c r="AJ153" s="228">
        <v>-0.12</v>
      </c>
      <c r="AK153" s="229">
        <v>5.7999999999999996E-3</v>
      </c>
      <c r="AL153" s="228">
        <v>2.84</v>
      </c>
      <c r="AM153" s="228">
        <v>2.96</v>
      </c>
      <c r="AN153" s="228">
        <v>-0.12</v>
      </c>
      <c r="AO153" s="229">
        <v>1.14E-2</v>
      </c>
      <c r="AP153" s="228">
        <v>247.86</v>
      </c>
      <c r="AQ153" s="228">
        <v>249.02</v>
      </c>
      <c r="AR153" s="228">
        <v>0</v>
      </c>
      <c r="AS153" s="228">
        <v>229</v>
      </c>
      <c r="AT153" s="228">
        <v>207</v>
      </c>
      <c r="AU153" s="228">
        <v>23</v>
      </c>
      <c r="AV153" s="229">
        <v>0.1091</v>
      </c>
      <c r="AW153" s="228">
        <v>197</v>
      </c>
      <c r="AX153" s="228">
        <v>171</v>
      </c>
      <c r="AY153" s="228">
        <v>26</v>
      </c>
      <c r="AZ153" s="229">
        <v>0.15279999999999999</v>
      </c>
      <c r="BA153" s="228">
        <v>30</v>
      </c>
      <c r="BB153" s="228">
        <v>34</v>
      </c>
      <c r="BC153" s="228">
        <v>-4</v>
      </c>
      <c r="BD153" s="229">
        <v>-0.1234</v>
      </c>
      <c r="BE153" s="228">
        <v>2</v>
      </c>
      <c r="BF153" s="228">
        <v>2</v>
      </c>
      <c r="BG153" s="228">
        <v>1</v>
      </c>
      <c r="BH153" s="229">
        <v>0.39290000000000003</v>
      </c>
      <c r="BI153" s="228">
        <v>703</v>
      </c>
      <c r="BJ153" s="228">
        <v>837</v>
      </c>
      <c r="BK153" s="228">
        <v>-133</v>
      </c>
      <c r="BL153" s="229">
        <v>-0.15939999999999999</v>
      </c>
      <c r="BM153" s="228">
        <v>432</v>
      </c>
      <c r="BN153" s="228">
        <v>577</v>
      </c>
      <c r="BO153" s="228">
        <v>-145</v>
      </c>
      <c r="BP153" s="229">
        <v>-0.25109999999999999</v>
      </c>
      <c r="BQ153" s="230">
        <v>1365</v>
      </c>
      <c r="BR153" s="230">
        <v>1620</v>
      </c>
      <c r="BS153" s="228">
        <v>-256</v>
      </c>
      <c r="BT153" s="229">
        <v>-0.1578</v>
      </c>
      <c r="BU153" s="230">
        <v>6373204</v>
      </c>
      <c r="BV153" s="230">
        <v>8985954</v>
      </c>
      <c r="BW153" s="230">
        <v>-2612750</v>
      </c>
      <c r="BX153" s="229">
        <v>-0.2908</v>
      </c>
      <c r="BY153" s="230">
        <v>2423</v>
      </c>
      <c r="BZ153" s="230">
        <v>2410</v>
      </c>
      <c r="CA153" s="228">
        <v>13</v>
      </c>
      <c r="CB153" s="229">
        <v>5.3E-3</v>
      </c>
      <c r="CC153" s="230">
        <v>2328</v>
      </c>
      <c r="CD153" s="230">
        <v>2327</v>
      </c>
      <c r="CE153" s="228">
        <v>0</v>
      </c>
      <c r="CF153" s="229">
        <v>2.0000000000000001E-4</v>
      </c>
      <c r="CG153" s="228">
        <v>87</v>
      </c>
      <c r="CH153" s="228">
        <v>76</v>
      </c>
      <c r="CI153" s="228">
        <v>12</v>
      </c>
      <c r="CJ153" s="229">
        <v>0.15770000000000001</v>
      </c>
      <c r="CK153" s="228">
        <v>8</v>
      </c>
      <c r="CL153" s="228">
        <v>7</v>
      </c>
      <c r="CM153" s="228">
        <v>1</v>
      </c>
      <c r="CN153" s="229">
        <v>7.0900000000000005E-2</v>
      </c>
      <c r="CO153" s="230">
        <v>1385</v>
      </c>
      <c r="CP153" s="230">
        <v>1381</v>
      </c>
      <c r="CQ153" s="228">
        <v>4</v>
      </c>
      <c r="CR153" s="229">
        <v>2.8E-3</v>
      </c>
      <c r="CS153" s="228">
        <v>572</v>
      </c>
      <c r="CT153" s="228">
        <v>553</v>
      </c>
      <c r="CU153" s="228">
        <v>19</v>
      </c>
      <c r="CV153" s="229">
        <v>3.4099999999999998E-2</v>
      </c>
      <c r="CW153" s="230">
        <v>4379</v>
      </c>
      <c r="CX153" s="230">
        <v>4344</v>
      </c>
      <c r="CY153" s="228">
        <v>36</v>
      </c>
      <c r="CZ153" s="229">
        <v>8.2000000000000007E-3</v>
      </c>
      <c r="DA153" s="228">
        <v>17.649999999999999</v>
      </c>
      <c r="DB153" s="228">
        <v>18.329999999999998</v>
      </c>
      <c r="DC153" s="228">
        <v>-0.68</v>
      </c>
      <c r="DD153" s="228">
        <v>-0.68</v>
      </c>
      <c r="DE153" s="228">
        <v>32.24</v>
      </c>
      <c r="DF153" s="228">
        <v>32.32</v>
      </c>
      <c r="DG153" s="228">
        <v>-14.59</v>
      </c>
      <c r="DH153" s="228">
        <v>-0.08</v>
      </c>
      <c r="DI153" s="228">
        <v>16.87</v>
      </c>
      <c r="DJ153" s="228">
        <v>17.32</v>
      </c>
      <c r="DK153" s="228">
        <v>-0.45</v>
      </c>
      <c r="DL153" s="228">
        <v>-0.45</v>
      </c>
      <c r="DM153" s="228">
        <v>18.920000000000002</v>
      </c>
      <c r="DN153" s="228">
        <v>19.8</v>
      </c>
      <c r="DO153" s="228">
        <v>-0.88</v>
      </c>
      <c r="DP153" s="228">
        <v>-0.88</v>
      </c>
      <c r="DQ153" s="228">
        <v>0.41</v>
      </c>
      <c r="DR153" s="228">
        <v>0.4</v>
      </c>
      <c r="DS153" s="228">
        <v>0.01</v>
      </c>
      <c r="DT153" s="229">
        <v>2.5000000000000001E-2</v>
      </c>
      <c r="DU153" s="228">
        <v>250</v>
      </c>
      <c r="DV153" s="228">
        <v>240</v>
      </c>
      <c r="DW153" s="228">
        <v>0.61</v>
      </c>
      <c r="DX153" s="228">
        <v>0.69</v>
      </c>
      <c r="DY153" s="228">
        <v>-0.08</v>
      </c>
      <c r="DZ153" s="229">
        <v>-0.1159</v>
      </c>
      <c r="EA153" s="229">
        <v>3.9199999999999999E-2</v>
      </c>
      <c r="EB153" s="230">
        <v>3325500</v>
      </c>
      <c r="EC153" s="229">
        <v>4.7999999999999996E-3</v>
      </c>
      <c r="ED153" s="229">
        <v>3.9199999999999999E-2</v>
      </c>
      <c r="EE153" s="228">
        <v>1.1599999999999999</v>
      </c>
      <c r="EF153" s="229">
        <v>4.7000000000000002E-3</v>
      </c>
      <c r="EG153" s="230">
        <v>3625360</v>
      </c>
      <c r="EH153" s="230">
        <v>5391993</v>
      </c>
      <c r="EI153" s="229">
        <v>-0.3276</v>
      </c>
      <c r="EJ153" s="229">
        <v>0.56879999999999997</v>
      </c>
      <c r="EK153" s="228">
        <v>717.98</v>
      </c>
      <c r="EL153" s="228">
        <v>427.26</v>
      </c>
      <c r="EM153" s="228">
        <v>228.59</v>
      </c>
      <c r="EN153" s="228">
        <v>51.35</v>
      </c>
      <c r="EO153" s="231">
        <v>1373.82</v>
      </c>
      <c r="EP153" s="231">
        <v>1628.32</v>
      </c>
      <c r="EQ153" s="228">
        <v>-254.5</v>
      </c>
      <c r="ER153" s="229">
        <v>-0.15629999999999999</v>
      </c>
      <c r="ES153" s="231">
        <v>1401.22</v>
      </c>
      <c r="ET153" s="228">
        <v>557.29</v>
      </c>
      <c r="EU153" s="231">
        <v>2423.17</v>
      </c>
      <c r="EV153" s="231">
        <v>517141211</v>
      </c>
      <c r="EW153" s="231">
        <v>4381.68</v>
      </c>
      <c r="EX153" s="231">
        <v>4340.1099999999997</v>
      </c>
      <c r="EY153" s="228">
        <v>41.57</v>
      </c>
      <c r="EZ153" s="229">
        <v>9.5999999999999992E-3</v>
      </c>
      <c r="FA153" s="229">
        <v>0.3407</v>
      </c>
      <c r="FB153" s="227" t="s">
        <v>555</v>
      </c>
      <c r="FC153">
        <f t="shared" si="3"/>
        <v>0</v>
      </c>
    </row>
    <row r="154" spans="1:159" ht="17.25" thickBot="1" x14ac:dyDescent="0.3">
      <c r="A154" s="226">
        <v>45946</v>
      </c>
      <c r="B154" s="227" t="s">
        <v>197</v>
      </c>
      <c r="C154" s="227" t="s">
        <v>270</v>
      </c>
      <c r="D154" s="228">
        <v>15</v>
      </c>
      <c r="E154" s="228">
        <v>12</v>
      </c>
      <c r="F154" s="231">
        <v>41180</v>
      </c>
      <c r="G154" s="231">
        <v>40630</v>
      </c>
      <c r="H154" s="228">
        <v>550</v>
      </c>
      <c r="I154" s="229">
        <v>1.35E-2</v>
      </c>
      <c r="J154" s="231">
        <v>41020</v>
      </c>
      <c r="K154" s="231">
        <v>40535</v>
      </c>
      <c r="L154" s="228">
        <v>485</v>
      </c>
      <c r="M154" s="229">
        <v>1.2E-2</v>
      </c>
      <c r="N154" s="231">
        <v>41180</v>
      </c>
      <c r="O154" s="231">
        <v>40630</v>
      </c>
      <c r="P154" s="228">
        <v>550</v>
      </c>
      <c r="Q154" s="229">
        <v>1.35E-2</v>
      </c>
      <c r="R154" s="231">
        <v>40420</v>
      </c>
      <c r="S154" s="231">
        <v>39880</v>
      </c>
      <c r="T154" s="228">
        <v>540</v>
      </c>
      <c r="U154" s="229">
        <v>1.35E-2</v>
      </c>
      <c r="V154" s="231">
        <v>40215</v>
      </c>
      <c r="W154" s="231">
        <v>39640</v>
      </c>
      <c r="X154" s="228">
        <v>575</v>
      </c>
      <c r="Y154" s="229">
        <v>1.4500000000000001E-2</v>
      </c>
      <c r="Z154" s="228">
        <v>160</v>
      </c>
      <c r="AA154" s="228">
        <v>95</v>
      </c>
      <c r="AB154" s="228">
        <v>65</v>
      </c>
      <c r="AC154" s="229">
        <v>3.8999999999999998E-3</v>
      </c>
      <c r="AD154" s="228">
        <v>160</v>
      </c>
      <c r="AE154" s="228">
        <v>95</v>
      </c>
      <c r="AF154" s="228">
        <v>65</v>
      </c>
      <c r="AG154" s="229">
        <v>3.8999999999999998E-3</v>
      </c>
      <c r="AH154" s="228">
        <v>-600</v>
      </c>
      <c r="AI154" s="228">
        <v>-655</v>
      </c>
      <c r="AJ154" s="228">
        <v>55</v>
      </c>
      <c r="AK154" s="229">
        <v>-1.46E-2</v>
      </c>
      <c r="AL154" s="228">
        <v>-805</v>
      </c>
      <c r="AM154" s="228">
        <v>-895</v>
      </c>
      <c r="AN154" s="228">
        <v>90</v>
      </c>
      <c r="AO154" s="229">
        <v>-1.9599999999999999E-2</v>
      </c>
      <c r="AP154" s="231">
        <v>41128.82</v>
      </c>
      <c r="AQ154" s="231">
        <v>40310.51</v>
      </c>
      <c r="AR154" s="228">
        <v>0</v>
      </c>
      <c r="AS154" s="228">
        <v>159</v>
      </c>
      <c r="AT154" s="228">
        <v>110</v>
      </c>
      <c r="AU154" s="228">
        <v>49</v>
      </c>
      <c r="AV154" s="229">
        <v>0.44119999999999998</v>
      </c>
      <c r="AW154" s="228">
        <v>118</v>
      </c>
      <c r="AX154" s="228">
        <v>87</v>
      </c>
      <c r="AY154" s="228">
        <v>31</v>
      </c>
      <c r="AZ154" s="229">
        <v>0.35199999999999998</v>
      </c>
      <c r="BA154" s="228">
        <v>36</v>
      </c>
      <c r="BB154" s="228">
        <v>23</v>
      </c>
      <c r="BC154" s="228">
        <v>14</v>
      </c>
      <c r="BD154" s="229">
        <v>0.60819999999999996</v>
      </c>
      <c r="BE154" s="228">
        <v>5</v>
      </c>
      <c r="BF154" s="228">
        <v>1</v>
      </c>
      <c r="BG154" s="228">
        <v>4</v>
      </c>
      <c r="BH154" s="229">
        <v>5.8333000000000004</v>
      </c>
      <c r="BI154" s="228">
        <v>738</v>
      </c>
      <c r="BJ154" s="228">
        <v>681</v>
      </c>
      <c r="BK154" s="228">
        <v>58</v>
      </c>
      <c r="BL154" s="229">
        <v>8.4500000000000006E-2</v>
      </c>
      <c r="BM154" s="228">
        <v>185</v>
      </c>
      <c r="BN154" s="228">
        <v>59</v>
      </c>
      <c r="BO154" s="228">
        <v>126</v>
      </c>
      <c r="BP154" s="229">
        <v>2.1463000000000001</v>
      </c>
      <c r="BQ154" s="230">
        <v>1082</v>
      </c>
      <c r="BR154" s="228">
        <v>850</v>
      </c>
      <c r="BS154" s="228">
        <v>232</v>
      </c>
      <c r="BT154" s="229">
        <v>0.2732</v>
      </c>
      <c r="BU154" s="230">
        <v>14707</v>
      </c>
      <c r="BV154" s="230">
        <v>14665</v>
      </c>
      <c r="BW154" s="228">
        <v>42</v>
      </c>
      <c r="BX154" s="229">
        <v>2.8999999999999998E-3</v>
      </c>
      <c r="BY154" s="228">
        <v>998</v>
      </c>
      <c r="BZ154" s="230">
        <v>1010</v>
      </c>
      <c r="CA154" s="228">
        <v>-12</v>
      </c>
      <c r="CB154" s="229">
        <v>-1.21E-2</v>
      </c>
      <c r="CC154" s="228">
        <v>891</v>
      </c>
      <c r="CD154" s="228">
        <v>917</v>
      </c>
      <c r="CE154" s="228">
        <v>-26</v>
      </c>
      <c r="CF154" s="229">
        <v>-2.87E-2</v>
      </c>
      <c r="CG154" s="228">
        <v>96</v>
      </c>
      <c r="CH154" s="228">
        <v>85</v>
      </c>
      <c r="CI154" s="228">
        <v>11</v>
      </c>
      <c r="CJ154" s="229">
        <v>0.1246</v>
      </c>
      <c r="CK154" s="228">
        <v>11</v>
      </c>
      <c r="CL154" s="228">
        <v>8</v>
      </c>
      <c r="CM154" s="228">
        <v>4</v>
      </c>
      <c r="CN154" s="229">
        <v>0.46339999999999998</v>
      </c>
      <c r="CO154" s="228">
        <v>493</v>
      </c>
      <c r="CP154" s="228">
        <v>475</v>
      </c>
      <c r="CQ154" s="228">
        <v>18</v>
      </c>
      <c r="CR154" s="229">
        <v>3.8800000000000001E-2</v>
      </c>
      <c r="CS154" s="228">
        <v>208</v>
      </c>
      <c r="CT154" s="228">
        <v>155</v>
      </c>
      <c r="CU154" s="228">
        <v>53</v>
      </c>
      <c r="CV154" s="229">
        <v>0.34089999999999998</v>
      </c>
      <c r="CW154" s="230">
        <v>1698</v>
      </c>
      <c r="CX154" s="230">
        <v>1639</v>
      </c>
      <c r="CY154" s="228">
        <v>59</v>
      </c>
      <c r="CZ154" s="229">
        <v>3.5999999999999997E-2</v>
      </c>
      <c r="DA154" s="228">
        <v>25.23</v>
      </c>
      <c r="DB154" s="228">
        <v>28.44</v>
      </c>
      <c r="DC154" s="228">
        <v>-3.21</v>
      </c>
      <c r="DD154" s="228">
        <v>-3.21</v>
      </c>
      <c r="DE154" s="228">
        <v>29.5</v>
      </c>
      <c r="DF154" s="228">
        <v>29.53</v>
      </c>
      <c r="DG154" s="228">
        <v>-4.2699999999999996</v>
      </c>
      <c r="DH154" s="228">
        <v>-0.03</v>
      </c>
      <c r="DI154" s="228">
        <v>26.03</v>
      </c>
      <c r="DJ154" s="228">
        <v>28.87</v>
      </c>
      <c r="DK154" s="228">
        <v>-2.84</v>
      </c>
      <c r="DL154" s="228">
        <v>-2.84</v>
      </c>
      <c r="DM154" s="228">
        <v>22.01</v>
      </c>
      <c r="DN154" s="228">
        <v>23.55</v>
      </c>
      <c r="DO154" s="228">
        <v>-1.54</v>
      </c>
      <c r="DP154" s="228">
        <v>-1.54</v>
      </c>
      <c r="DQ154" s="228">
        <v>0.42</v>
      </c>
      <c r="DR154" s="228">
        <v>0.33</v>
      </c>
      <c r="DS154" s="228">
        <v>0.09</v>
      </c>
      <c r="DT154" s="229">
        <v>0.2727</v>
      </c>
      <c r="DU154" s="231">
        <v>45000</v>
      </c>
      <c r="DV154" s="231">
        <v>40000</v>
      </c>
      <c r="DW154" s="228">
        <v>0.25</v>
      </c>
      <c r="DX154" s="228">
        <v>0.09</v>
      </c>
      <c r="DY154" s="228">
        <v>0.16</v>
      </c>
      <c r="DZ154" s="229">
        <v>1.7778</v>
      </c>
      <c r="EA154" s="229">
        <v>0.1072</v>
      </c>
      <c r="EB154" s="230">
        <v>22545</v>
      </c>
      <c r="EC154" s="229">
        <v>-1.8499999999999999E-2</v>
      </c>
      <c r="ED154" s="229">
        <v>0.1072</v>
      </c>
      <c r="EE154" s="228">
        <v>-818.31</v>
      </c>
      <c r="EF154" s="229">
        <v>-1.9900000000000001E-2</v>
      </c>
      <c r="EG154" s="230">
        <v>8511</v>
      </c>
      <c r="EH154" s="230">
        <v>8868</v>
      </c>
      <c r="EI154" s="229">
        <v>-4.0300000000000002E-2</v>
      </c>
      <c r="EJ154" s="229">
        <v>0.57869999999999999</v>
      </c>
      <c r="EK154" s="228">
        <v>782.22</v>
      </c>
      <c r="EL154" s="228">
        <v>180.43</v>
      </c>
      <c r="EM154" s="228">
        <v>157.94999999999999</v>
      </c>
      <c r="EN154" s="228">
        <v>19.89</v>
      </c>
      <c r="EO154" s="231">
        <v>1120.5999999999999</v>
      </c>
      <c r="EP154" s="228">
        <v>895.96</v>
      </c>
      <c r="EQ154" s="228">
        <v>224.64</v>
      </c>
      <c r="ER154" s="229">
        <v>0.25069999999999998</v>
      </c>
      <c r="ES154" s="228">
        <v>523.53</v>
      </c>
      <c r="ET154" s="228">
        <v>203.82</v>
      </c>
      <c r="EU154" s="228">
        <v>995.62</v>
      </c>
      <c r="EV154" s="231">
        <v>955549</v>
      </c>
      <c r="EW154" s="231">
        <v>1722.96</v>
      </c>
      <c r="EX154" s="231">
        <v>1651.31</v>
      </c>
      <c r="EY154" s="228">
        <v>71.650000000000006</v>
      </c>
      <c r="EZ154" s="229">
        <v>4.3400000000000001E-2</v>
      </c>
      <c r="FA154" s="229">
        <v>0.43159999999999998</v>
      </c>
      <c r="FB154" s="227" t="s">
        <v>556</v>
      </c>
      <c r="FC154">
        <f t="shared" si="3"/>
        <v>0</v>
      </c>
    </row>
    <row r="155" spans="1:159" ht="17.25" thickBot="1" x14ac:dyDescent="0.3">
      <c r="A155" s="226">
        <v>45946</v>
      </c>
      <c r="B155" s="227" t="s">
        <v>168</v>
      </c>
      <c r="C155" s="227" t="s">
        <v>666</v>
      </c>
      <c r="D155" s="228">
        <v>900</v>
      </c>
      <c r="E155" s="228">
        <v>12</v>
      </c>
      <c r="F155" s="228">
        <v>591.85</v>
      </c>
      <c r="G155" s="228">
        <v>586.85</v>
      </c>
      <c r="H155" s="228">
        <v>5</v>
      </c>
      <c r="I155" s="229">
        <v>8.5000000000000006E-3</v>
      </c>
      <c r="J155" s="228">
        <v>589.85</v>
      </c>
      <c r="K155" s="228">
        <v>584.6</v>
      </c>
      <c r="L155" s="228">
        <v>5.25</v>
      </c>
      <c r="M155" s="229">
        <v>8.9999999999999993E-3</v>
      </c>
      <c r="N155" s="228">
        <v>591.85</v>
      </c>
      <c r="O155" s="228">
        <v>586.85</v>
      </c>
      <c r="P155" s="228">
        <v>5</v>
      </c>
      <c r="Q155" s="229">
        <v>8.5000000000000006E-3</v>
      </c>
      <c r="R155" s="228">
        <v>593.1</v>
      </c>
      <c r="S155" s="228">
        <v>588.65</v>
      </c>
      <c r="T155" s="228">
        <v>4.45</v>
      </c>
      <c r="U155" s="229">
        <v>7.6E-3</v>
      </c>
      <c r="V155" s="228">
        <v>599</v>
      </c>
      <c r="W155" s="228">
        <v>590.9</v>
      </c>
      <c r="X155" s="228">
        <v>8.1</v>
      </c>
      <c r="Y155" s="229">
        <v>1.37E-2</v>
      </c>
      <c r="Z155" s="228">
        <v>2</v>
      </c>
      <c r="AA155" s="228">
        <v>2.25</v>
      </c>
      <c r="AB155" s="228">
        <v>-0.25</v>
      </c>
      <c r="AC155" s="229">
        <v>3.3999999999999998E-3</v>
      </c>
      <c r="AD155" s="228">
        <v>2</v>
      </c>
      <c r="AE155" s="228">
        <v>2.25</v>
      </c>
      <c r="AF155" s="228">
        <v>-0.25</v>
      </c>
      <c r="AG155" s="229">
        <v>3.3999999999999998E-3</v>
      </c>
      <c r="AH155" s="228">
        <v>3.25</v>
      </c>
      <c r="AI155" s="228">
        <v>4.05</v>
      </c>
      <c r="AJ155" s="228">
        <v>-0.8</v>
      </c>
      <c r="AK155" s="229">
        <v>5.4999999999999997E-3</v>
      </c>
      <c r="AL155" s="228">
        <v>9.15</v>
      </c>
      <c r="AM155" s="228">
        <v>6.3</v>
      </c>
      <c r="AN155" s="228">
        <v>2.85</v>
      </c>
      <c r="AO155" s="229">
        <v>1.55E-2</v>
      </c>
      <c r="AP155" s="228">
        <v>590.28</v>
      </c>
      <c r="AQ155" s="228">
        <v>592.61</v>
      </c>
      <c r="AR155" s="228">
        <v>0</v>
      </c>
      <c r="AS155" s="228">
        <v>217</v>
      </c>
      <c r="AT155" s="228">
        <v>87</v>
      </c>
      <c r="AU155" s="228">
        <v>131</v>
      </c>
      <c r="AV155" s="229">
        <v>1.5045999999999999</v>
      </c>
      <c r="AW155" s="228">
        <v>205</v>
      </c>
      <c r="AX155" s="228">
        <v>78</v>
      </c>
      <c r="AY155" s="228">
        <v>127</v>
      </c>
      <c r="AZ155" s="229">
        <v>1.6372</v>
      </c>
      <c r="BA155" s="228">
        <v>12</v>
      </c>
      <c r="BB155" s="228">
        <v>9</v>
      </c>
      <c r="BC155" s="228">
        <v>3</v>
      </c>
      <c r="BD155" s="229">
        <v>0.35880000000000001</v>
      </c>
      <c r="BE155" s="228">
        <v>0</v>
      </c>
      <c r="BF155" s="228">
        <v>0</v>
      </c>
      <c r="BG155" s="228">
        <v>0</v>
      </c>
      <c r="BH155" s="229">
        <v>3</v>
      </c>
      <c r="BI155" s="228">
        <v>209</v>
      </c>
      <c r="BJ155" s="228">
        <v>180</v>
      </c>
      <c r="BK155" s="228">
        <v>29</v>
      </c>
      <c r="BL155" s="229">
        <v>0.15920000000000001</v>
      </c>
      <c r="BM155" s="228">
        <v>99</v>
      </c>
      <c r="BN155" s="228">
        <v>58</v>
      </c>
      <c r="BO155" s="228">
        <v>41</v>
      </c>
      <c r="BP155" s="229">
        <v>0.6986</v>
      </c>
      <c r="BQ155" s="228">
        <v>525</v>
      </c>
      <c r="BR155" s="228">
        <v>325</v>
      </c>
      <c r="BS155" s="228">
        <v>200</v>
      </c>
      <c r="BT155" s="229">
        <v>0.61509999999999998</v>
      </c>
      <c r="BU155" s="230">
        <v>639484</v>
      </c>
      <c r="BV155" s="230">
        <v>576391</v>
      </c>
      <c r="BW155" s="230">
        <v>63093</v>
      </c>
      <c r="BX155" s="229">
        <v>0.1095</v>
      </c>
      <c r="BY155" s="230">
        <v>1941</v>
      </c>
      <c r="BZ155" s="230">
        <v>1946</v>
      </c>
      <c r="CA155" s="228">
        <v>-4</v>
      </c>
      <c r="CB155" s="229">
        <v>-2.2000000000000001E-3</v>
      </c>
      <c r="CC155" s="230">
        <v>1919</v>
      </c>
      <c r="CD155" s="230">
        <v>1927</v>
      </c>
      <c r="CE155" s="228">
        <v>-8</v>
      </c>
      <c r="CF155" s="229">
        <v>-4.0000000000000001E-3</v>
      </c>
      <c r="CG155" s="228">
        <v>21</v>
      </c>
      <c r="CH155" s="228">
        <v>18</v>
      </c>
      <c r="CI155" s="228">
        <v>3</v>
      </c>
      <c r="CJ155" s="229">
        <v>0.18790000000000001</v>
      </c>
      <c r="CK155" s="228">
        <v>1</v>
      </c>
      <c r="CL155" s="228">
        <v>1</v>
      </c>
      <c r="CM155" s="228">
        <v>0</v>
      </c>
      <c r="CN155" s="229">
        <v>0.26669999999999999</v>
      </c>
      <c r="CO155" s="228">
        <v>399</v>
      </c>
      <c r="CP155" s="228">
        <v>398</v>
      </c>
      <c r="CQ155" s="228">
        <v>1</v>
      </c>
      <c r="CR155" s="229">
        <v>2E-3</v>
      </c>
      <c r="CS155" s="228">
        <v>167</v>
      </c>
      <c r="CT155" s="228">
        <v>169</v>
      </c>
      <c r="CU155" s="228">
        <v>-2</v>
      </c>
      <c r="CV155" s="229">
        <v>-1.0699999999999999E-2</v>
      </c>
      <c r="CW155" s="230">
        <v>2508</v>
      </c>
      <c r="CX155" s="230">
        <v>2513</v>
      </c>
      <c r="CY155" s="228">
        <v>-5</v>
      </c>
      <c r="CZ155" s="229">
        <v>-2.0999999999999999E-3</v>
      </c>
      <c r="DA155" s="228">
        <v>27.73</v>
      </c>
      <c r="DB155" s="228">
        <v>28.09</v>
      </c>
      <c r="DC155" s="228">
        <v>-0.36</v>
      </c>
      <c r="DD155" s="228">
        <v>-0.36</v>
      </c>
      <c r="DE155" s="228">
        <v>34.21</v>
      </c>
      <c r="DF155" s="228">
        <v>34.28</v>
      </c>
      <c r="DG155" s="228">
        <v>-6.48</v>
      </c>
      <c r="DH155" s="228">
        <v>-7.0000000000000007E-2</v>
      </c>
      <c r="DI155" s="228">
        <v>28.08</v>
      </c>
      <c r="DJ155" s="228">
        <v>28.08</v>
      </c>
      <c r="DK155" s="228">
        <v>0</v>
      </c>
      <c r="DL155" s="228">
        <v>0</v>
      </c>
      <c r="DM155" s="228">
        <v>26.99</v>
      </c>
      <c r="DN155" s="228">
        <v>28.11</v>
      </c>
      <c r="DO155" s="228">
        <v>-1.1200000000000001</v>
      </c>
      <c r="DP155" s="228">
        <v>-1.1200000000000001</v>
      </c>
      <c r="DQ155" s="228">
        <v>0.42</v>
      </c>
      <c r="DR155" s="228">
        <v>0.42</v>
      </c>
      <c r="DS155" s="228">
        <v>0</v>
      </c>
      <c r="DT155" s="229">
        <v>0</v>
      </c>
      <c r="DU155" s="228">
        <v>600</v>
      </c>
      <c r="DV155" s="228">
        <v>600</v>
      </c>
      <c r="DW155" s="228">
        <v>0.47</v>
      </c>
      <c r="DX155" s="228">
        <v>0.32</v>
      </c>
      <c r="DY155" s="228">
        <v>0.15</v>
      </c>
      <c r="DZ155" s="229">
        <v>0.46870000000000001</v>
      </c>
      <c r="EA155" s="229">
        <v>1.1299999999999999E-2</v>
      </c>
      <c r="EB155" s="230">
        <v>310500</v>
      </c>
      <c r="EC155" s="229">
        <v>2.0999999999999999E-3</v>
      </c>
      <c r="ED155" s="229">
        <v>1.1299999999999999E-2</v>
      </c>
      <c r="EE155" s="228">
        <v>2.33</v>
      </c>
      <c r="EF155" s="229">
        <v>3.8999999999999998E-3</v>
      </c>
      <c r="EG155" s="230">
        <v>280285</v>
      </c>
      <c r="EH155" s="230">
        <v>372746</v>
      </c>
      <c r="EI155" s="229">
        <v>-0.24809999999999999</v>
      </c>
      <c r="EJ155" s="229">
        <v>0.43830000000000002</v>
      </c>
      <c r="EK155" s="228">
        <v>214.47</v>
      </c>
      <c r="EL155" s="228">
        <v>101.36</v>
      </c>
      <c r="EM155" s="228">
        <v>216.8</v>
      </c>
      <c r="EN155" s="228">
        <v>21.66</v>
      </c>
      <c r="EO155" s="228">
        <v>532.63</v>
      </c>
      <c r="EP155" s="228">
        <v>330.3</v>
      </c>
      <c r="EQ155" s="228">
        <v>202.34</v>
      </c>
      <c r="ER155" s="229">
        <v>0.61260000000000003</v>
      </c>
      <c r="ES155" s="228">
        <v>413.59</v>
      </c>
      <c r="ET155" s="228">
        <v>164.86</v>
      </c>
      <c r="EU155" s="231">
        <v>1941.41</v>
      </c>
      <c r="EV155" s="231">
        <v>50840137</v>
      </c>
      <c r="EW155" s="231">
        <v>2519.86</v>
      </c>
      <c r="EX155" s="231">
        <v>2508.56</v>
      </c>
      <c r="EY155" s="228">
        <v>11.3</v>
      </c>
      <c r="EZ155" s="229">
        <v>4.4999999999999997E-3</v>
      </c>
      <c r="FA155" s="229">
        <v>0.83350000000000002</v>
      </c>
      <c r="FB155" s="227" t="s">
        <v>556</v>
      </c>
      <c r="FC155">
        <f t="shared" si="3"/>
        <v>0</v>
      </c>
    </row>
    <row r="156" spans="1:159" ht="17.25" thickBot="1" x14ac:dyDescent="0.3">
      <c r="A156" s="226">
        <v>45946</v>
      </c>
      <c r="B156" s="227" t="s">
        <v>615</v>
      </c>
      <c r="C156" s="227" t="s">
        <v>575</v>
      </c>
      <c r="D156" s="228">
        <v>725</v>
      </c>
      <c r="E156" s="228">
        <v>12</v>
      </c>
      <c r="F156" s="231">
        <v>1274.9000000000001</v>
      </c>
      <c r="G156" s="231">
        <v>1279.2</v>
      </c>
      <c r="H156" s="228">
        <v>-4.3</v>
      </c>
      <c r="I156" s="229">
        <v>-3.3999999999999998E-3</v>
      </c>
      <c r="J156" s="231">
        <v>1274</v>
      </c>
      <c r="K156" s="231">
        <v>1277.3</v>
      </c>
      <c r="L156" s="228">
        <v>-3.3</v>
      </c>
      <c r="M156" s="229">
        <v>-2.5999999999999999E-3</v>
      </c>
      <c r="N156" s="231">
        <v>1274.9000000000001</v>
      </c>
      <c r="O156" s="231">
        <v>1279.2</v>
      </c>
      <c r="P156" s="228">
        <v>-4.3</v>
      </c>
      <c r="Q156" s="229">
        <v>-3.3999999999999998E-3</v>
      </c>
      <c r="R156" s="231">
        <v>1282.8</v>
      </c>
      <c r="S156" s="231">
        <v>1287.5</v>
      </c>
      <c r="T156" s="228">
        <v>-4.7</v>
      </c>
      <c r="U156" s="229">
        <v>-3.7000000000000002E-3</v>
      </c>
      <c r="V156" s="231">
        <v>1290.0999999999999</v>
      </c>
      <c r="W156" s="231">
        <v>1292.4000000000001</v>
      </c>
      <c r="X156" s="228">
        <v>-2.2999999999999998</v>
      </c>
      <c r="Y156" s="229">
        <v>-1.8E-3</v>
      </c>
      <c r="Z156" s="228">
        <v>0.9</v>
      </c>
      <c r="AA156" s="228">
        <v>1.9</v>
      </c>
      <c r="AB156" s="228">
        <v>-1</v>
      </c>
      <c r="AC156" s="229">
        <v>6.9999999999999999E-4</v>
      </c>
      <c r="AD156" s="228">
        <v>0.9</v>
      </c>
      <c r="AE156" s="228">
        <v>1.9</v>
      </c>
      <c r="AF156" s="228">
        <v>-1</v>
      </c>
      <c r="AG156" s="229">
        <v>6.9999999999999999E-4</v>
      </c>
      <c r="AH156" s="228">
        <v>8.8000000000000007</v>
      </c>
      <c r="AI156" s="228">
        <v>10.199999999999999</v>
      </c>
      <c r="AJ156" s="228">
        <v>-1.4</v>
      </c>
      <c r="AK156" s="229">
        <v>6.8999999999999999E-3</v>
      </c>
      <c r="AL156" s="228">
        <v>16.100000000000001</v>
      </c>
      <c r="AM156" s="228">
        <v>15.1</v>
      </c>
      <c r="AN156" s="228">
        <v>1</v>
      </c>
      <c r="AO156" s="229">
        <v>1.26E-2</v>
      </c>
      <c r="AP156" s="231">
        <v>1287.8599999999999</v>
      </c>
      <c r="AQ156" s="231">
        <v>1294.82</v>
      </c>
      <c r="AR156" s="228">
        <v>0</v>
      </c>
      <c r="AS156" s="228">
        <v>969</v>
      </c>
      <c r="AT156" s="230">
        <v>1087</v>
      </c>
      <c r="AU156" s="228">
        <v>-117</v>
      </c>
      <c r="AV156" s="229">
        <v>-0.1079</v>
      </c>
      <c r="AW156" s="228">
        <v>893</v>
      </c>
      <c r="AX156" s="228">
        <v>994</v>
      </c>
      <c r="AY156" s="228">
        <v>-100</v>
      </c>
      <c r="AZ156" s="229">
        <v>-0.1011</v>
      </c>
      <c r="BA156" s="228">
        <v>70</v>
      </c>
      <c r="BB156" s="228">
        <v>79</v>
      </c>
      <c r="BC156" s="228">
        <v>-10</v>
      </c>
      <c r="BD156" s="229">
        <v>-0.1212</v>
      </c>
      <c r="BE156" s="228">
        <v>6</v>
      </c>
      <c r="BF156" s="228">
        <v>14</v>
      </c>
      <c r="BG156" s="228">
        <v>-7</v>
      </c>
      <c r="BH156" s="229">
        <v>-0.52700000000000002</v>
      </c>
      <c r="BI156" s="230">
        <v>3170</v>
      </c>
      <c r="BJ156" s="230">
        <v>4091</v>
      </c>
      <c r="BK156" s="228">
        <v>-921</v>
      </c>
      <c r="BL156" s="229">
        <v>-0.22520000000000001</v>
      </c>
      <c r="BM156" s="230">
        <v>1661</v>
      </c>
      <c r="BN156" s="230">
        <v>1966</v>
      </c>
      <c r="BO156" s="228">
        <v>-305</v>
      </c>
      <c r="BP156" s="229">
        <v>-0.15509999999999999</v>
      </c>
      <c r="BQ156" s="230">
        <v>5800</v>
      </c>
      <c r="BR156" s="230">
        <v>7144</v>
      </c>
      <c r="BS156" s="230">
        <v>-1344</v>
      </c>
      <c r="BT156" s="229">
        <v>-0.18809999999999999</v>
      </c>
      <c r="BU156" s="230">
        <v>5115776</v>
      </c>
      <c r="BV156" s="230">
        <v>3834297</v>
      </c>
      <c r="BW156" s="230">
        <v>1281479</v>
      </c>
      <c r="BX156" s="229">
        <v>0.3342</v>
      </c>
      <c r="BY156" s="230">
        <v>3105</v>
      </c>
      <c r="BZ156" s="230">
        <v>3232</v>
      </c>
      <c r="CA156" s="228">
        <v>-127</v>
      </c>
      <c r="CB156" s="229">
        <v>-3.9199999999999999E-2</v>
      </c>
      <c r="CC156" s="230">
        <v>3016</v>
      </c>
      <c r="CD156" s="230">
        <v>3163</v>
      </c>
      <c r="CE156" s="228">
        <v>-147</v>
      </c>
      <c r="CF156" s="229">
        <v>-4.6399999999999997E-2</v>
      </c>
      <c r="CG156" s="228">
        <v>77</v>
      </c>
      <c r="CH156" s="228">
        <v>57</v>
      </c>
      <c r="CI156" s="228">
        <v>20</v>
      </c>
      <c r="CJ156" s="229">
        <v>0.35</v>
      </c>
      <c r="CK156" s="228">
        <v>11</v>
      </c>
      <c r="CL156" s="228">
        <v>12</v>
      </c>
      <c r="CM156" s="228">
        <v>0</v>
      </c>
      <c r="CN156" s="229">
        <v>-8.0000000000000002E-3</v>
      </c>
      <c r="CO156" s="228">
        <v>929</v>
      </c>
      <c r="CP156" s="228">
        <v>916</v>
      </c>
      <c r="CQ156" s="228">
        <v>13</v>
      </c>
      <c r="CR156" s="229">
        <v>1.47E-2</v>
      </c>
      <c r="CS156" s="228">
        <v>730</v>
      </c>
      <c r="CT156" s="228">
        <v>673</v>
      </c>
      <c r="CU156" s="228">
        <v>56</v>
      </c>
      <c r="CV156" s="229">
        <v>8.3599999999999994E-2</v>
      </c>
      <c r="CW156" s="230">
        <v>4764</v>
      </c>
      <c r="CX156" s="230">
        <v>4821</v>
      </c>
      <c r="CY156" s="228">
        <v>-57</v>
      </c>
      <c r="CZ156" s="229">
        <v>-1.18E-2</v>
      </c>
      <c r="DA156" s="228">
        <v>31.5</v>
      </c>
      <c r="DB156" s="228">
        <v>34.39</v>
      </c>
      <c r="DC156" s="228">
        <v>-2.89</v>
      </c>
      <c r="DD156" s="228">
        <v>-2.89</v>
      </c>
      <c r="DE156" s="228">
        <v>55.96</v>
      </c>
      <c r="DF156" s="228">
        <v>56.1</v>
      </c>
      <c r="DG156" s="228">
        <v>-24.46</v>
      </c>
      <c r="DH156" s="228">
        <v>-0.14000000000000001</v>
      </c>
      <c r="DI156" s="228">
        <v>31.11</v>
      </c>
      <c r="DJ156" s="228">
        <v>33.340000000000003</v>
      </c>
      <c r="DK156" s="228">
        <v>-2.23</v>
      </c>
      <c r="DL156" s="228">
        <v>-2.23</v>
      </c>
      <c r="DM156" s="228">
        <v>32.26</v>
      </c>
      <c r="DN156" s="228">
        <v>36.56</v>
      </c>
      <c r="DO156" s="228">
        <v>-4.3</v>
      </c>
      <c r="DP156" s="228">
        <v>-4.3</v>
      </c>
      <c r="DQ156" s="228">
        <v>0.79</v>
      </c>
      <c r="DR156" s="228">
        <v>0.74</v>
      </c>
      <c r="DS156" s="228">
        <v>0.05</v>
      </c>
      <c r="DT156" s="229">
        <v>6.7599999999999993E-2</v>
      </c>
      <c r="DU156" s="231">
        <v>1300</v>
      </c>
      <c r="DV156" s="231">
        <v>1100</v>
      </c>
      <c r="DW156" s="228">
        <v>0.52</v>
      </c>
      <c r="DX156" s="228">
        <v>0.48</v>
      </c>
      <c r="DY156" s="228">
        <v>0.04</v>
      </c>
      <c r="DZ156" s="229">
        <v>8.3299999999999999E-2</v>
      </c>
      <c r="EA156" s="229">
        <v>2.86E-2</v>
      </c>
      <c r="EB156" s="230">
        <v>540125</v>
      </c>
      <c r="EC156" s="229">
        <v>6.1999999999999998E-3</v>
      </c>
      <c r="ED156" s="229">
        <v>2.86E-2</v>
      </c>
      <c r="EE156" s="228">
        <v>6.96</v>
      </c>
      <c r="EF156" s="229">
        <v>5.4000000000000003E-3</v>
      </c>
      <c r="EG156" s="230">
        <v>2680040</v>
      </c>
      <c r="EH156" s="230">
        <v>1445599</v>
      </c>
      <c r="EI156" s="229">
        <v>0.85389999999999999</v>
      </c>
      <c r="EJ156" s="229">
        <v>0.52390000000000003</v>
      </c>
      <c r="EK156" s="231">
        <v>3323.88</v>
      </c>
      <c r="EL156" s="231">
        <v>1647.58</v>
      </c>
      <c r="EM156" s="228">
        <v>979.62</v>
      </c>
      <c r="EN156" s="228">
        <v>78.819999999999993</v>
      </c>
      <c r="EO156" s="231">
        <v>5951.08</v>
      </c>
      <c r="EP156" s="231">
        <v>7254.36</v>
      </c>
      <c r="EQ156" s="231">
        <v>-1303.28</v>
      </c>
      <c r="ER156" s="229">
        <v>-0.1797</v>
      </c>
      <c r="ES156" s="228">
        <v>938.16</v>
      </c>
      <c r="ET156" s="228">
        <v>677.42</v>
      </c>
      <c r="EU156" s="231">
        <v>3105.63</v>
      </c>
      <c r="EV156" s="231">
        <v>95715382</v>
      </c>
      <c r="EW156" s="231">
        <v>4721.2</v>
      </c>
      <c r="EX156" s="231">
        <v>4781.5</v>
      </c>
      <c r="EY156" s="228">
        <v>-60.3</v>
      </c>
      <c r="EZ156" s="229">
        <v>-1.26E-2</v>
      </c>
      <c r="FA156" s="229">
        <v>0.39040000000000002</v>
      </c>
      <c r="FB156" s="227" t="s">
        <v>568</v>
      </c>
      <c r="FC156">
        <f t="shared" si="3"/>
        <v>0</v>
      </c>
    </row>
    <row r="157" spans="1:159" ht="17.25" thickBot="1" x14ac:dyDescent="0.3">
      <c r="A157" s="226">
        <v>45946</v>
      </c>
      <c r="B157" s="227" t="s">
        <v>221</v>
      </c>
      <c r="C157" s="227" t="s">
        <v>529</v>
      </c>
      <c r="D157" s="228">
        <v>100</v>
      </c>
      <c r="E157" s="228">
        <v>12</v>
      </c>
      <c r="F157" s="231">
        <v>5845.2</v>
      </c>
      <c r="G157" s="231">
        <v>5740.8</v>
      </c>
      <c r="H157" s="228">
        <v>104.4</v>
      </c>
      <c r="I157" s="229">
        <v>1.8200000000000001E-2</v>
      </c>
      <c r="J157" s="231">
        <v>5841.5</v>
      </c>
      <c r="K157" s="231">
        <v>5724.6</v>
      </c>
      <c r="L157" s="228">
        <v>116.9</v>
      </c>
      <c r="M157" s="229">
        <v>2.0400000000000001E-2</v>
      </c>
      <c r="N157" s="231">
        <v>5845.2</v>
      </c>
      <c r="O157" s="231">
        <v>5740.8</v>
      </c>
      <c r="P157" s="228">
        <v>104.4</v>
      </c>
      <c r="Q157" s="229">
        <v>1.8200000000000001E-2</v>
      </c>
      <c r="R157" s="231">
        <v>5875.1</v>
      </c>
      <c r="S157" s="231">
        <v>5772.7</v>
      </c>
      <c r="T157" s="228">
        <v>102.4</v>
      </c>
      <c r="U157" s="229">
        <v>1.77E-2</v>
      </c>
      <c r="V157" s="231">
        <v>5899.7</v>
      </c>
      <c r="W157" s="231">
        <v>5798.9</v>
      </c>
      <c r="X157" s="228">
        <v>100.8</v>
      </c>
      <c r="Y157" s="229">
        <v>1.7399999999999999E-2</v>
      </c>
      <c r="Z157" s="228">
        <v>3.7</v>
      </c>
      <c r="AA157" s="228">
        <v>16.2</v>
      </c>
      <c r="AB157" s="228">
        <v>-12.5</v>
      </c>
      <c r="AC157" s="229">
        <v>5.9999999999999995E-4</v>
      </c>
      <c r="AD157" s="228">
        <v>3.7</v>
      </c>
      <c r="AE157" s="228">
        <v>16.2</v>
      </c>
      <c r="AF157" s="228">
        <v>-12.5</v>
      </c>
      <c r="AG157" s="229">
        <v>5.9999999999999995E-4</v>
      </c>
      <c r="AH157" s="228">
        <v>33.6</v>
      </c>
      <c r="AI157" s="228">
        <v>48.1</v>
      </c>
      <c r="AJ157" s="228">
        <v>-14.5</v>
      </c>
      <c r="AK157" s="229">
        <v>5.7999999999999996E-3</v>
      </c>
      <c r="AL157" s="228">
        <v>58.2</v>
      </c>
      <c r="AM157" s="228">
        <v>74.3</v>
      </c>
      <c r="AN157" s="228">
        <v>-16.100000000000001</v>
      </c>
      <c r="AO157" s="229">
        <v>0.01</v>
      </c>
      <c r="AP157" s="231">
        <v>5795.44</v>
      </c>
      <c r="AQ157" s="231">
        <v>5824.51</v>
      </c>
      <c r="AR157" s="228">
        <v>0</v>
      </c>
      <c r="AS157" s="228">
        <v>551</v>
      </c>
      <c r="AT157" s="230">
        <v>2167</v>
      </c>
      <c r="AU157" s="230">
        <v>-1616</v>
      </c>
      <c r="AV157" s="229">
        <v>-0.74580000000000002</v>
      </c>
      <c r="AW157" s="228">
        <v>496</v>
      </c>
      <c r="AX157" s="230">
        <v>2036</v>
      </c>
      <c r="AY157" s="230">
        <v>-1540</v>
      </c>
      <c r="AZ157" s="229">
        <v>-0.75619999999999998</v>
      </c>
      <c r="BA157" s="228">
        <v>49</v>
      </c>
      <c r="BB157" s="228">
        <v>119</v>
      </c>
      <c r="BC157" s="228">
        <v>-71</v>
      </c>
      <c r="BD157" s="229">
        <v>-0.59299999999999997</v>
      </c>
      <c r="BE157" s="228">
        <v>6</v>
      </c>
      <c r="BF157" s="228">
        <v>11</v>
      </c>
      <c r="BG157" s="228">
        <v>-5</v>
      </c>
      <c r="BH157" s="229">
        <v>-0.46739999999999998</v>
      </c>
      <c r="BI157" s="230">
        <v>3657</v>
      </c>
      <c r="BJ157" s="230">
        <v>13713</v>
      </c>
      <c r="BK157" s="230">
        <v>-10055</v>
      </c>
      <c r="BL157" s="229">
        <v>-0.73329999999999995</v>
      </c>
      <c r="BM157" s="230">
        <v>2414</v>
      </c>
      <c r="BN157" s="230">
        <v>6791</v>
      </c>
      <c r="BO157" s="230">
        <v>-4378</v>
      </c>
      <c r="BP157" s="229">
        <v>-0.64459999999999995</v>
      </c>
      <c r="BQ157" s="230">
        <v>6622</v>
      </c>
      <c r="BR157" s="230">
        <v>22671</v>
      </c>
      <c r="BS157" s="230">
        <v>-16049</v>
      </c>
      <c r="BT157" s="229">
        <v>-0.70789999999999997</v>
      </c>
      <c r="BU157" s="230">
        <v>965382</v>
      </c>
      <c r="BV157" s="230">
        <v>3582054</v>
      </c>
      <c r="BW157" s="230">
        <v>-2616672</v>
      </c>
      <c r="BX157" s="229">
        <v>-0.73050000000000004</v>
      </c>
      <c r="BY157" s="230">
        <v>1881</v>
      </c>
      <c r="BZ157" s="230">
        <v>1919</v>
      </c>
      <c r="CA157" s="228">
        <v>-39</v>
      </c>
      <c r="CB157" s="229">
        <v>-2.01E-2</v>
      </c>
      <c r="CC157" s="230">
        <v>1811</v>
      </c>
      <c r="CD157" s="230">
        <v>1862</v>
      </c>
      <c r="CE157" s="228">
        <v>-51</v>
      </c>
      <c r="CF157" s="229">
        <v>-2.7400000000000001E-2</v>
      </c>
      <c r="CG157" s="228">
        <v>62</v>
      </c>
      <c r="CH157" s="228">
        <v>50</v>
      </c>
      <c r="CI157" s="228">
        <v>12</v>
      </c>
      <c r="CJ157" s="229">
        <v>0.2374</v>
      </c>
      <c r="CK157" s="228">
        <v>7</v>
      </c>
      <c r="CL157" s="228">
        <v>7</v>
      </c>
      <c r="CM157" s="228">
        <v>1</v>
      </c>
      <c r="CN157" s="229">
        <v>9.4E-2</v>
      </c>
      <c r="CO157" s="228">
        <v>852</v>
      </c>
      <c r="CP157" s="228">
        <v>987</v>
      </c>
      <c r="CQ157" s="228">
        <v>-134</v>
      </c>
      <c r="CR157" s="229">
        <v>-0.1361</v>
      </c>
      <c r="CS157" s="230">
        <v>1109</v>
      </c>
      <c r="CT157" s="230">
        <v>1106</v>
      </c>
      <c r="CU157" s="228">
        <v>4</v>
      </c>
      <c r="CV157" s="229">
        <v>3.3E-3</v>
      </c>
      <c r="CW157" s="230">
        <v>3842</v>
      </c>
      <c r="CX157" s="230">
        <v>4011</v>
      </c>
      <c r="CY157" s="228">
        <v>-169</v>
      </c>
      <c r="CZ157" s="229">
        <v>-4.2200000000000001E-2</v>
      </c>
      <c r="DA157" s="228">
        <v>29.94</v>
      </c>
      <c r="DB157" s="228">
        <v>31.8</v>
      </c>
      <c r="DC157" s="228">
        <v>-1.86</v>
      </c>
      <c r="DD157" s="228">
        <v>-1.86</v>
      </c>
      <c r="DE157" s="228">
        <v>42.45</v>
      </c>
      <c r="DF157" s="228">
        <v>42.47</v>
      </c>
      <c r="DG157" s="228">
        <v>-12.51</v>
      </c>
      <c r="DH157" s="228">
        <v>-0.02</v>
      </c>
      <c r="DI157" s="228">
        <v>27.97</v>
      </c>
      <c r="DJ157" s="228">
        <v>30.64</v>
      </c>
      <c r="DK157" s="228">
        <v>-2.67</v>
      </c>
      <c r="DL157" s="228">
        <v>-2.67</v>
      </c>
      <c r="DM157" s="228">
        <v>32.92</v>
      </c>
      <c r="DN157" s="228">
        <v>34.14</v>
      </c>
      <c r="DO157" s="228">
        <v>-1.22</v>
      </c>
      <c r="DP157" s="228">
        <v>-1.22</v>
      </c>
      <c r="DQ157" s="228">
        <v>1.3</v>
      </c>
      <c r="DR157" s="228">
        <v>1.1200000000000001</v>
      </c>
      <c r="DS157" s="228">
        <v>0.18</v>
      </c>
      <c r="DT157" s="229">
        <v>0.16070000000000001</v>
      </c>
      <c r="DU157" s="231">
        <v>6000</v>
      </c>
      <c r="DV157" s="231">
        <v>5500</v>
      </c>
      <c r="DW157" s="228">
        <v>0.66</v>
      </c>
      <c r="DX157" s="228">
        <v>0.5</v>
      </c>
      <c r="DY157" s="228">
        <v>0.16</v>
      </c>
      <c r="DZ157" s="229">
        <v>0.32</v>
      </c>
      <c r="EA157" s="229">
        <v>3.6900000000000002E-2</v>
      </c>
      <c r="EB157" s="230">
        <v>97200</v>
      </c>
      <c r="EC157" s="229">
        <v>5.1000000000000004E-3</v>
      </c>
      <c r="ED157" s="229">
        <v>3.6900000000000002E-2</v>
      </c>
      <c r="EE157" s="228">
        <v>29.07</v>
      </c>
      <c r="EF157" s="229">
        <v>5.0000000000000001E-3</v>
      </c>
      <c r="EG157" s="230">
        <v>439720</v>
      </c>
      <c r="EH157" s="230">
        <v>1093664</v>
      </c>
      <c r="EI157" s="229">
        <v>-0.59789999999999999</v>
      </c>
      <c r="EJ157" s="229">
        <v>0.45550000000000002</v>
      </c>
      <c r="EK157" s="231">
        <v>3754.7</v>
      </c>
      <c r="EL157" s="231">
        <v>2292.98</v>
      </c>
      <c r="EM157" s="228">
        <v>546.47</v>
      </c>
      <c r="EN157" s="228">
        <v>139.62</v>
      </c>
      <c r="EO157" s="231">
        <v>6594.16</v>
      </c>
      <c r="EP157" s="231">
        <v>22329.45</v>
      </c>
      <c r="EQ157" s="231">
        <v>-15735.3</v>
      </c>
      <c r="ER157" s="229">
        <v>-0.70469999999999999</v>
      </c>
      <c r="ES157" s="228">
        <v>839.18</v>
      </c>
      <c r="ET157" s="231">
        <v>1013.45</v>
      </c>
      <c r="EU157" s="231">
        <v>1881.14</v>
      </c>
      <c r="EV157" s="231">
        <v>16151851</v>
      </c>
      <c r="EW157" s="231">
        <v>3733.77</v>
      </c>
      <c r="EX157" s="231">
        <v>3856.76</v>
      </c>
      <c r="EY157" s="228">
        <v>-122.99</v>
      </c>
      <c r="EZ157" s="229">
        <v>-3.1899999999999998E-2</v>
      </c>
      <c r="FA157" s="229">
        <v>0.40699999999999997</v>
      </c>
      <c r="FB157" s="227" t="s">
        <v>556</v>
      </c>
      <c r="FC157">
        <f t="shared" si="3"/>
        <v>0</v>
      </c>
    </row>
    <row r="158" spans="1:159" ht="17.25" thickBot="1" x14ac:dyDescent="0.3">
      <c r="A158" s="226">
        <v>45946</v>
      </c>
      <c r="B158" s="227" t="s">
        <v>193</v>
      </c>
      <c r="C158" s="227" t="s">
        <v>272</v>
      </c>
      <c r="D158" s="228">
        <v>1800</v>
      </c>
      <c r="E158" s="228">
        <v>12</v>
      </c>
      <c r="F158" s="228">
        <v>279.45</v>
      </c>
      <c r="G158" s="228">
        <v>280.64999999999998</v>
      </c>
      <c r="H158" s="228">
        <v>-1.2</v>
      </c>
      <c r="I158" s="229">
        <v>-4.3E-3</v>
      </c>
      <c r="J158" s="228">
        <v>278.75</v>
      </c>
      <c r="K158" s="228">
        <v>279.64999999999998</v>
      </c>
      <c r="L158" s="228">
        <v>-0.9</v>
      </c>
      <c r="M158" s="229">
        <v>-3.2000000000000002E-3</v>
      </c>
      <c r="N158" s="228">
        <v>279.45</v>
      </c>
      <c r="O158" s="228">
        <v>280.64999999999998</v>
      </c>
      <c r="P158" s="228">
        <v>-1.2</v>
      </c>
      <c r="Q158" s="229">
        <v>-4.3E-3</v>
      </c>
      <c r="R158" s="228">
        <v>281.10000000000002</v>
      </c>
      <c r="S158" s="228">
        <v>282.45</v>
      </c>
      <c r="T158" s="228">
        <v>-1.35</v>
      </c>
      <c r="U158" s="229">
        <v>-4.7999999999999996E-3</v>
      </c>
      <c r="V158" s="228">
        <v>283</v>
      </c>
      <c r="W158" s="228">
        <v>283.8</v>
      </c>
      <c r="X158" s="228">
        <v>-0.8</v>
      </c>
      <c r="Y158" s="229">
        <v>-2.8E-3</v>
      </c>
      <c r="Z158" s="228">
        <v>0.7</v>
      </c>
      <c r="AA158" s="228">
        <v>1</v>
      </c>
      <c r="AB158" s="228">
        <v>-0.3</v>
      </c>
      <c r="AC158" s="229">
        <v>2.5000000000000001E-3</v>
      </c>
      <c r="AD158" s="228">
        <v>0.7</v>
      </c>
      <c r="AE158" s="228">
        <v>1</v>
      </c>
      <c r="AF158" s="228">
        <v>-0.3</v>
      </c>
      <c r="AG158" s="229">
        <v>2.5000000000000001E-3</v>
      </c>
      <c r="AH158" s="228">
        <v>2.35</v>
      </c>
      <c r="AI158" s="228">
        <v>2.8</v>
      </c>
      <c r="AJ158" s="228">
        <v>-0.45</v>
      </c>
      <c r="AK158" s="229">
        <v>8.3999999999999995E-3</v>
      </c>
      <c r="AL158" s="228">
        <v>4.25</v>
      </c>
      <c r="AM158" s="228">
        <v>4.1500000000000004</v>
      </c>
      <c r="AN158" s="228">
        <v>0.1</v>
      </c>
      <c r="AO158" s="229">
        <v>1.52E-2</v>
      </c>
      <c r="AP158" s="228">
        <v>280.37</v>
      </c>
      <c r="AQ158" s="228">
        <v>282.23</v>
      </c>
      <c r="AR158" s="228">
        <v>0</v>
      </c>
      <c r="AS158" s="228">
        <v>229</v>
      </c>
      <c r="AT158" s="228">
        <v>164</v>
      </c>
      <c r="AU158" s="228">
        <v>65</v>
      </c>
      <c r="AV158" s="229">
        <v>0.39510000000000001</v>
      </c>
      <c r="AW158" s="228">
        <v>145</v>
      </c>
      <c r="AX158" s="228">
        <v>122</v>
      </c>
      <c r="AY158" s="228">
        <v>23</v>
      </c>
      <c r="AZ158" s="229">
        <v>0.18870000000000001</v>
      </c>
      <c r="BA158" s="228">
        <v>85</v>
      </c>
      <c r="BB158" s="228">
        <v>42</v>
      </c>
      <c r="BC158" s="228">
        <v>43</v>
      </c>
      <c r="BD158" s="229">
        <v>1.0326</v>
      </c>
      <c r="BE158" s="228">
        <v>0</v>
      </c>
      <c r="BF158" s="228">
        <v>1</v>
      </c>
      <c r="BG158" s="228">
        <v>-1</v>
      </c>
      <c r="BH158" s="229">
        <v>-0.69230000000000003</v>
      </c>
      <c r="BI158" s="228">
        <v>150</v>
      </c>
      <c r="BJ158" s="228">
        <v>186</v>
      </c>
      <c r="BK158" s="228">
        <v>-36</v>
      </c>
      <c r="BL158" s="229">
        <v>-0.19409999999999999</v>
      </c>
      <c r="BM158" s="228">
        <v>84</v>
      </c>
      <c r="BN158" s="228">
        <v>124</v>
      </c>
      <c r="BO158" s="228">
        <v>-40</v>
      </c>
      <c r="BP158" s="229">
        <v>-0.3226</v>
      </c>
      <c r="BQ158" s="228">
        <v>463</v>
      </c>
      <c r="BR158" s="228">
        <v>475</v>
      </c>
      <c r="BS158" s="228">
        <v>-11</v>
      </c>
      <c r="BT158" s="229">
        <v>-2.3400000000000001E-2</v>
      </c>
      <c r="BU158" s="230">
        <v>1528095</v>
      </c>
      <c r="BV158" s="230">
        <v>2249412</v>
      </c>
      <c r="BW158" s="230">
        <v>-721317</v>
      </c>
      <c r="BX158" s="229">
        <v>-0.32069999999999999</v>
      </c>
      <c r="BY158" s="230">
        <v>1274</v>
      </c>
      <c r="BZ158" s="230">
        <v>1230</v>
      </c>
      <c r="CA158" s="228">
        <v>44</v>
      </c>
      <c r="CB158" s="229">
        <v>3.5700000000000003E-2</v>
      </c>
      <c r="CC158" s="230">
        <v>1145</v>
      </c>
      <c r="CD158" s="230">
        <v>1174</v>
      </c>
      <c r="CE158" s="228">
        <v>-29</v>
      </c>
      <c r="CF158" s="229">
        <v>-2.4799999999999999E-2</v>
      </c>
      <c r="CG158" s="228">
        <v>126</v>
      </c>
      <c r="CH158" s="228">
        <v>53</v>
      </c>
      <c r="CI158" s="228">
        <v>73</v>
      </c>
      <c r="CJ158" s="229">
        <v>1.3715999999999999</v>
      </c>
      <c r="CK158" s="228">
        <v>4</v>
      </c>
      <c r="CL158" s="228">
        <v>3</v>
      </c>
      <c r="CM158" s="228">
        <v>0</v>
      </c>
      <c r="CN158" s="229">
        <v>5.8000000000000003E-2</v>
      </c>
      <c r="CO158" s="228">
        <v>454</v>
      </c>
      <c r="CP158" s="228">
        <v>460</v>
      </c>
      <c r="CQ158" s="228">
        <v>-6</v>
      </c>
      <c r="CR158" s="229">
        <v>-1.2500000000000001E-2</v>
      </c>
      <c r="CS158" s="228">
        <v>444</v>
      </c>
      <c r="CT158" s="228">
        <v>441</v>
      </c>
      <c r="CU158" s="228">
        <v>3</v>
      </c>
      <c r="CV158" s="229">
        <v>6.6E-3</v>
      </c>
      <c r="CW158" s="230">
        <v>2172</v>
      </c>
      <c r="CX158" s="230">
        <v>2131</v>
      </c>
      <c r="CY158" s="228">
        <v>41</v>
      </c>
      <c r="CZ158" s="229">
        <v>1.9300000000000001E-2</v>
      </c>
      <c r="DA158" s="228">
        <v>25.52</v>
      </c>
      <c r="DB158" s="228">
        <v>24.52</v>
      </c>
      <c r="DC158" s="228">
        <v>1</v>
      </c>
      <c r="DD158" s="228">
        <v>1</v>
      </c>
      <c r="DE158" s="228">
        <v>32.909999999999997</v>
      </c>
      <c r="DF158" s="228">
        <v>32.979999999999997</v>
      </c>
      <c r="DG158" s="228">
        <v>-7.39</v>
      </c>
      <c r="DH158" s="228">
        <v>-7.0000000000000007E-2</v>
      </c>
      <c r="DI158" s="228">
        <v>25.64</v>
      </c>
      <c r="DJ158" s="228">
        <v>24.22</v>
      </c>
      <c r="DK158" s="228">
        <v>1.42</v>
      </c>
      <c r="DL158" s="228">
        <v>1.42</v>
      </c>
      <c r="DM158" s="228">
        <v>25.29</v>
      </c>
      <c r="DN158" s="228">
        <v>24.96</v>
      </c>
      <c r="DO158" s="228">
        <v>0.33</v>
      </c>
      <c r="DP158" s="228">
        <v>0.33</v>
      </c>
      <c r="DQ158" s="228">
        <v>0.98</v>
      </c>
      <c r="DR158" s="228">
        <v>0.96</v>
      </c>
      <c r="DS158" s="228">
        <v>0.02</v>
      </c>
      <c r="DT158" s="229">
        <v>2.0799999999999999E-2</v>
      </c>
      <c r="DU158" s="228">
        <v>290</v>
      </c>
      <c r="DV158" s="228">
        <v>270</v>
      </c>
      <c r="DW158" s="228">
        <v>0.56000000000000005</v>
      </c>
      <c r="DX158" s="228">
        <v>0.67</v>
      </c>
      <c r="DY158" s="228">
        <v>-0.11</v>
      </c>
      <c r="DZ158" s="229">
        <v>-0.16420000000000001</v>
      </c>
      <c r="EA158" s="229">
        <v>0.1016</v>
      </c>
      <c r="EB158" s="230">
        <v>2023200</v>
      </c>
      <c r="EC158" s="229">
        <v>5.8999999999999999E-3</v>
      </c>
      <c r="ED158" s="229">
        <v>0.1016</v>
      </c>
      <c r="EE158" s="228">
        <v>1.86</v>
      </c>
      <c r="EF158" s="229">
        <v>6.6E-3</v>
      </c>
      <c r="EG158" s="230">
        <v>829886</v>
      </c>
      <c r="EH158" s="230">
        <v>1317820</v>
      </c>
      <c r="EI158" s="229">
        <v>-0.37030000000000002</v>
      </c>
      <c r="EJ158" s="229">
        <v>0.54310000000000003</v>
      </c>
      <c r="EK158" s="228">
        <v>155.54</v>
      </c>
      <c r="EL158" s="228">
        <v>85.65</v>
      </c>
      <c r="EM158" s="228">
        <v>230.79</v>
      </c>
      <c r="EN158" s="228">
        <v>19.62</v>
      </c>
      <c r="EO158" s="228">
        <v>471.98</v>
      </c>
      <c r="EP158" s="228">
        <v>484.1</v>
      </c>
      <c r="EQ158" s="228">
        <v>-12.12</v>
      </c>
      <c r="ER158" s="229">
        <v>-2.5000000000000001E-2</v>
      </c>
      <c r="ES158" s="228">
        <v>475.51</v>
      </c>
      <c r="ET158" s="228">
        <v>445.57</v>
      </c>
      <c r="EU158" s="231">
        <v>1275.06</v>
      </c>
      <c r="EV158" s="231">
        <v>93668136</v>
      </c>
      <c r="EW158" s="231">
        <v>2196.15</v>
      </c>
      <c r="EX158" s="231">
        <v>2160.94</v>
      </c>
      <c r="EY158" s="228">
        <v>35.21</v>
      </c>
      <c r="EZ158" s="229">
        <v>1.6299999999999999E-2</v>
      </c>
      <c r="FA158" s="229">
        <v>0.82989999999999997</v>
      </c>
      <c r="FB158" s="227" t="s">
        <v>567</v>
      </c>
      <c r="FC158">
        <f t="shared" si="3"/>
        <v>0</v>
      </c>
    </row>
    <row r="159" spans="1:159" ht="17.25" thickBot="1" x14ac:dyDescent="0.3">
      <c r="A159" s="226">
        <v>45946</v>
      </c>
      <c r="B159" s="227" t="s">
        <v>175</v>
      </c>
      <c r="C159" s="227" t="s">
        <v>273</v>
      </c>
      <c r="D159" s="228">
        <v>1300</v>
      </c>
      <c r="E159" s="228">
        <v>12</v>
      </c>
      <c r="F159" s="228">
        <v>402.3</v>
      </c>
      <c r="G159" s="228">
        <v>406.9</v>
      </c>
      <c r="H159" s="228">
        <v>-4.5999999999999996</v>
      </c>
      <c r="I159" s="229">
        <v>-1.1299999999999999E-2</v>
      </c>
      <c r="J159" s="228">
        <v>401.55</v>
      </c>
      <c r="K159" s="228">
        <v>405</v>
      </c>
      <c r="L159" s="228">
        <v>-3.45</v>
      </c>
      <c r="M159" s="229">
        <v>-8.5000000000000006E-3</v>
      </c>
      <c r="N159" s="228">
        <v>402.3</v>
      </c>
      <c r="O159" s="228">
        <v>406.9</v>
      </c>
      <c r="P159" s="228">
        <v>-4.5999999999999996</v>
      </c>
      <c r="Q159" s="229">
        <v>-1.1299999999999999E-2</v>
      </c>
      <c r="R159" s="228">
        <v>402.05</v>
      </c>
      <c r="S159" s="228">
        <v>405.75</v>
      </c>
      <c r="T159" s="228">
        <v>-3.7</v>
      </c>
      <c r="U159" s="229">
        <v>-9.1000000000000004E-3</v>
      </c>
      <c r="V159" s="228">
        <v>403.85</v>
      </c>
      <c r="W159" s="228">
        <v>407.1</v>
      </c>
      <c r="X159" s="228">
        <v>-3.25</v>
      </c>
      <c r="Y159" s="229">
        <v>-8.0000000000000002E-3</v>
      </c>
      <c r="Z159" s="228">
        <v>0.75</v>
      </c>
      <c r="AA159" s="228">
        <v>1.9</v>
      </c>
      <c r="AB159" s="228">
        <v>-1.1499999999999999</v>
      </c>
      <c r="AC159" s="229">
        <v>1.9E-3</v>
      </c>
      <c r="AD159" s="228">
        <v>0.75</v>
      </c>
      <c r="AE159" s="228">
        <v>1.9</v>
      </c>
      <c r="AF159" s="228">
        <v>-1.1499999999999999</v>
      </c>
      <c r="AG159" s="229">
        <v>1.9E-3</v>
      </c>
      <c r="AH159" s="228">
        <v>0.5</v>
      </c>
      <c r="AI159" s="228">
        <v>0.75</v>
      </c>
      <c r="AJ159" s="228">
        <v>-0.25</v>
      </c>
      <c r="AK159" s="229">
        <v>1.1999999999999999E-3</v>
      </c>
      <c r="AL159" s="228">
        <v>2.2999999999999998</v>
      </c>
      <c r="AM159" s="228">
        <v>2.1</v>
      </c>
      <c r="AN159" s="228">
        <v>0.2</v>
      </c>
      <c r="AO159" s="229">
        <v>5.7000000000000002E-3</v>
      </c>
      <c r="AP159" s="228">
        <v>405.93</v>
      </c>
      <c r="AQ159" s="228">
        <v>404.58</v>
      </c>
      <c r="AR159" s="228">
        <v>0</v>
      </c>
      <c r="AS159" s="228">
        <v>375</v>
      </c>
      <c r="AT159" s="228">
        <v>443</v>
      </c>
      <c r="AU159" s="228">
        <v>-68</v>
      </c>
      <c r="AV159" s="229">
        <v>-0.1532</v>
      </c>
      <c r="AW159" s="228">
        <v>282</v>
      </c>
      <c r="AX159" s="228">
        <v>359</v>
      </c>
      <c r="AY159" s="228">
        <v>-77</v>
      </c>
      <c r="AZ159" s="229">
        <v>-0.2145</v>
      </c>
      <c r="BA159" s="228">
        <v>89</v>
      </c>
      <c r="BB159" s="228">
        <v>79</v>
      </c>
      <c r="BC159" s="228">
        <v>10</v>
      </c>
      <c r="BD159" s="229">
        <v>0.1202</v>
      </c>
      <c r="BE159" s="228">
        <v>4</v>
      </c>
      <c r="BF159" s="228">
        <v>5</v>
      </c>
      <c r="BG159" s="228">
        <v>0</v>
      </c>
      <c r="BH159" s="229">
        <v>-7.6100000000000001E-2</v>
      </c>
      <c r="BI159" s="228">
        <v>824</v>
      </c>
      <c r="BJ159" s="230">
        <v>1008</v>
      </c>
      <c r="BK159" s="228">
        <v>-184</v>
      </c>
      <c r="BL159" s="229">
        <v>-0.18279999999999999</v>
      </c>
      <c r="BM159" s="228">
        <v>498</v>
      </c>
      <c r="BN159" s="228">
        <v>571</v>
      </c>
      <c r="BO159" s="228">
        <v>-73</v>
      </c>
      <c r="BP159" s="229">
        <v>-0.12709999999999999</v>
      </c>
      <c r="BQ159" s="230">
        <v>1698</v>
      </c>
      <c r="BR159" s="230">
        <v>2023</v>
      </c>
      <c r="BS159" s="228">
        <v>-325</v>
      </c>
      <c r="BT159" s="229">
        <v>-0.16059999999999999</v>
      </c>
      <c r="BU159" s="230">
        <v>4606472</v>
      </c>
      <c r="BV159" s="230">
        <v>6927400</v>
      </c>
      <c r="BW159" s="230">
        <v>-2320928</v>
      </c>
      <c r="BX159" s="229">
        <v>-0.33500000000000002</v>
      </c>
      <c r="BY159" s="230">
        <v>2323</v>
      </c>
      <c r="BZ159" s="230">
        <v>2275</v>
      </c>
      <c r="CA159" s="228">
        <v>49</v>
      </c>
      <c r="CB159" s="229">
        <v>2.1399999999999999E-2</v>
      </c>
      <c r="CC159" s="230">
        <v>2021</v>
      </c>
      <c r="CD159" s="230">
        <v>2025</v>
      </c>
      <c r="CE159" s="228">
        <v>-5</v>
      </c>
      <c r="CF159" s="229">
        <v>-2.3E-3</v>
      </c>
      <c r="CG159" s="228">
        <v>288</v>
      </c>
      <c r="CH159" s="228">
        <v>237</v>
      </c>
      <c r="CI159" s="228">
        <v>51</v>
      </c>
      <c r="CJ159" s="229">
        <v>0.21629999999999999</v>
      </c>
      <c r="CK159" s="228">
        <v>14</v>
      </c>
      <c r="CL159" s="228">
        <v>12</v>
      </c>
      <c r="CM159" s="228">
        <v>2</v>
      </c>
      <c r="CN159" s="229">
        <v>0.1638</v>
      </c>
      <c r="CO159" s="230">
        <v>1067</v>
      </c>
      <c r="CP159" s="228">
        <v>977</v>
      </c>
      <c r="CQ159" s="228">
        <v>90</v>
      </c>
      <c r="CR159" s="229">
        <v>9.2600000000000002E-2</v>
      </c>
      <c r="CS159" s="228">
        <v>804</v>
      </c>
      <c r="CT159" s="228">
        <v>768</v>
      </c>
      <c r="CU159" s="228">
        <v>36</v>
      </c>
      <c r="CV159" s="229">
        <v>4.7300000000000002E-2</v>
      </c>
      <c r="CW159" s="230">
        <v>4195</v>
      </c>
      <c r="CX159" s="230">
        <v>4019</v>
      </c>
      <c r="CY159" s="228">
        <v>175</v>
      </c>
      <c r="CZ159" s="229">
        <v>4.3700000000000003E-2</v>
      </c>
      <c r="DA159" s="228">
        <v>25.63</v>
      </c>
      <c r="DB159" s="228">
        <v>26.02</v>
      </c>
      <c r="DC159" s="228">
        <v>-0.39</v>
      </c>
      <c r="DD159" s="228">
        <v>-0.39</v>
      </c>
      <c r="DE159" s="228">
        <v>44.6</v>
      </c>
      <c r="DF159" s="228">
        <v>44.68</v>
      </c>
      <c r="DG159" s="228">
        <v>-18.97</v>
      </c>
      <c r="DH159" s="228">
        <v>-0.08</v>
      </c>
      <c r="DI159" s="228">
        <v>26.47</v>
      </c>
      <c r="DJ159" s="228">
        <v>26.05</v>
      </c>
      <c r="DK159" s="228">
        <v>0.42</v>
      </c>
      <c r="DL159" s="228">
        <v>0.42</v>
      </c>
      <c r="DM159" s="228">
        <v>24.24</v>
      </c>
      <c r="DN159" s="228">
        <v>25.95</v>
      </c>
      <c r="DO159" s="228">
        <v>-1.71</v>
      </c>
      <c r="DP159" s="228">
        <v>-1.71</v>
      </c>
      <c r="DQ159" s="228">
        <v>0.75</v>
      </c>
      <c r="DR159" s="228">
        <v>0.79</v>
      </c>
      <c r="DS159" s="228">
        <v>-0.04</v>
      </c>
      <c r="DT159" s="229">
        <v>-5.0599999999999999E-2</v>
      </c>
      <c r="DU159" s="228">
        <v>410</v>
      </c>
      <c r="DV159" s="228">
        <v>400</v>
      </c>
      <c r="DW159" s="228">
        <v>0.6</v>
      </c>
      <c r="DX159" s="228">
        <v>0.56999999999999995</v>
      </c>
      <c r="DY159" s="228">
        <v>0.03</v>
      </c>
      <c r="DZ159" s="229">
        <v>5.2600000000000001E-2</v>
      </c>
      <c r="EA159" s="229">
        <v>0.1303</v>
      </c>
      <c r="EB159" s="230">
        <v>6197100</v>
      </c>
      <c r="EC159" s="229">
        <v>-5.9999999999999995E-4</v>
      </c>
      <c r="ED159" s="229">
        <v>0.1303</v>
      </c>
      <c r="EE159" s="228">
        <v>-1.35</v>
      </c>
      <c r="EF159" s="229">
        <v>-3.3E-3</v>
      </c>
      <c r="EG159" s="230">
        <v>2968976</v>
      </c>
      <c r="EH159" s="230">
        <v>4966515</v>
      </c>
      <c r="EI159" s="229">
        <v>-0.4022</v>
      </c>
      <c r="EJ159" s="229">
        <v>0.64449999999999996</v>
      </c>
      <c r="EK159" s="228">
        <v>858.77</v>
      </c>
      <c r="EL159" s="228">
        <v>501.84</v>
      </c>
      <c r="EM159" s="228">
        <v>378.55</v>
      </c>
      <c r="EN159" s="228">
        <v>57.16</v>
      </c>
      <c r="EO159" s="231">
        <v>1739.16</v>
      </c>
      <c r="EP159" s="231">
        <v>2073.35</v>
      </c>
      <c r="EQ159" s="228">
        <v>-334.19</v>
      </c>
      <c r="ER159" s="229">
        <v>-0.16120000000000001</v>
      </c>
      <c r="ES159" s="231">
        <v>1114.6600000000001</v>
      </c>
      <c r="ET159" s="228">
        <v>804.16</v>
      </c>
      <c r="EU159" s="231">
        <v>2323.1</v>
      </c>
      <c r="EV159" s="231">
        <v>203602113</v>
      </c>
      <c r="EW159" s="231">
        <v>4241.92</v>
      </c>
      <c r="EX159" s="231">
        <v>4092.31</v>
      </c>
      <c r="EY159" s="228">
        <v>149.61000000000001</v>
      </c>
      <c r="EZ159" s="229">
        <v>3.6600000000000001E-2</v>
      </c>
      <c r="FA159" s="229">
        <v>0.5121</v>
      </c>
      <c r="FB159" s="227" t="s">
        <v>567</v>
      </c>
      <c r="FC159">
        <f t="shared" si="3"/>
        <v>0</v>
      </c>
    </row>
    <row r="160" spans="1:159" ht="17.25" thickBot="1" x14ac:dyDescent="0.3">
      <c r="A160" s="226">
        <v>45946</v>
      </c>
      <c r="B160" s="227" t="s">
        <v>184</v>
      </c>
      <c r="C160" s="227" t="s">
        <v>681</v>
      </c>
      <c r="D160" s="228">
        <v>700</v>
      </c>
      <c r="E160" s="228">
        <v>12</v>
      </c>
      <c r="F160" s="228">
        <v>569.70000000000005</v>
      </c>
      <c r="G160" s="228">
        <v>572.1</v>
      </c>
      <c r="H160" s="228">
        <v>-2.4</v>
      </c>
      <c r="I160" s="229">
        <v>-4.1999999999999997E-3</v>
      </c>
      <c r="J160" s="228">
        <v>568.85</v>
      </c>
      <c r="K160" s="228">
        <v>571.29999999999995</v>
      </c>
      <c r="L160" s="228">
        <v>-2.4500000000000002</v>
      </c>
      <c r="M160" s="229">
        <v>-4.3E-3</v>
      </c>
      <c r="N160" s="228">
        <v>569.70000000000005</v>
      </c>
      <c r="O160" s="228">
        <v>572.1</v>
      </c>
      <c r="P160" s="228">
        <v>-2.4</v>
      </c>
      <c r="Q160" s="229">
        <v>-4.1999999999999997E-3</v>
      </c>
      <c r="R160" s="228">
        <v>572.15</v>
      </c>
      <c r="S160" s="228">
        <v>574.25</v>
      </c>
      <c r="T160" s="228">
        <v>-2.1</v>
      </c>
      <c r="U160" s="229">
        <v>-3.7000000000000002E-3</v>
      </c>
      <c r="V160" s="228">
        <v>569.29999999999995</v>
      </c>
      <c r="W160" s="228">
        <v>574.9</v>
      </c>
      <c r="X160" s="228">
        <v>-5.6</v>
      </c>
      <c r="Y160" s="229">
        <v>-9.7000000000000003E-3</v>
      </c>
      <c r="Z160" s="228">
        <v>0.85</v>
      </c>
      <c r="AA160" s="228">
        <v>0.8</v>
      </c>
      <c r="AB160" s="228">
        <v>0.05</v>
      </c>
      <c r="AC160" s="229">
        <v>1.5E-3</v>
      </c>
      <c r="AD160" s="228">
        <v>0.85</v>
      </c>
      <c r="AE160" s="228">
        <v>0.8</v>
      </c>
      <c r="AF160" s="228">
        <v>0.05</v>
      </c>
      <c r="AG160" s="229">
        <v>1.5E-3</v>
      </c>
      <c r="AH160" s="228">
        <v>3.3</v>
      </c>
      <c r="AI160" s="228">
        <v>2.95</v>
      </c>
      <c r="AJ160" s="228">
        <v>0.35</v>
      </c>
      <c r="AK160" s="229">
        <v>5.7999999999999996E-3</v>
      </c>
      <c r="AL160" s="228">
        <v>0.45</v>
      </c>
      <c r="AM160" s="228">
        <v>3.6</v>
      </c>
      <c r="AN160" s="228">
        <v>-3.15</v>
      </c>
      <c r="AO160" s="229">
        <v>8.0000000000000004E-4</v>
      </c>
      <c r="AP160" s="228">
        <v>569.54999999999995</v>
      </c>
      <c r="AQ160" s="228">
        <v>571.65</v>
      </c>
      <c r="AR160" s="228">
        <v>0</v>
      </c>
      <c r="AS160" s="228">
        <v>108</v>
      </c>
      <c r="AT160" s="228">
        <v>189</v>
      </c>
      <c r="AU160" s="228">
        <v>-81</v>
      </c>
      <c r="AV160" s="229">
        <v>-0.42949999999999999</v>
      </c>
      <c r="AW160" s="228">
        <v>101</v>
      </c>
      <c r="AX160" s="228">
        <v>174</v>
      </c>
      <c r="AY160" s="228">
        <v>-73</v>
      </c>
      <c r="AZ160" s="229">
        <v>-0.42120000000000002</v>
      </c>
      <c r="BA160" s="228">
        <v>7</v>
      </c>
      <c r="BB160" s="228">
        <v>14</v>
      </c>
      <c r="BC160" s="228">
        <v>-7</v>
      </c>
      <c r="BD160" s="229">
        <v>-0.50690000000000002</v>
      </c>
      <c r="BE160" s="228">
        <v>0</v>
      </c>
      <c r="BF160" s="228">
        <v>1</v>
      </c>
      <c r="BG160" s="228">
        <v>-1</v>
      </c>
      <c r="BH160" s="229">
        <v>-0.85</v>
      </c>
      <c r="BI160" s="228">
        <v>297</v>
      </c>
      <c r="BJ160" s="228">
        <v>635</v>
      </c>
      <c r="BK160" s="228">
        <v>-339</v>
      </c>
      <c r="BL160" s="229">
        <v>-0.53290000000000004</v>
      </c>
      <c r="BM160" s="228">
        <v>128</v>
      </c>
      <c r="BN160" s="228">
        <v>297</v>
      </c>
      <c r="BO160" s="228">
        <v>-169</v>
      </c>
      <c r="BP160" s="229">
        <v>-0.56879999999999997</v>
      </c>
      <c r="BQ160" s="228">
        <v>532</v>
      </c>
      <c r="BR160" s="230">
        <v>1121</v>
      </c>
      <c r="BS160" s="228">
        <v>-588</v>
      </c>
      <c r="BT160" s="229">
        <v>-0.52500000000000002</v>
      </c>
      <c r="BU160" s="230">
        <v>1775795</v>
      </c>
      <c r="BV160" s="230">
        <v>2711165</v>
      </c>
      <c r="BW160" s="230">
        <v>-935370</v>
      </c>
      <c r="BX160" s="229">
        <v>-0.34499999999999997</v>
      </c>
      <c r="BY160" s="228">
        <v>533</v>
      </c>
      <c r="BZ160" s="228">
        <v>546</v>
      </c>
      <c r="CA160" s="228">
        <v>-13</v>
      </c>
      <c r="CB160" s="229">
        <v>-2.4E-2</v>
      </c>
      <c r="CC160" s="228">
        <v>501</v>
      </c>
      <c r="CD160" s="228">
        <v>517</v>
      </c>
      <c r="CE160" s="228">
        <v>-15</v>
      </c>
      <c r="CF160" s="229">
        <v>-2.9399999999999999E-2</v>
      </c>
      <c r="CG160" s="228">
        <v>28</v>
      </c>
      <c r="CH160" s="228">
        <v>26</v>
      </c>
      <c r="CI160" s="228">
        <v>2</v>
      </c>
      <c r="CJ160" s="229">
        <v>8.1699999999999995E-2</v>
      </c>
      <c r="CK160" s="228">
        <v>3</v>
      </c>
      <c r="CL160" s="228">
        <v>3</v>
      </c>
      <c r="CM160" s="228">
        <v>0</v>
      </c>
      <c r="CN160" s="229">
        <v>0</v>
      </c>
      <c r="CO160" s="228">
        <v>397</v>
      </c>
      <c r="CP160" s="228">
        <v>398</v>
      </c>
      <c r="CQ160" s="228">
        <v>-2</v>
      </c>
      <c r="CR160" s="229">
        <v>-4.0000000000000001E-3</v>
      </c>
      <c r="CS160" s="228">
        <v>287</v>
      </c>
      <c r="CT160" s="228">
        <v>284</v>
      </c>
      <c r="CU160" s="228">
        <v>2</v>
      </c>
      <c r="CV160" s="229">
        <v>8.3999999999999995E-3</v>
      </c>
      <c r="CW160" s="230">
        <v>1216</v>
      </c>
      <c r="CX160" s="230">
        <v>1228</v>
      </c>
      <c r="CY160" s="228">
        <v>-12</v>
      </c>
      <c r="CZ160" s="229">
        <v>-0.01</v>
      </c>
      <c r="DA160" s="228">
        <v>37.67</v>
      </c>
      <c r="DB160" s="228">
        <v>40.08</v>
      </c>
      <c r="DC160" s="228">
        <v>-2.41</v>
      </c>
      <c r="DD160" s="228">
        <v>-2.41</v>
      </c>
      <c r="DE160" s="228">
        <v>69.930000000000007</v>
      </c>
      <c r="DF160" s="228">
        <v>70.11</v>
      </c>
      <c r="DG160" s="228">
        <v>-32.26</v>
      </c>
      <c r="DH160" s="228">
        <v>-0.18</v>
      </c>
      <c r="DI160" s="228">
        <v>37.9</v>
      </c>
      <c r="DJ160" s="228">
        <v>40.24</v>
      </c>
      <c r="DK160" s="228">
        <v>-2.34</v>
      </c>
      <c r="DL160" s="228">
        <v>-2.34</v>
      </c>
      <c r="DM160" s="228">
        <v>37.130000000000003</v>
      </c>
      <c r="DN160" s="228">
        <v>39.75</v>
      </c>
      <c r="DO160" s="228">
        <v>-2.62</v>
      </c>
      <c r="DP160" s="228">
        <v>-2.62</v>
      </c>
      <c r="DQ160" s="228">
        <v>0.72</v>
      </c>
      <c r="DR160" s="228">
        <v>0.71</v>
      </c>
      <c r="DS160" s="228">
        <v>0.01</v>
      </c>
      <c r="DT160" s="229">
        <v>1.41E-2</v>
      </c>
      <c r="DU160" s="228">
        <v>600</v>
      </c>
      <c r="DV160" s="228">
        <v>500</v>
      </c>
      <c r="DW160" s="228">
        <v>0.43</v>
      </c>
      <c r="DX160" s="228">
        <v>0.47</v>
      </c>
      <c r="DY160" s="228">
        <v>-0.04</v>
      </c>
      <c r="DZ160" s="229">
        <v>-8.5099999999999995E-2</v>
      </c>
      <c r="EA160" s="229">
        <v>5.8500000000000003E-2</v>
      </c>
      <c r="EB160" s="230">
        <v>509600</v>
      </c>
      <c r="EC160" s="229">
        <v>4.3E-3</v>
      </c>
      <c r="ED160" s="229">
        <v>5.8500000000000003E-2</v>
      </c>
      <c r="EE160" s="228">
        <v>2.1</v>
      </c>
      <c r="EF160" s="229">
        <v>3.7000000000000002E-3</v>
      </c>
      <c r="EG160" s="230">
        <v>436193</v>
      </c>
      <c r="EH160" s="230">
        <v>949730</v>
      </c>
      <c r="EI160" s="229">
        <v>-0.54069999999999996</v>
      </c>
      <c r="EJ160" s="229">
        <v>0.24560000000000001</v>
      </c>
      <c r="EK160" s="228">
        <v>312.14999999999998</v>
      </c>
      <c r="EL160" s="228">
        <v>127.84</v>
      </c>
      <c r="EM160" s="228">
        <v>107.83</v>
      </c>
      <c r="EN160" s="228">
        <v>82.38</v>
      </c>
      <c r="EO160" s="228">
        <v>547.83000000000004</v>
      </c>
      <c r="EP160" s="231">
        <v>1161.21</v>
      </c>
      <c r="EQ160" s="228">
        <v>-613.39</v>
      </c>
      <c r="ER160" s="229">
        <v>-0.5282</v>
      </c>
      <c r="ES160" s="228">
        <v>413</v>
      </c>
      <c r="ET160" s="228">
        <v>267.66000000000003</v>
      </c>
      <c r="EU160" s="228">
        <v>532.66</v>
      </c>
      <c r="EV160" s="231">
        <v>23897684</v>
      </c>
      <c r="EW160" s="231">
        <v>1213.32</v>
      </c>
      <c r="EX160" s="231">
        <v>1228.3399999999999</v>
      </c>
      <c r="EY160" s="228">
        <v>-15.02</v>
      </c>
      <c r="EZ160" s="229">
        <v>-1.2200000000000001E-2</v>
      </c>
      <c r="FA160" s="229">
        <v>0.89319999999999999</v>
      </c>
      <c r="FB160" s="227" t="s">
        <v>568</v>
      </c>
      <c r="FC160">
        <f t="shared" si="3"/>
        <v>0</v>
      </c>
    </row>
    <row r="161" spans="1:159" ht="17.25" thickBot="1" x14ac:dyDescent="0.3">
      <c r="A161" s="226">
        <v>45946</v>
      </c>
      <c r="B161" s="227" t="s">
        <v>206</v>
      </c>
      <c r="C161" s="227" t="s">
        <v>645</v>
      </c>
      <c r="D161" s="228">
        <v>350</v>
      </c>
      <c r="E161" s="228">
        <v>12</v>
      </c>
      <c r="F161" s="231">
        <v>1701.4</v>
      </c>
      <c r="G161" s="231">
        <v>1678.6</v>
      </c>
      <c r="H161" s="228">
        <v>22.8</v>
      </c>
      <c r="I161" s="229">
        <v>1.3599999999999999E-2</v>
      </c>
      <c r="J161" s="231">
        <v>1694.9</v>
      </c>
      <c r="K161" s="231">
        <v>1676.3</v>
      </c>
      <c r="L161" s="228">
        <v>18.600000000000001</v>
      </c>
      <c r="M161" s="229">
        <v>1.11E-2</v>
      </c>
      <c r="N161" s="231">
        <v>1701.4</v>
      </c>
      <c r="O161" s="231">
        <v>1678.6</v>
      </c>
      <c r="P161" s="228">
        <v>22.8</v>
      </c>
      <c r="Q161" s="229">
        <v>1.3599999999999999E-2</v>
      </c>
      <c r="R161" s="231">
        <v>1710.5</v>
      </c>
      <c r="S161" s="231">
        <v>1687.6</v>
      </c>
      <c r="T161" s="228">
        <v>22.9</v>
      </c>
      <c r="U161" s="229">
        <v>1.3599999999999999E-2</v>
      </c>
      <c r="V161" s="231">
        <v>1738</v>
      </c>
      <c r="W161" s="231">
        <v>1698.8</v>
      </c>
      <c r="X161" s="228">
        <v>39.200000000000003</v>
      </c>
      <c r="Y161" s="229">
        <v>2.3099999999999999E-2</v>
      </c>
      <c r="Z161" s="228">
        <v>6.5</v>
      </c>
      <c r="AA161" s="228">
        <v>2.2999999999999998</v>
      </c>
      <c r="AB161" s="228">
        <v>4.2</v>
      </c>
      <c r="AC161" s="229">
        <v>3.8E-3</v>
      </c>
      <c r="AD161" s="228">
        <v>6.5</v>
      </c>
      <c r="AE161" s="228">
        <v>2.2999999999999998</v>
      </c>
      <c r="AF161" s="228">
        <v>4.2</v>
      </c>
      <c r="AG161" s="229">
        <v>3.8E-3</v>
      </c>
      <c r="AH161" s="228">
        <v>15.6</v>
      </c>
      <c r="AI161" s="228">
        <v>11.3</v>
      </c>
      <c r="AJ161" s="228">
        <v>4.3</v>
      </c>
      <c r="AK161" s="229">
        <v>9.1999999999999998E-3</v>
      </c>
      <c r="AL161" s="228">
        <v>43.1</v>
      </c>
      <c r="AM161" s="228">
        <v>22.5</v>
      </c>
      <c r="AN161" s="228">
        <v>20.6</v>
      </c>
      <c r="AO161" s="229">
        <v>2.5399999999999999E-2</v>
      </c>
      <c r="AP161" s="231">
        <v>1701.03</v>
      </c>
      <c r="AQ161" s="231">
        <v>1707.69</v>
      </c>
      <c r="AR161" s="228">
        <v>0</v>
      </c>
      <c r="AS161" s="228">
        <v>299</v>
      </c>
      <c r="AT161" s="228">
        <v>134</v>
      </c>
      <c r="AU161" s="228">
        <v>165</v>
      </c>
      <c r="AV161" s="229">
        <v>1.2306999999999999</v>
      </c>
      <c r="AW161" s="228">
        <v>273</v>
      </c>
      <c r="AX161" s="228">
        <v>125</v>
      </c>
      <c r="AY161" s="228">
        <v>148</v>
      </c>
      <c r="AZ161" s="229">
        <v>1.1858</v>
      </c>
      <c r="BA161" s="228">
        <v>25</v>
      </c>
      <c r="BB161" s="228">
        <v>9</v>
      </c>
      <c r="BC161" s="228">
        <v>16</v>
      </c>
      <c r="BD161" s="229">
        <v>1.8571</v>
      </c>
      <c r="BE161" s="228">
        <v>1</v>
      </c>
      <c r="BF161" s="228">
        <v>0</v>
      </c>
      <c r="BG161" s="228">
        <v>0</v>
      </c>
      <c r="BH161" s="229">
        <v>1.75</v>
      </c>
      <c r="BI161" s="228">
        <v>772</v>
      </c>
      <c r="BJ161" s="228">
        <v>674</v>
      </c>
      <c r="BK161" s="228">
        <v>98</v>
      </c>
      <c r="BL161" s="229">
        <v>0.1449</v>
      </c>
      <c r="BM161" s="228">
        <v>247</v>
      </c>
      <c r="BN161" s="228">
        <v>199</v>
      </c>
      <c r="BO161" s="228">
        <v>48</v>
      </c>
      <c r="BP161" s="229">
        <v>0.2412</v>
      </c>
      <c r="BQ161" s="230">
        <v>1318</v>
      </c>
      <c r="BR161" s="230">
        <v>1007</v>
      </c>
      <c r="BS161" s="228">
        <v>311</v>
      </c>
      <c r="BT161" s="229">
        <v>0.30830000000000002</v>
      </c>
      <c r="BU161" s="230">
        <v>1452253</v>
      </c>
      <c r="BV161" s="230">
        <v>1374910</v>
      </c>
      <c r="BW161" s="230">
        <v>77343</v>
      </c>
      <c r="BX161" s="229">
        <v>5.6300000000000003E-2</v>
      </c>
      <c r="BY161" s="228">
        <v>724</v>
      </c>
      <c r="BZ161" s="228">
        <v>668</v>
      </c>
      <c r="CA161" s="228">
        <v>56</v>
      </c>
      <c r="CB161" s="229">
        <v>8.4500000000000006E-2</v>
      </c>
      <c r="CC161" s="228">
        <v>706</v>
      </c>
      <c r="CD161" s="228">
        <v>652</v>
      </c>
      <c r="CE161" s="228">
        <v>55</v>
      </c>
      <c r="CF161" s="229">
        <v>8.3900000000000002E-2</v>
      </c>
      <c r="CG161" s="228">
        <v>16</v>
      </c>
      <c r="CH161" s="228">
        <v>15</v>
      </c>
      <c r="CI161" s="228">
        <v>1</v>
      </c>
      <c r="CJ161" s="229">
        <v>9.5600000000000004E-2</v>
      </c>
      <c r="CK161" s="228">
        <v>2</v>
      </c>
      <c r="CL161" s="228">
        <v>1</v>
      </c>
      <c r="CM161" s="228">
        <v>0</v>
      </c>
      <c r="CN161" s="229">
        <v>0.28570000000000001</v>
      </c>
      <c r="CO161" s="228">
        <v>264</v>
      </c>
      <c r="CP161" s="228">
        <v>193</v>
      </c>
      <c r="CQ161" s="228">
        <v>71</v>
      </c>
      <c r="CR161" s="229">
        <v>0.36509999999999998</v>
      </c>
      <c r="CS161" s="228">
        <v>195</v>
      </c>
      <c r="CT161" s="228">
        <v>149</v>
      </c>
      <c r="CU161" s="228">
        <v>46</v>
      </c>
      <c r="CV161" s="229">
        <v>0.30990000000000001</v>
      </c>
      <c r="CW161" s="230">
        <v>1183</v>
      </c>
      <c r="CX161" s="230">
        <v>1010</v>
      </c>
      <c r="CY161" s="228">
        <v>173</v>
      </c>
      <c r="CZ161" s="229">
        <v>0.1714</v>
      </c>
      <c r="DA161" s="228">
        <v>32.659999999999997</v>
      </c>
      <c r="DB161" s="228">
        <v>30.74</v>
      </c>
      <c r="DC161" s="228">
        <v>1.92</v>
      </c>
      <c r="DD161" s="228">
        <v>1.92</v>
      </c>
      <c r="DE161" s="228">
        <v>44.51</v>
      </c>
      <c r="DF161" s="228">
        <v>44.59</v>
      </c>
      <c r="DG161" s="228">
        <v>-11.85</v>
      </c>
      <c r="DH161" s="228">
        <v>-0.08</v>
      </c>
      <c r="DI161" s="228">
        <v>32.71</v>
      </c>
      <c r="DJ161" s="228">
        <v>30.29</v>
      </c>
      <c r="DK161" s="228">
        <v>2.42</v>
      </c>
      <c r="DL161" s="228">
        <v>2.42</v>
      </c>
      <c r="DM161" s="228">
        <v>32.53</v>
      </c>
      <c r="DN161" s="228">
        <v>32.26</v>
      </c>
      <c r="DO161" s="228">
        <v>0.27</v>
      </c>
      <c r="DP161" s="228">
        <v>0.27</v>
      </c>
      <c r="DQ161" s="228">
        <v>0.74</v>
      </c>
      <c r="DR161" s="228">
        <v>0.77</v>
      </c>
      <c r="DS161" s="228">
        <v>-0.03</v>
      </c>
      <c r="DT161" s="229">
        <v>-3.9E-2</v>
      </c>
      <c r="DU161" s="231">
        <v>1700</v>
      </c>
      <c r="DV161" s="231">
        <v>1640</v>
      </c>
      <c r="DW161" s="228">
        <v>0.32</v>
      </c>
      <c r="DX161" s="228">
        <v>0.28999999999999998</v>
      </c>
      <c r="DY161" s="228">
        <v>0.03</v>
      </c>
      <c r="DZ161" s="229">
        <v>0.10340000000000001</v>
      </c>
      <c r="EA161" s="229">
        <v>2.4799999999999999E-2</v>
      </c>
      <c r="EB161" s="230">
        <v>95200</v>
      </c>
      <c r="EC161" s="229">
        <v>5.3E-3</v>
      </c>
      <c r="ED161" s="229">
        <v>2.4799999999999999E-2</v>
      </c>
      <c r="EE161" s="228">
        <v>6.66</v>
      </c>
      <c r="EF161" s="229">
        <v>3.8999999999999998E-3</v>
      </c>
      <c r="EG161" s="230">
        <v>888110</v>
      </c>
      <c r="EH161" s="230">
        <v>812774</v>
      </c>
      <c r="EI161" s="229">
        <v>9.2700000000000005E-2</v>
      </c>
      <c r="EJ161" s="229">
        <v>0.61150000000000004</v>
      </c>
      <c r="EK161" s="228">
        <v>795.62</v>
      </c>
      <c r="EL161" s="228">
        <v>242.6</v>
      </c>
      <c r="EM161" s="228">
        <v>298.92</v>
      </c>
      <c r="EN161" s="228">
        <v>18.04</v>
      </c>
      <c r="EO161" s="231">
        <v>1337.14</v>
      </c>
      <c r="EP161" s="231">
        <v>1001.66</v>
      </c>
      <c r="EQ161" s="228">
        <v>335.48</v>
      </c>
      <c r="ER161" s="229">
        <v>0.33489999999999998</v>
      </c>
      <c r="ES161" s="228">
        <v>264.66000000000003</v>
      </c>
      <c r="ET161" s="228">
        <v>184.42</v>
      </c>
      <c r="EU161" s="228">
        <v>724.42</v>
      </c>
      <c r="EV161" s="231">
        <v>28283155</v>
      </c>
      <c r="EW161" s="231">
        <v>1173.5</v>
      </c>
      <c r="EX161" s="228">
        <v>989.47</v>
      </c>
      <c r="EY161" s="228">
        <v>184.03</v>
      </c>
      <c r="EZ161" s="229">
        <v>0.186</v>
      </c>
      <c r="FA161" s="229">
        <v>0.24590000000000001</v>
      </c>
      <c r="FB161" s="227" t="s">
        <v>555</v>
      </c>
      <c r="FC161">
        <f t="shared" si="3"/>
        <v>0</v>
      </c>
    </row>
    <row r="162" spans="1:159" ht="17.25" thickBot="1" x14ac:dyDescent="0.3">
      <c r="A162" s="226">
        <v>45946</v>
      </c>
      <c r="B162" s="227" t="s">
        <v>168</v>
      </c>
      <c r="C162" s="227" t="s">
        <v>274</v>
      </c>
      <c r="D162" s="228">
        <v>500</v>
      </c>
      <c r="E162" s="228">
        <v>12</v>
      </c>
      <c r="F162" s="231">
        <v>1524.4</v>
      </c>
      <c r="G162" s="231">
        <v>1507.8</v>
      </c>
      <c r="H162" s="228">
        <v>16.600000000000001</v>
      </c>
      <c r="I162" s="229">
        <v>1.0999999999999999E-2</v>
      </c>
      <c r="J162" s="231">
        <v>1523</v>
      </c>
      <c r="K162" s="231">
        <v>1500.8</v>
      </c>
      <c r="L162" s="228">
        <v>22.2</v>
      </c>
      <c r="M162" s="229">
        <v>1.4800000000000001E-2</v>
      </c>
      <c r="N162" s="231">
        <v>1524.4</v>
      </c>
      <c r="O162" s="231">
        <v>1507.8</v>
      </c>
      <c r="P162" s="228">
        <v>16.600000000000001</v>
      </c>
      <c r="Q162" s="229">
        <v>1.0999999999999999E-2</v>
      </c>
      <c r="R162" s="231">
        <v>1532</v>
      </c>
      <c r="S162" s="231">
        <v>1515.5</v>
      </c>
      <c r="T162" s="228">
        <v>16.5</v>
      </c>
      <c r="U162" s="229">
        <v>1.09E-2</v>
      </c>
      <c r="V162" s="231">
        <v>1539</v>
      </c>
      <c r="W162" s="231">
        <v>1526.2</v>
      </c>
      <c r="X162" s="228">
        <v>12.8</v>
      </c>
      <c r="Y162" s="229">
        <v>8.3999999999999995E-3</v>
      </c>
      <c r="Z162" s="228">
        <v>1.4</v>
      </c>
      <c r="AA162" s="228">
        <v>7</v>
      </c>
      <c r="AB162" s="228">
        <v>-5.6</v>
      </c>
      <c r="AC162" s="229">
        <v>8.9999999999999998E-4</v>
      </c>
      <c r="AD162" s="228">
        <v>1.4</v>
      </c>
      <c r="AE162" s="228">
        <v>7</v>
      </c>
      <c r="AF162" s="228">
        <v>-5.6</v>
      </c>
      <c r="AG162" s="229">
        <v>8.9999999999999998E-4</v>
      </c>
      <c r="AH162" s="228">
        <v>9</v>
      </c>
      <c r="AI162" s="228">
        <v>14.7</v>
      </c>
      <c r="AJ162" s="228">
        <v>-5.7</v>
      </c>
      <c r="AK162" s="229">
        <v>5.8999999999999999E-3</v>
      </c>
      <c r="AL162" s="228">
        <v>16</v>
      </c>
      <c r="AM162" s="228">
        <v>25.4</v>
      </c>
      <c r="AN162" s="228">
        <v>-9.4</v>
      </c>
      <c r="AO162" s="229">
        <v>1.0500000000000001E-2</v>
      </c>
      <c r="AP162" s="231">
        <v>1521.17</v>
      </c>
      <c r="AQ162" s="231">
        <v>1528.52</v>
      </c>
      <c r="AR162" s="228">
        <v>0</v>
      </c>
      <c r="AS162" s="228">
        <v>150</v>
      </c>
      <c r="AT162" s="228">
        <v>126</v>
      </c>
      <c r="AU162" s="228">
        <v>24</v>
      </c>
      <c r="AV162" s="229">
        <v>0.188</v>
      </c>
      <c r="AW162" s="228">
        <v>139</v>
      </c>
      <c r="AX162" s="228">
        <v>117</v>
      </c>
      <c r="AY162" s="228">
        <v>22</v>
      </c>
      <c r="AZ162" s="229">
        <v>0.18490000000000001</v>
      </c>
      <c r="BA162" s="228">
        <v>11</v>
      </c>
      <c r="BB162" s="228">
        <v>9</v>
      </c>
      <c r="BC162" s="228">
        <v>2</v>
      </c>
      <c r="BD162" s="229">
        <v>0.22220000000000001</v>
      </c>
      <c r="BE162" s="228">
        <v>0</v>
      </c>
      <c r="BF162" s="228">
        <v>0</v>
      </c>
      <c r="BG162" s="228">
        <v>0</v>
      </c>
      <c r="BH162" s="229">
        <v>1</v>
      </c>
      <c r="BI162" s="228">
        <v>372</v>
      </c>
      <c r="BJ162" s="228">
        <v>171</v>
      </c>
      <c r="BK162" s="228">
        <v>201</v>
      </c>
      <c r="BL162" s="229">
        <v>1.1779999999999999</v>
      </c>
      <c r="BM162" s="228">
        <v>106</v>
      </c>
      <c r="BN162" s="228">
        <v>89</v>
      </c>
      <c r="BO162" s="228">
        <v>17</v>
      </c>
      <c r="BP162" s="229">
        <v>0.18740000000000001</v>
      </c>
      <c r="BQ162" s="228">
        <v>628</v>
      </c>
      <c r="BR162" s="228">
        <v>386</v>
      </c>
      <c r="BS162" s="228">
        <v>242</v>
      </c>
      <c r="BT162" s="229">
        <v>0.62560000000000004</v>
      </c>
      <c r="BU162" s="230">
        <v>514596</v>
      </c>
      <c r="BV162" s="230">
        <v>421734</v>
      </c>
      <c r="BW162" s="230">
        <v>92862</v>
      </c>
      <c r="BX162" s="229">
        <v>0.22020000000000001</v>
      </c>
      <c r="BY162" s="230">
        <v>1467</v>
      </c>
      <c r="BZ162" s="230">
        <v>1485</v>
      </c>
      <c r="CA162" s="228">
        <v>-18</v>
      </c>
      <c r="CB162" s="229">
        <v>-1.21E-2</v>
      </c>
      <c r="CC162" s="230">
        <v>1446</v>
      </c>
      <c r="CD162" s="230">
        <v>1466</v>
      </c>
      <c r="CE162" s="228">
        <v>-20</v>
      </c>
      <c r="CF162" s="229">
        <v>-1.3599999999999999E-2</v>
      </c>
      <c r="CG162" s="228">
        <v>21</v>
      </c>
      <c r="CH162" s="228">
        <v>19</v>
      </c>
      <c r="CI162" s="228">
        <v>2</v>
      </c>
      <c r="CJ162" s="229">
        <v>0.11070000000000001</v>
      </c>
      <c r="CK162" s="228">
        <v>1</v>
      </c>
      <c r="CL162" s="228">
        <v>1</v>
      </c>
      <c r="CM162" s="228">
        <v>0</v>
      </c>
      <c r="CN162" s="229">
        <v>-0.125</v>
      </c>
      <c r="CO162" s="228">
        <v>224</v>
      </c>
      <c r="CP162" s="228">
        <v>210</v>
      </c>
      <c r="CQ162" s="228">
        <v>14</v>
      </c>
      <c r="CR162" s="229">
        <v>6.7699999999999996E-2</v>
      </c>
      <c r="CS162" s="228">
        <v>145</v>
      </c>
      <c r="CT162" s="228">
        <v>130</v>
      </c>
      <c r="CU162" s="228">
        <v>15</v>
      </c>
      <c r="CV162" s="229">
        <v>0.1182</v>
      </c>
      <c r="CW162" s="230">
        <v>1836</v>
      </c>
      <c r="CX162" s="230">
        <v>1824</v>
      </c>
      <c r="CY162" s="228">
        <v>12</v>
      </c>
      <c r="CZ162" s="229">
        <v>6.3E-3</v>
      </c>
      <c r="DA162" s="228">
        <v>18.920000000000002</v>
      </c>
      <c r="DB162" s="228">
        <v>17.399999999999999</v>
      </c>
      <c r="DC162" s="228">
        <v>1.52</v>
      </c>
      <c r="DD162" s="228">
        <v>1.52</v>
      </c>
      <c r="DE162" s="228">
        <v>22.14</v>
      </c>
      <c r="DF162" s="228">
        <v>22.1</v>
      </c>
      <c r="DG162" s="228">
        <v>-3.22</v>
      </c>
      <c r="DH162" s="228">
        <v>0.04</v>
      </c>
      <c r="DI162" s="228">
        <v>18.88</v>
      </c>
      <c r="DJ162" s="228">
        <v>17.32</v>
      </c>
      <c r="DK162" s="228">
        <v>1.56</v>
      </c>
      <c r="DL162" s="228">
        <v>1.56</v>
      </c>
      <c r="DM162" s="228">
        <v>19.07</v>
      </c>
      <c r="DN162" s="228">
        <v>17.55</v>
      </c>
      <c r="DO162" s="228">
        <v>1.52</v>
      </c>
      <c r="DP162" s="228">
        <v>1.52</v>
      </c>
      <c r="DQ162" s="228">
        <v>0.65</v>
      </c>
      <c r="DR162" s="228">
        <v>0.62</v>
      </c>
      <c r="DS162" s="228">
        <v>0.03</v>
      </c>
      <c r="DT162" s="229">
        <v>4.8399999999999999E-2</v>
      </c>
      <c r="DU162" s="231">
        <v>1550</v>
      </c>
      <c r="DV162" s="231">
        <v>1500</v>
      </c>
      <c r="DW162" s="228">
        <v>0.28999999999999998</v>
      </c>
      <c r="DX162" s="228">
        <v>0.52</v>
      </c>
      <c r="DY162" s="228">
        <v>-0.23</v>
      </c>
      <c r="DZ162" s="229">
        <v>-0.44230000000000003</v>
      </c>
      <c r="EA162" s="229">
        <v>1.44E-2</v>
      </c>
      <c r="EB162" s="230">
        <v>126000</v>
      </c>
      <c r="EC162" s="229">
        <v>5.0000000000000001E-3</v>
      </c>
      <c r="ED162" s="229">
        <v>1.44E-2</v>
      </c>
      <c r="EE162" s="228">
        <v>7.35</v>
      </c>
      <c r="EF162" s="229">
        <v>4.7999999999999996E-3</v>
      </c>
      <c r="EG162" s="230">
        <v>332258</v>
      </c>
      <c r="EH162" s="230">
        <v>271566</v>
      </c>
      <c r="EI162" s="229">
        <v>0.2235</v>
      </c>
      <c r="EJ162" s="229">
        <v>0.64570000000000005</v>
      </c>
      <c r="EK162" s="228">
        <v>380.05</v>
      </c>
      <c r="EL162" s="228">
        <v>104.33</v>
      </c>
      <c r="EM162" s="228">
        <v>149.51</v>
      </c>
      <c r="EN162" s="228">
        <v>19.25</v>
      </c>
      <c r="EO162" s="228">
        <v>633.89</v>
      </c>
      <c r="EP162" s="228">
        <v>385.02</v>
      </c>
      <c r="EQ162" s="228">
        <v>248.87</v>
      </c>
      <c r="ER162" s="229">
        <v>0.64639999999999997</v>
      </c>
      <c r="ES162" s="228">
        <v>226.46</v>
      </c>
      <c r="ET162" s="228">
        <v>139.86000000000001</v>
      </c>
      <c r="EU162" s="231">
        <v>1467.34</v>
      </c>
      <c r="EV162" s="231">
        <v>31170515</v>
      </c>
      <c r="EW162" s="231">
        <v>1833.66</v>
      </c>
      <c r="EX162" s="231">
        <v>1805.47</v>
      </c>
      <c r="EY162" s="228">
        <v>28.19</v>
      </c>
      <c r="EZ162" s="229">
        <v>1.5599999999999999E-2</v>
      </c>
      <c r="FA162" s="229">
        <v>0.38640000000000002</v>
      </c>
      <c r="FB162" s="227" t="s">
        <v>556</v>
      </c>
      <c r="FC162">
        <f t="shared" si="3"/>
        <v>0</v>
      </c>
    </row>
    <row r="163" spans="1:159" ht="17.25" thickBot="1" x14ac:dyDescent="0.3">
      <c r="A163" s="226">
        <v>45946</v>
      </c>
      <c r="B163" s="227" t="s">
        <v>498</v>
      </c>
      <c r="C163" s="227" t="s">
        <v>483</v>
      </c>
      <c r="D163" s="228">
        <v>175</v>
      </c>
      <c r="E163" s="228">
        <v>12</v>
      </c>
      <c r="F163" s="231">
        <v>3564.2</v>
      </c>
      <c r="G163" s="231">
        <v>3561.6</v>
      </c>
      <c r="H163" s="228">
        <v>2.6</v>
      </c>
      <c r="I163" s="229">
        <v>6.9999999999999999E-4</v>
      </c>
      <c r="J163" s="231">
        <v>3550.3</v>
      </c>
      <c r="K163" s="231">
        <v>3555.3</v>
      </c>
      <c r="L163" s="228">
        <v>-5</v>
      </c>
      <c r="M163" s="229">
        <v>-1.4E-3</v>
      </c>
      <c r="N163" s="231">
        <v>3564.2</v>
      </c>
      <c r="O163" s="231">
        <v>3561.6</v>
      </c>
      <c r="P163" s="228">
        <v>2.6</v>
      </c>
      <c r="Q163" s="229">
        <v>6.9999999999999999E-4</v>
      </c>
      <c r="R163" s="231">
        <v>3578.7</v>
      </c>
      <c r="S163" s="231">
        <v>3572</v>
      </c>
      <c r="T163" s="228">
        <v>6.7</v>
      </c>
      <c r="U163" s="229">
        <v>1.9E-3</v>
      </c>
      <c r="V163" s="231">
        <v>3590</v>
      </c>
      <c r="W163" s="231">
        <v>3588</v>
      </c>
      <c r="X163" s="228">
        <v>2</v>
      </c>
      <c r="Y163" s="229">
        <v>5.9999999999999995E-4</v>
      </c>
      <c r="Z163" s="228">
        <v>13.9</v>
      </c>
      <c r="AA163" s="228">
        <v>6.3</v>
      </c>
      <c r="AB163" s="228">
        <v>7.6</v>
      </c>
      <c r="AC163" s="229">
        <v>3.8999999999999998E-3</v>
      </c>
      <c r="AD163" s="228">
        <v>13.9</v>
      </c>
      <c r="AE163" s="228">
        <v>6.3</v>
      </c>
      <c r="AF163" s="228">
        <v>7.6</v>
      </c>
      <c r="AG163" s="229">
        <v>3.8999999999999998E-3</v>
      </c>
      <c r="AH163" s="228">
        <v>28.4</v>
      </c>
      <c r="AI163" s="228">
        <v>16.7</v>
      </c>
      <c r="AJ163" s="228">
        <v>11.7</v>
      </c>
      <c r="AK163" s="229">
        <v>8.0000000000000002E-3</v>
      </c>
      <c r="AL163" s="228">
        <v>39.700000000000003</v>
      </c>
      <c r="AM163" s="228">
        <v>32.700000000000003</v>
      </c>
      <c r="AN163" s="228">
        <v>7</v>
      </c>
      <c r="AO163" s="229">
        <v>1.12E-2</v>
      </c>
      <c r="AP163" s="231">
        <v>3567.56</v>
      </c>
      <c r="AQ163" s="231">
        <v>3575.09</v>
      </c>
      <c r="AR163" s="228">
        <v>0</v>
      </c>
      <c r="AS163" s="228">
        <v>92</v>
      </c>
      <c r="AT163" s="228">
        <v>44</v>
      </c>
      <c r="AU163" s="228">
        <v>47</v>
      </c>
      <c r="AV163" s="229">
        <v>1.0720000000000001</v>
      </c>
      <c r="AW163" s="228">
        <v>85</v>
      </c>
      <c r="AX163" s="228">
        <v>42</v>
      </c>
      <c r="AY163" s="228">
        <v>43</v>
      </c>
      <c r="AZ163" s="229">
        <v>1.0103</v>
      </c>
      <c r="BA163" s="228">
        <v>6</v>
      </c>
      <c r="BB163" s="228">
        <v>2</v>
      </c>
      <c r="BC163" s="228">
        <v>5</v>
      </c>
      <c r="BD163" s="229">
        <v>2.7037</v>
      </c>
      <c r="BE163" s="228">
        <v>0</v>
      </c>
      <c r="BF163" s="228">
        <v>0</v>
      </c>
      <c r="BG163" s="228">
        <v>0</v>
      </c>
      <c r="BH163" s="229">
        <v>0</v>
      </c>
      <c r="BI163" s="228">
        <v>131</v>
      </c>
      <c r="BJ163" s="228">
        <v>104</v>
      </c>
      <c r="BK163" s="228">
        <v>28</v>
      </c>
      <c r="BL163" s="229">
        <v>0.26840000000000003</v>
      </c>
      <c r="BM163" s="228">
        <v>36</v>
      </c>
      <c r="BN163" s="228">
        <v>17</v>
      </c>
      <c r="BO163" s="228">
        <v>20</v>
      </c>
      <c r="BP163" s="229">
        <v>1.1887000000000001</v>
      </c>
      <c r="BQ163" s="228">
        <v>259</v>
      </c>
      <c r="BR163" s="228">
        <v>164</v>
      </c>
      <c r="BS163" s="228">
        <v>95</v>
      </c>
      <c r="BT163" s="229">
        <v>0.57689999999999997</v>
      </c>
      <c r="BU163" s="230">
        <v>86224</v>
      </c>
      <c r="BV163" s="230">
        <v>94603</v>
      </c>
      <c r="BW163" s="230">
        <v>-8379</v>
      </c>
      <c r="BX163" s="229">
        <v>-8.8599999999999998E-2</v>
      </c>
      <c r="BY163" s="228">
        <v>663</v>
      </c>
      <c r="BZ163" s="228">
        <v>659</v>
      </c>
      <c r="CA163" s="228">
        <v>4</v>
      </c>
      <c r="CB163" s="229">
        <v>6.7999999999999996E-3</v>
      </c>
      <c r="CC163" s="228">
        <v>644</v>
      </c>
      <c r="CD163" s="228">
        <v>641</v>
      </c>
      <c r="CE163" s="228">
        <v>3</v>
      </c>
      <c r="CF163" s="229">
        <v>4.4000000000000003E-3</v>
      </c>
      <c r="CG163" s="228">
        <v>18</v>
      </c>
      <c r="CH163" s="228">
        <v>16</v>
      </c>
      <c r="CI163" s="228">
        <v>2</v>
      </c>
      <c r="CJ163" s="229">
        <v>9.8900000000000002E-2</v>
      </c>
      <c r="CK163" s="228">
        <v>1</v>
      </c>
      <c r="CL163" s="228">
        <v>1</v>
      </c>
      <c r="CM163" s="228">
        <v>0</v>
      </c>
      <c r="CN163" s="229">
        <v>4.3499999999999997E-2</v>
      </c>
      <c r="CO163" s="228">
        <v>187</v>
      </c>
      <c r="CP163" s="228">
        <v>177</v>
      </c>
      <c r="CQ163" s="228">
        <v>10</v>
      </c>
      <c r="CR163" s="229">
        <v>5.5899999999999998E-2</v>
      </c>
      <c r="CS163" s="228">
        <v>108</v>
      </c>
      <c r="CT163" s="228">
        <v>108</v>
      </c>
      <c r="CU163" s="228">
        <v>0</v>
      </c>
      <c r="CV163" s="229">
        <v>5.9999999999999995E-4</v>
      </c>
      <c r="CW163" s="228">
        <v>958</v>
      </c>
      <c r="CX163" s="228">
        <v>943</v>
      </c>
      <c r="CY163" s="228">
        <v>14</v>
      </c>
      <c r="CZ163" s="229">
        <v>1.5299999999999999E-2</v>
      </c>
      <c r="DA163" s="228">
        <v>24.13</v>
      </c>
      <c r="DB163" s="228">
        <v>24.46</v>
      </c>
      <c r="DC163" s="228">
        <v>-0.33</v>
      </c>
      <c r="DD163" s="228">
        <v>-0.33</v>
      </c>
      <c r="DE163" s="228">
        <v>30.12</v>
      </c>
      <c r="DF163" s="228">
        <v>30.19</v>
      </c>
      <c r="DG163" s="228">
        <v>-5.99</v>
      </c>
      <c r="DH163" s="228">
        <v>-7.0000000000000007E-2</v>
      </c>
      <c r="DI163" s="228">
        <v>24.27</v>
      </c>
      <c r="DJ163" s="228">
        <v>24.53</v>
      </c>
      <c r="DK163" s="228">
        <v>-0.26</v>
      </c>
      <c r="DL163" s="228">
        <v>-0.26</v>
      </c>
      <c r="DM163" s="228">
        <v>23.62</v>
      </c>
      <c r="DN163" s="228">
        <v>24.01</v>
      </c>
      <c r="DO163" s="228">
        <v>-0.39</v>
      </c>
      <c r="DP163" s="228">
        <v>-0.39</v>
      </c>
      <c r="DQ163" s="228">
        <v>0.56999999999999995</v>
      </c>
      <c r="DR163" s="228">
        <v>0.61</v>
      </c>
      <c r="DS163" s="228">
        <v>-0.04</v>
      </c>
      <c r="DT163" s="229">
        <v>-6.5600000000000006E-2</v>
      </c>
      <c r="DU163" s="231">
        <v>3800</v>
      </c>
      <c r="DV163" s="231">
        <v>3400</v>
      </c>
      <c r="DW163" s="228">
        <v>0.28000000000000003</v>
      </c>
      <c r="DX163" s="228">
        <v>0.16</v>
      </c>
      <c r="DY163" s="228">
        <v>0.12</v>
      </c>
      <c r="DZ163" s="229">
        <v>0.75</v>
      </c>
      <c r="EA163" s="229">
        <v>2.9399999999999999E-2</v>
      </c>
      <c r="EB163" s="230">
        <v>50050</v>
      </c>
      <c r="EC163" s="229">
        <v>4.1000000000000003E-3</v>
      </c>
      <c r="ED163" s="229">
        <v>2.9399999999999999E-2</v>
      </c>
      <c r="EE163" s="228">
        <v>7.53</v>
      </c>
      <c r="EF163" s="229">
        <v>2.0999999999999999E-3</v>
      </c>
      <c r="EG163" s="230">
        <v>43984</v>
      </c>
      <c r="EH163" s="230">
        <v>63484</v>
      </c>
      <c r="EI163" s="229">
        <v>-0.30719999999999997</v>
      </c>
      <c r="EJ163" s="229">
        <v>0.5101</v>
      </c>
      <c r="EK163" s="228">
        <v>135.99</v>
      </c>
      <c r="EL163" s="228">
        <v>36.270000000000003</v>
      </c>
      <c r="EM163" s="228">
        <v>91.6</v>
      </c>
      <c r="EN163" s="228">
        <v>19.989999999999998</v>
      </c>
      <c r="EO163" s="228">
        <v>263.87</v>
      </c>
      <c r="EP163" s="228">
        <v>168.42</v>
      </c>
      <c r="EQ163" s="228">
        <v>95.45</v>
      </c>
      <c r="ER163" s="229">
        <v>0.56669999999999998</v>
      </c>
      <c r="ES163" s="228">
        <v>194.89</v>
      </c>
      <c r="ET163" s="228">
        <v>106.27</v>
      </c>
      <c r="EU163" s="228">
        <v>663.24</v>
      </c>
      <c r="EV163" s="231">
        <v>8178275</v>
      </c>
      <c r="EW163" s="228">
        <v>964.4</v>
      </c>
      <c r="EX163" s="228">
        <v>948.88</v>
      </c>
      <c r="EY163" s="228">
        <v>15.52</v>
      </c>
      <c r="EZ163" s="229">
        <v>1.6400000000000001E-2</v>
      </c>
      <c r="FA163" s="229">
        <v>0.3286</v>
      </c>
      <c r="FB163" s="227" t="s">
        <v>555</v>
      </c>
      <c r="FC163">
        <f t="shared" si="3"/>
        <v>0</v>
      </c>
    </row>
    <row r="164" spans="1:159" ht="17.25" thickBot="1" x14ac:dyDescent="0.3">
      <c r="A164" s="226">
        <v>45946</v>
      </c>
      <c r="B164" s="227" t="s">
        <v>172</v>
      </c>
      <c r="C164" s="227" t="s">
        <v>275</v>
      </c>
      <c r="D164" s="228">
        <v>8000</v>
      </c>
      <c r="E164" s="228">
        <v>12</v>
      </c>
      <c r="F164" s="228">
        <v>116.57</v>
      </c>
      <c r="G164" s="228">
        <v>116.9</v>
      </c>
      <c r="H164" s="228">
        <v>-0.33</v>
      </c>
      <c r="I164" s="229">
        <v>-2.8E-3</v>
      </c>
      <c r="J164" s="228">
        <v>116.11</v>
      </c>
      <c r="K164" s="228">
        <v>116.4</v>
      </c>
      <c r="L164" s="228">
        <v>-0.28999999999999998</v>
      </c>
      <c r="M164" s="229">
        <v>-2.5000000000000001E-3</v>
      </c>
      <c r="N164" s="228">
        <v>116.57</v>
      </c>
      <c r="O164" s="228">
        <v>116.9</v>
      </c>
      <c r="P164" s="228">
        <v>-0.33</v>
      </c>
      <c r="Q164" s="229">
        <v>-2.8E-3</v>
      </c>
      <c r="R164" s="228">
        <v>117.17</v>
      </c>
      <c r="S164" s="228">
        <v>117.47</v>
      </c>
      <c r="T164" s="228">
        <v>-0.3</v>
      </c>
      <c r="U164" s="229">
        <v>-2.5999999999999999E-3</v>
      </c>
      <c r="V164" s="228">
        <v>117.9</v>
      </c>
      <c r="W164" s="228">
        <v>118.2</v>
      </c>
      <c r="X164" s="228">
        <v>-0.3</v>
      </c>
      <c r="Y164" s="229">
        <v>-2.5000000000000001E-3</v>
      </c>
      <c r="Z164" s="228">
        <v>0.46</v>
      </c>
      <c r="AA164" s="228">
        <v>0.5</v>
      </c>
      <c r="AB164" s="228">
        <v>-0.04</v>
      </c>
      <c r="AC164" s="229">
        <v>4.0000000000000001E-3</v>
      </c>
      <c r="AD164" s="228">
        <v>0.46</v>
      </c>
      <c r="AE164" s="228">
        <v>0.5</v>
      </c>
      <c r="AF164" s="228">
        <v>-0.04</v>
      </c>
      <c r="AG164" s="229">
        <v>4.0000000000000001E-3</v>
      </c>
      <c r="AH164" s="228">
        <v>1.06</v>
      </c>
      <c r="AI164" s="228">
        <v>1.07</v>
      </c>
      <c r="AJ164" s="228">
        <v>-0.01</v>
      </c>
      <c r="AK164" s="229">
        <v>9.1000000000000004E-3</v>
      </c>
      <c r="AL164" s="228">
        <v>1.79</v>
      </c>
      <c r="AM164" s="228">
        <v>1.8</v>
      </c>
      <c r="AN164" s="228">
        <v>-0.01</v>
      </c>
      <c r="AO164" s="229">
        <v>1.54E-2</v>
      </c>
      <c r="AP164" s="228">
        <v>117.45</v>
      </c>
      <c r="AQ164" s="228">
        <v>118.11</v>
      </c>
      <c r="AR164" s="228">
        <v>0</v>
      </c>
      <c r="AS164" s="228">
        <v>725</v>
      </c>
      <c r="AT164" s="228">
        <v>521</v>
      </c>
      <c r="AU164" s="228">
        <v>204</v>
      </c>
      <c r="AV164" s="229">
        <v>0.39129999999999998</v>
      </c>
      <c r="AW164" s="228">
        <v>615</v>
      </c>
      <c r="AX164" s="228">
        <v>425</v>
      </c>
      <c r="AY164" s="228">
        <v>189</v>
      </c>
      <c r="AZ164" s="229">
        <v>0.44519999999999998</v>
      </c>
      <c r="BA164" s="228">
        <v>102</v>
      </c>
      <c r="BB164" s="228">
        <v>91</v>
      </c>
      <c r="BC164" s="228">
        <v>11</v>
      </c>
      <c r="BD164" s="229">
        <v>0.1217</v>
      </c>
      <c r="BE164" s="228">
        <v>8</v>
      </c>
      <c r="BF164" s="228">
        <v>4</v>
      </c>
      <c r="BG164" s="228">
        <v>3</v>
      </c>
      <c r="BH164" s="229">
        <v>0.76600000000000001</v>
      </c>
      <c r="BI164" s="230">
        <v>1947</v>
      </c>
      <c r="BJ164" s="230">
        <v>1640</v>
      </c>
      <c r="BK164" s="228">
        <v>307</v>
      </c>
      <c r="BL164" s="229">
        <v>0.18740000000000001</v>
      </c>
      <c r="BM164" s="230">
        <v>1239</v>
      </c>
      <c r="BN164" s="228">
        <v>907</v>
      </c>
      <c r="BO164" s="228">
        <v>332</v>
      </c>
      <c r="BP164" s="229">
        <v>0.36620000000000003</v>
      </c>
      <c r="BQ164" s="230">
        <v>3911</v>
      </c>
      <c r="BR164" s="230">
        <v>3068</v>
      </c>
      <c r="BS164" s="228">
        <v>843</v>
      </c>
      <c r="BT164" s="229">
        <v>0.27489999999999998</v>
      </c>
      <c r="BU164" s="230">
        <v>17353696</v>
      </c>
      <c r="BV164" s="230">
        <v>12333709</v>
      </c>
      <c r="BW164" s="230">
        <v>5019987</v>
      </c>
      <c r="BX164" s="229">
        <v>0.40699999999999997</v>
      </c>
      <c r="BY164" s="230">
        <v>2899</v>
      </c>
      <c r="BZ164" s="230">
        <v>3000</v>
      </c>
      <c r="CA164" s="228">
        <v>-101</v>
      </c>
      <c r="CB164" s="229">
        <v>-3.3700000000000001E-2</v>
      </c>
      <c r="CC164" s="230">
        <v>2613</v>
      </c>
      <c r="CD164" s="230">
        <v>2748</v>
      </c>
      <c r="CE164" s="228">
        <v>-135</v>
      </c>
      <c r="CF164" s="229">
        <v>-4.9000000000000002E-2</v>
      </c>
      <c r="CG164" s="228">
        <v>263</v>
      </c>
      <c r="CH164" s="228">
        <v>230</v>
      </c>
      <c r="CI164" s="228">
        <v>33</v>
      </c>
      <c r="CJ164" s="229">
        <v>0.14330000000000001</v>
      </c>
      <c r="CK164" s="228">
        <v>23</v>
      </c>
      <c r="CL164" s="228">
        <v>23</v>
      </c>
      <c r="CM164" s="228">
        <v>1</v>
      </c>
      <c r="CN164" s="229">
        <v>2.47E-2</v>
      </c>
      <c r="CO164" s="230">
        <v>1488</v>
      </c>
      <c r="CP164" s="230">
        <v>1426</v>
      </c>
      <c r="CQ164" s="228">
        <v>62</v>
      </c>
      <c r="CR164" s="229">
        <v>4.3400000000000001E-2</v>
      </c>
      <c r="CS164" s="230">
        <v>1196</v>
      </c>
      <c r="CT164" s="230">
        <v>1150</v>
      </c>
      <c r="CU164" s="228">
        <v>46</v>
      </c>
      <c r="CV164" s="229">
        <v>3.9699999999999999E-2</v>
      </c>
      <c r="CW164" s="230">
        <v>5583</v>
      </c>
      <c r="CX164" s="230">
        <v>5576</v>
      </c>
      <c r="CY164" s="228">
        <v>6</v>
      </c>
      <c r="CZ164" s="229">
        <v>1.1000000000000001E-3</v>
      </c>
      <c r="DA164" s="228">
        <v>29.85</v>
      </c>
      <c r="DB164" s="228">
        <v>29.48</v>
      </c>
      <c r="DC164" s="228">
        <v>0.37</v>
      </c>
      <c r="DD164" s="228">
        <v>0.37</v>
      </c>
      <c r="DE164" s="228">
        <v>37.049999999999997</v>
      </c>
      <c r="DF164" s="228">
        <v>37.14</v>
      </c>
      <c r="DG164" s="228">
        <v>-7.2</v>
      </c>
      <c r="DH164" s="228">
        <v>-0.09</v>
      </c>
      <c r="DI164" s="228">
        <v>29.99</v>
      </c>
      <c r="DJ164" s="228">
        <v>29.11</v>
      </c>
      <c r="DK164" s="228">
        <v>0.88</v>
      </c>
      <c r="DL164" s="228">
        <v>0.88</v>
      </c>
      <c r="DM164" s="228">
        <v>29.63</v>
      </c>
      <c r="DN164" s="228">
        <v>30.16</v>
      </c>
      <c r="DO164" s="228">
        <v>-0.53</v>
      </c>
      <c r="DP164" s="228">
        <v>-0.53</v>
      </c>
      <c r="DQ164" s="228">
        <v>0.8</v>
      </c>
      <c r="DR164" s="228">
        <v>0.81</v>
      </c>
      <c r="DS164" s="228">
        <v>-0.01</v>
      </c>
      <c r="DT164" s="229">
        <v>-1.23E-2</v>
      </c>
      <c r="DU164" s="228">
        <v>120</v>
      </c>
      <c r="DV164" s="228">
        <v>115</v>
      </c>
      <c r="DW164" s="228">
        <v>0.64</v>
      </c>
      <c r="DX164" s="228">
        <v>0.55000000000000004</v>
      </c>
      <c r="DY164" s="228">
        <v>0.09</v>
      </c>
      <c r="DZ164" s="229">
        <v>0.1636</v>
      </c>
      <c r="EA164" s="229">
        <v>9.8599999999999993E-2</v>
      </c>
      <c r="EB164" s="230">
        <v>21648000</v>
      </c>
      <c r="EC164" s="229">
        <v>5.1000000000000004E-3</v>
      </c>
      <c r="ED164" s="229">
        <v>9.8599999999999993E-2</v>
      </c>
      <c r="EE164" s="228">
        <v>0.66</v>
      </c>
      <c r="EF164" s="229">
        <v>5.5999999999999999E-3</v>
      </c>
      <c r="EG164" s="230">
        <v>8308622</v>
      </c>
      <c r="EH164" s="230">
        <v>5978510</v>
      </c>
      <c r="EI164" s="229">
        <v>0.38969999999999999</v>
      </c>
      <c r="EJ164" s="229">
        <v>0.4788</v>
      </c>
      <c r="EK164" s="231">
        <v>2024.88</v>
      </c>
      <c r="EL164" s="231">
        <v>1240.4100000000001</v>
      </c>
      <c r="EM164" s="228">
        <v>731</v>
      </c>
      <c r="EN164" s="228">
        <v>65.59</v>
      </c>
      <c r="EO164" s="231">
        <v>3996.29</v>
      </c>
      <c r="EP164" s="231">
        <v>3116.96</v>
      </c>
      <c r="EQ164" s="228">
        <v>879.33</v>
      </c>
      <c r="ER164" s="229">
        <v>0.28210000000000002</v>
      </c>
      <c r="ES164" s="231">
        <v>1514.92</v>
      </c>
      <c r="ET164" s="231">
        <v>1144.06</v>
      </c>
      <c r="EU164" s="231">
        <v>2900.29</v>
      </c>
      <c r="EV164" s="231">
        <v>447910372</v>
      </c>
      <c r="EW164" s="231">
        <v>5559.28</v>
      </c>
      <c r="EX164" s="231">
        <v>5557.59</v>
      </c>
      <c r="EY164" s="228">
        <v>1.69</v>
      </c>
      <c r="EZ164" s="229">
        <v>2.9999999999999997E-4</v>
      </c>
      <c r="FA164" s="229">
        <v>1.0691999999999999</v>
      </c>
      <c r="FB164" s="227" t="s">
        <v>568</v>
      </c>
      <c r="FC164">
        <f t="shared" si="3"/>
        <v>0</v>
      </c>
    </row>
    <row r="165" spans="1:159" ht="17.25" thickBot="1" x14ac:dyDescent="0.3">
      <c r="A165" s="226">
        <v>45946</v>
      </c>
      <c r="B165" s="227" t="s">
        <v>175</v>
      </c>
      <c r="C165" s="227" t="s">
        <v>671</v>
      </c>
      <c r="D165" s="228">
        <v>650</v>
      </c>
      <c r="E165" s="228">
        <v>12</v>
      </c>
      <c r="F165" s="228">
        <v>845.25</v>
      </c>
      <c r="G165" s="228">
        <v>852.4</v>
      </c>
      <c r="H165" s="228">
        <v>-7.15</v>
      </c>
      <c r="I165" s="229">
        <v>-8.3999999999999995E-3</v>
      </c>
      <c r="J165" s="228">
        <v>843.4</v>
      </c>
      <c r="K165" s="228">
        <v>848.85</v>
      </c>
      <c r="L165" s="228">
        <v>-5.45</v>
      </c>
      <c r="M165" s="229">
        <v>-6.4000000000000003E-3</v>
      </c>
      <c r="N165" s="228">
        <v>845.25</v>
      </c>
      <c r="O165" s="228">
        <v>852.4</v>
      </c>
      <c r="P165" s="228">
        <v>-7.15</v>
      </c>
      <c r="Q165" s="229">
        <v>-8.3999999999999995E-3</v>
      </c>
      <c r="R165" s="228">
        <v>850.2</v>
      </c>
      <c r="S165" s="228">
        <v>856.7</v>
      </c>
      <c r="T165" s="228">
        <v>-6.5</v>
      </c>
      <c r="U165" s="229">
        <v>-7.6E-3</v>
      </c>
      <c r="V165" s="228">
        <v>855.7</v>
      </c>
      <c r="W165" s="228">
        <v>866.8</v>
      </c>
      <c r="X165" s="228">
        <v>-11.1</v>
      </c>
      <c r="Y165" s="229">
        <v>-1.2800000000000001E-2</v>
      </c>
      <c r="Z165" s="228">
        <v>1.85</v>
      </c>
      <c r="AA165" s="228">
        <v>3.55</v>
      </c>
      <c r="AB165" s="228">
        <v>-1.7</v>
      </c>
      <c r="AC165" s="229">
        <v>2.2000000000000001E-3</v>
      </c>
      <c r="AD165" s="228">
        <v>1.85</v>
      </c>
      <c r="AE165" s="228">
        <v>3.55</v>
      </c>
      <c r="AF165" s="228">
        <v>-1.7</v>
      </c>
      <c r="AG165" s="229">
        <v>2.2000000000000001E-3</v>
      </c>
      <c r="AH165" s="228">
        <v>6.8</v>
      </c>
      <c r="AI165" s="228">
        <v>7.85</v>
      </c>
      <c r="AJ165" s="228">
        <v>-1.05</v>
      </c>
      <c r="AK165" s="229">
        <v>8.0999999999999996E-3</v>
      </c>
      <c r="AL165" s="228">
        <v>12.3</v>
      </c>
      <c r="AM165" s="228">
        <v>17.95</v>
      </c>
      <c r="AN165" s="228">
        <v>-5.65</v>
      </c>
      <c r="AO165" s="229">
        <v>1.46E-2</v>
      </c>
      <c r="AP165" s="228">
        <v>845.63</v>
      </c>
      <c r="AQ165" s="228">
        <v>850.54</v>
      </c>
      <c r="AR165" s="228">
        <v>0</v>
      </c>
      <c r="AS165" s="228">
        <v>168</v>
      </c>
      <c r="AT165" s="228">
        <v>131</v>
      </c>
      <c r="AU165" s="228">
        <v>37</v>
      </c>
      <c r="AV165" s="229">
        <v>0.28079999999999999</v>
      </c>
      <c r="AW165" s="228">
        <v>142</v>
      </c>
      <c r="AX165" s="228">
        <v>116</v>
      </c>
      <c r="AY165" s="228">
        <v>26</v>
      </c>
      <c r="AZ165" s="229">
        <v>0.2276</v>
      </c>
      <c r="BA165" s="228">
        <v>25</v>
      </c>
      <c r="BB165" s="228">
        <v>15</v>
      </c>
      <c r="BC165" s="228">
        <v>10</v>
      </c>
      <c r="BD165" s="229">
        <v>0.63500000000000001</v>
      </c>
      <c r="BE165" s="228">
        <v>1</v>
      </c>
      <c r="BF165" s="228">
        <v>0</v>
      </c>
      <c r="BG165" s="228">
        <v>1</v>
      </c>
      <c r="BH165" s="229">
        <v>2.4285999999999999</v>
      </c>
      <c r="BI165" s="228">
        <v>233</v>
      </c>
      <c r="BJ165" s="228">
        <v>182</v>
      </c>
      <c r="BK165" s="228">
        <v>51</v>
      </c>
      <c r="BL165" s="229">
        <v>0.28070000000000001</v>
      </c>
      <c r="BM165" s="228">
        <v>127</v>
      </c>
      <c r="BN165" s="228">
        <v>83</v>
      </c>
      <c r="BO165" s="228">
        <v>44</v>
      </c>
      <c r="BP165" s="229">
        <v>0.52380000000000004</v>
      </c>
      <c r="BQ165" s="228">
        <v>527</v>
      </c>
      <c r="BR165" s="228">
        <v>396</v>
      </c>
      <c r="BS165" s="228">
        <v>131</v>
      </c>
      <c r="BT165" s="229">
        <v>0.33169999999999999</v>
      </c>
      <c r="BU165" s="230">
        <v>863919</v>
      </c>
      <c r="BV165" s="230">
        <v>976739</v>
      </c>
      <c r="BW165" s="230">
        <v>-112820</v>
      </c>
      <c r="BX165" s="229">
        <v>-0.11550000000000001</v>
      </c>
      <c r="BY165" s="230">
        <v>1277</v>
      </c>
      <c r="BZ165" s="230">
        <v>1281</v>
      </c>
      <c r="CA165" s="228">
        <v>-4</v>
      </c>
      <c r="CB165" s="229">
        <v>-3.0999999999999999E-3</v>
      </c>
      <c r="CC165" s="230">
        <v>1217</v>
      </c>
      <c r="CD165" s="230">
        <v>1235</v>
      </c>
      <c r="CE165" s="228">
        <v>-18</v>
      </c>
      <c r="CF165" s="229">
        <v>-1.4800000000000001E-2</v>
      </c>
      <c r="CG165" s="228">
        <v>54</v>
      </c>
      <c r="CH165" s="228">
        <v>40</v>
      </c>
      <c r="CI165" s="228">
        <v>14</v>
      </c>
      <c r="CJ165" s="229">
        <v>0.3448</v>
      </c>
      <c r="CK165" s="228">
        <v>6</v>
      </c>
      <c r="CL165" s="228">
        <v>6</v>
      </c>
      <c r="CM165" s="228">
        <v>1</v>
      </c>
      <c r="CN165" s="229">
        <v>9.7100000000000006E-2</v>
      </c>
      <c r="CO165" s="228">
        <v>417</v>
      </c>
      <c r="CP165" s="228">
        <v>407</v>
      </c>
      <c r="CQ165" s="228">
        <v>10</v>
      </c>
      <c r="CR165" s="229">
        <v>2.5700000000000001E-2</v>
      </c>
      <c r="CS165" s="228">
        <v>297</v>
      </c>
      <c r="CT165" s="228">
        <v>291</v>
      </c>
      <c r="CU165" s="228">
        <v>6</v>
      </c>
      <c r="CV165" s="229">
        <v>2.1700000000000001E-2</v>
      </c>
      <c r="CW165" s="230">
        <v>1991</v>
      </c>
      <c r="CX165" s="230">
        <v>1978</v>
      </c>
      <c r="CY165" s="228">
        <v>13</v>
      </c>
      <c r="CZ165" s="229">
        <v>6.4999999999999997E-3</v>
      </c>
      <c r="DA165" s="228">
        <v>40.1</v>
      </c>
      <c r="DB165" s="228">
        <v>40.549999999999997</v>
      </c>
      <c r="DC165" s="228">
        <v>-0.45</v>
      </c>
      <c r="DD165" s="228">
        <v>-0.45</v>
      </c>
      <c r="DE165" s="228">
        <v>49.04</v>
      </c>
      <c r="DF165" s="228">
        <v>49.16</v>
      </c>
      <c r="DG165" s="228">
        <v>-8.94</v>
      </c>
      <c r="DH165" s="228">
        <v>-0.12</v>
      </c>
      <c r="DI165" s="228">
        <v>40.659999999999997</v>
      </c>
      <c r="DJ165" s="228">
        <v>40.99</v>
      </c>
      <c r="DK165" s="228">
        <v>-0.33</v>
      </c>
      <c r="DL165" s="228">
        <v>-0.33</v>
      </c>
      <c r="DM165" s="228">
        <v>39.08</v>
      </c>
      <c r="DN165" s="228">
        <v>39.58</v>
      </c>
      <c r="DO165" s="228">
        <v>-0.5</v>
      </c>
      <c r="DP165" s="228">
        <v>-0.5</v>
      </c>
      <c r="DQ165" s="228">
        <v>0.71</v>
      </c>
      <c r="DR165" s="228">
        <v>0.71</v>
      </c>
      <c r="DS165" s="228">
        <v>0</v>
      </c>
      <c r="DT165" s="229">
        <v>0</v>
      </c>
      <c r="DU165" s="228">
        <v>900</v>
      </c>
      <c r="DV165" s="228">
        <v>850</v>
      </c>
      <c r="DW165" s="228">
        <v>0.54</v>
      </c>
      <c r="DX165" s="228">
        <v>0.46</v>
      </c>
      <c r="DY165" s="228">
        <v>0.08</v>
      </c>
      <c r="DZ165" s="229">
        <v>0.1739</v>
      </c>
      <c r="EA165" s="229">
        <v>4.7E-2</v>
      </c>
      <c r="EB165" s="230">
        <v>540150</v>
      </c>
      <c r="EC165" s="229">
        <v>5.8999999999999999E-3</v>
      </c>
      <c r="ED165" s="229">
        <v>4.7E-2</v>
      </c>
      <c r="EE165" s="228">
        <v>4.91</v>
      </c>
      <c r="EF165" s="229">
        <v>5.7999999999999996E-3</v>
      </c>
      <c r="EG165" s="230">
        <v>386741</v>
      </c>
      <c r="EH165" s="230">
        <v>616030</v>
      </c>
      <c r="EI165" s="229">
        <v>-0.37219999999999998</v>
      </c>
      <c r="EJ165" s="229">
        <v>0.44769999999999999</v>
      </c>
      <c r="EK165" s="228">
        <v>245.68</v>
      </c>
      <c r="EL165" s="228">
        <v>129.09</v>
      </c>
      <c r="EM165" s="228">
        <v>168.41</v>
      </c>
      <c r="EN165" s="228">
        <v>25.01</v>
      </c>
      <c r="EO165" s="228">
        <v>543.17999999999995</v>
      </c>
      <c r="EP165" s="228">
        <v>410.54</v>
      </c>
      <c r="EQ165" s="228">
        <v>132.63999999999999</v>
      </c>
      <c r="ER165" s="229">
        <v>0.3231</v>
      </c>
      <c r="ES165" s="228">
        <v>448.05</v>
      </c>
      <c r="ET165" s="228">
        <v>292.55</v>
      </c>
      <c r="EU165" s="231">
        <v>1277.1199999999999</v>
      </c>
      <c r="EV165" s="231">
        <v>28062406</v>
      </c>
      <c r="EW165" s="231">
        <v>2017.72</v>
      </c>
      <c r="EX165" s="231">
        <v>2016.24</v>
      </c>
      <c r="EY165" s="228">
        <v>1.48</v>
      </c>
      <c r="EZ165" s="229">
        <v>6.9999999999999999E-4</v>
      </c>
      <c r="FA165" s="229">
        <v>0.83940000000000003</v>
      </c>
      <c r="FB165" s="227" t="s">
        <v>568</v>
      </c>
      <c r="FC165">
        <f t="shared" si="3"/>
        <v>0</v>
      </c>
    </row>
    <row r="166" spans="1:159" ht="17.25" thickBot="1" x14ac:dyDescent="0.3">
      <c r="A166" s="226">
        <v>45946</v>
      </c>
      <c r="B166" s="227" t="s">
        <v>615</v>
      </c>
      <c r="C166" s="227" t="s">
        <v>573</v>
      </c>
      <c r="D166" s="228">
        <v>350</v>
      </c>
      <c r="E166" s="228">
        <v>12</v>
      </c>
      <c r="F166" s="231">
        <v>1697.3</v>
      </c>
      <c r="G166" s="231">
        <v>1681.2</v>
      </c>
      <c r="H166" s="228">
        <v>16.100000000000001</v>
      </c>
      <c r="I166" s="229">
        <v>9.5999999999999992E-3</v>
      </c>
      <c r="J166" s="231">
        <v>1691</v>
      </c>
      <c r="K166" s="231">
        <v>1674.1</v>
      </c>
      <c r="L166" s="228">
        <v>16.899999999999999</v>
      </c>
      <c r="M166" s="229">
        <v>1.01E-2</v>
      </c>
      <c r="N166" s="231">
        <v>1697.3</v>
      </c>
      <c r="O166" s="231">
        <v>1681.2</v>
      </c>
      <c r="P166" s="228">
        <v>16.100000000000001</v>
      </c>
      <c r="Q166" s="229">
        <v>9.5999999999999992E-3</v>
      </c>
      <c r="R166" s="231">
        <v>1706.1</v>
      </c>
      <c r="S166" s="231">
        <v>1690</v>
      </c>
      <c r="T166" s="228">
        <v>16.100000000000001</v>
      </c>
      <c r="U166" s="229">
        <v>9.4999999999999998E-3</v>
      </c>
      <c r="V166" s="231">
        <v>1718.3</v>
      </c>
      <c r="W166" s="231">
        <v>1700.6</v>
      </c>
      <c r="X166" s="228">
        <v>17.7</v>
      </c>
      <c r="Y166" s="229">
        <v>1.04E-2</v>
      </c>
      <c r="Z166" s="228">
        <v>6.3</v>
      </c>
      <c r="AA166" s="228">
        <v>7.1</v>
      </c>
      <c r="AB166" s="228">
        <v>-0.8</v>
      </c>
      <c r="AC166" s="229">
        <v>3.7000000000000002E-3</v>
      </c>
      <c r="AD166" s="228">
        <v>6.3</v>
      </c>
      <c r="AE166" s="228">
        <v>7.1</v>
      </c>
      <c r="AF166" s="228">
        <v>-0.8</v>
      </c>
      <c r="AG166" s="229">
        <v>3.7000000000000002E-3</v>
      </c>
      <c r="AH166" s="228">
        <v>15.1</v>
      </c>
      <c r="AI166" s="228">
        <v>15.9</v>
      </c>
      <c r="AJ166" s="228">
        <v>-0.8</v>
      </c>
      <c r="AK166" s="229">
        <v>8.8999999999999999E-3</v>
      </c>
      <c r="AL166" s="228">
        <v>27.3</v>
      </c>
      <c r="AM166" s="228">
        <v>26.5</v>
      </c>
      <c r="AN166" s="228">
        <v>0.8</v>
      </c>
      <c r="AO166" s="229">
        <v>1.61E-2</v>
      </c>
      <c r="AP166" s="231">
        <v>1697.19</v>
      </c>
      <c r="AQ166" s="231">
        <v>1708.6</v>
      </c>
      <c r="AR166" s="228">
        <v>0</v>
      </c>
      <c r="AS166" s="228">
        <v>233</v>
      </c>
      <c r="AT166" s="228">
        <v>231</v>
      </c>
      <c r="AU166" s="228">
        <v>1</v>
      </c>
      <c r="AV166" s="229">
        <v>6.4000000000000003E-3</v>
      </c>
      <c r="AW166" s="228">
        <v>210</v>
      </c>
      <c r="AX166" s="228">
        <v>218</v>
      </c>
      <c r="AY166" s="228">
        <v>-7</v>
      </c>
      <c r="AZ166" s="229">
        <v>-3.3799999999999997E-2</v>
      </c>
      <c r="BA166" s="228">
        <v>22</v>
      </c>
      <c r="BB166" s="228">
        <v>12</v>
      </c>
      <c r="BC166" s="228">
        <v>9</v>
      </c>
      <c r="BD166" s="229">
        <v>0.74519999999999997</v>
      </c>
      <c r="BE166" s="228">
        <v>1</v>
      </c>
      <c r="BF166" s="228">
        <v>1</v>
      </c>
      <c r="BG166" s="228">
        <v>0</v>
      </c>
      <c r="BH166" s="229">
        <v>-0.35289999999999999</v>
      </c>
      <c r="BI166" s="228">
        <v>304</v>
      </c>
      <c r="BJ166" s="228">
        <v>237</v>
      </c>
      <c r="BK166" s="228">
        <v>67</v>
      </c>
      <c r="BL166" s="229">
        <v>0.28399999999999997</v>
      </c>
      <c r="BM166" s="228">
        <v>73</v>
      </c>
      <c r="BN166" s="228">
        <v>124</v>
      </c>
      <c r="BO166" s="228">
        <v>-51</v>
      </c>
      <c r="BP166" s="229">
        <v>-0.41110000000000002</v>
      </c>
      <c r="BQ166" s="228">
        <v>609</v>
      </c>
      <c r="BR166" s="228">
        <v>591</v>
      </c>
      <c r="BS166" s="228">
        <v>18</v>
      </c>
      <c r="BT166" s="229">
        <v>3.0200000000000001E-2</v>
      </c>
      <c r="BU166" s="230">
        <v>2012888</v>
      </c>
      <c r="BV166" s="230">
        <v>2120593</v>
      </c>
      <c r="BW166" s="230">
        <v>-107705</v>
      </c>
      <c r="BX166" s="229">
        <v>-5.0799999999999998E-2</v>
      </c>
      <c r="BY166" s="230">
        <v>1240</v>
      </c>
      <c r="BZ166" s="230">
        <v>1205</v>
      </c>
      <c r="CA166" s="228">
        <v>35</v>
      </c>
      <c r="CB166" s="229">
        <v>2.9100000000000001E-2</v>
      </c>
      <c r="CC166" s="230">
        <v>1215</v>
      </c>
      <c r="CD166" s="230">
        <v>1189</v>
      </c>
      <c r="CE166" s="228">
        <v>27</v>
      </c>
      <c r="CF166" s="229">
        <v>2.23E-2</v>
      </c>
      <c r="CG166" s="228">
        <v>23</v>
      </c>
      <c r="CH166" s="228">
        <v>14</v>
      </c>
      <c r="CI166" s="228">
        <v>8</v>
      </c>
      <c r="CJ166" s="229">
        <v>0.59830000000000005</v>
      </c>
      <c r="CK166" s="228">
        <v>2</v>
      </c>
      <c r="CL166" s="228">
        <v>2</v>
      </c>
      <c r="CM166" s="228">
        <v>0</v>
      </c>
      <c r="CN166" s="229">
        <v>3.4500000000000003E-2</v>
      </c>
      <c r="CO166" s="228">
        <v>228</v>
      </c>
      <c r="CP166" s="228">
        <v>243</v>
      </c>
      <c r="CQ166" s="228">
        <v>-14</v>
      </c>
      <c r="CR166" s="229">
        <v>-5.9299999999999999E-2</v>
      </c>
      <c r="CS166" s="228">
        <v>156</v>
      </c>
      <c r="CT166" s="228">
        <v>157</v>
      </c>
      <c r="CU166" s="228">
        <v>-1</v>
      </c>
      <c r="CV166" s="229">
        <v>-4.1999999999999997E-3</v>
      </c>
      <c r="CW166" s="230">
        <v>1625</v>
      </c>
      <c r="CX166" s="230">
        <v>1604</v>
      </c>
      <c r="CY166" s="228">
        <v>20</v>
      </c>
      <c r="CZ166" s="229">
        <v>1.2500000000000001E-2</v>
      </c>
      <c r="DA166" s="228">
        <v>28.58</v>
      </c>
      <c r="DB166" s="228">
        <v>31.27</v>
      </c>
      <c r="DC166" s="228">
        <v>-2.69</v>
      </c>
      <c r="DD166" s="228">
        <v>-2.69</v>
      </c>
      <c r="DE166" s="228">
        <v>47.52</v>
      </c>
      <c r="DF166" s="228">
        <v>47.62</v>
      </c>
      <c r="DG166" s="228">
        <v>-18.940000000000001</v>
      </c>
      <c r="DH166" s="228">
        <v>-0.1</v>
      </c>
      <c r="DI166" s="228">
        <v>28.55</v>
      </c>
      <c r="DJ166" s="228">
        <v>31.77</v>
      </c>
      <c r="DK166" s="228">
        <v>-3.22</v>
      </c>
      <c r="DL166" s="228">
        <v>-3.22</v>
      </c>
      <c r="DM166" s="228">
        <v>28.71</v>
      </c>
      <c r="DN166" s="228">
        <v>30.3</v>
      </c>
      <c r="DO166" s="228">
        <v>-1.59</v>
      </c>
      <c r="DP166" s="228">
        <v>-1.59</v>
      </c>
      <c r="DQ166" s="228">
        <v>0.69</v>
      </c>
      <c r="DR166" s="228">
        <v>0.65</v>
      </c>
      <c r="DS166" s="228">
        <v>0.04</v>
      </c>
      <c r="DT166" s="229">
        <v>6.1499999999999999E-2</v>
      </c>
      <c r="DU166" s="231">
        <v>1800</v>
      </c>
      <c r="DV166" s="231">
        <v>1600</v>
      </c>
      <c r="DW166" s="228">
        <v>0.24</v>
      </c>
      <c r="DX166" s="228">
        <v>0.52</v>
      </c>
      <c r="DY166" s="228">
        <v>-0.28000000000000003</v>
      </c>
      <c r="DZ166" s="229">
        <v>-0.53849999999999998</v>
      </c>
      <c r="EA166" s="229">
        <v>1.9699999999999999E-2</v>
      </c>
      <c r="EB166" s="230">
        <v>93800</v>
      </c>
      <c r="EC166" s="229">
        <v>5.1999999999999998E-3</v>
      </c>
      <c r="ED166" s="229">
        <v>1.9699999999999999E-2</v>
      </c>
      <c r="EE166" s="228">
        <v>11.41</v>
      </c>
      <c r="EF166" s="229">
        <v>6.7000000000000002E-3</v>
      </c>
      <c r="EG166" s="230">
        <v>1584174</v>
      </c>
      <c r="EH166" s="230">
        <v>1562013</v>
      </c>
      <c r="EI166" s="229">
        <v>1.4200000000000001E-2</v>
      </c>
      <c r="EJ166" s="229">
        <v>0.78700000000000003</v>
      </c>
      <c r="EK166" s="228">
        <v>315.86</v>
      </c>
      <c r="EL166" s="228">
        <v>72.92</v>
      </c>
      <c r="EM166" s="228">
        <v>232.65</v>
      </c>
      <c r="EN166" s="228">
        <v>37.82</v>
      </c>
      <c r="EO166" s="228">
        <v>621.44000000000005</v>
      </c>
      <c r="EP166" s="228">
        <v>601.63</v>
      </c>
      <c r="EQ166" s="228">
        <v>19.809999999999999</v>
      </c>
      <c r="ER166" s="229">
        <v>3.2899999999999999E-2</v>
      </c>
      <c r="ES166" s="228">
        <v>244.26</v>
      </c>
      <c r="ET166" s="228">
        <v>153.04</v>
      </c>
      <c r="EU166" s="231">
        <v>1239.93</v>
      </c>
      <c r="EV166" s="231">
        <v>51720057</v>
      </c>
      <c r="EW166" s="231">
        <v>1637.24</v>
      </c>
      <c r="EX166" s="231">
        <v>1606.77</v>
      </c>
      <c r="EY166" s="228">
        <v>30.47</v>
      </c>
      <c r="EZ166" s="229">
        <v>1.9E-2</v>
      </c>
      <c r="FA166" s="229">
        <v>0.18509999999999999</v>
      </c>
      <c r="FB166" s="227" t="s">
        <v>555</v>
      </c>
      <c r="FC166">
        <f t="shared" si="3"/>
        <v>0</v>
      </c>
    </row>
    <row r="167" spans="1:159" ht="17.25" thickBot="1" x14ac:dyDescent="0.3">
      <c r="A167" s="226">
        <v>45946</v>
      </c>
      <c r="B167" s="227" t="s">
        <v>184</v>
      </c>
      <c r="C167" s="227" t="s">
        <v>519</v>
      </c>
      <c r="D167" s="228">
        <v>125</v>
      </c>
      <c r="E167" s="228">
        <v>12</v>
      </c>
      <c r="F167" s="231">
        <v>7600</v>
      </c>
      <c r="G167" s="231">
        <v>7682</v>
      </c>
      <c r="H167" s="228">
        <v>-82</v>
      </c>
      <c r="I167" s="229">
        <v>-1.0699999999999999E-2</v>
      </c>
      <c r="J167" s="231">
        <v>7578</v>
      </c>
      <c r="K167" s="231">
        <v>7658.5</v>
      </c>
      <c r="L167" s="228">
        <v>-80.5</v>
      </c>
      <c r="M167" s="229">
        <v>-1.0500000000000001E-2</v>
      </c>
      <c r="N167" s="231">
        <v>7600</v>
      </c>
      <c r="O167" s="231">
        <v>7682</v>
      </c>
      <c r="P167" s="228">
        <v>-82</v>
      </c>
      <c r="Q167" s="229">
        <v>-1.0699999999999999E-2</v>
      </c>
      <c r="R167" s="231">
        <v>7641</v>
      </c>
      <c r="S167" s="231">
        <v>7721.5</v>
      </c>
      <c r="T167" s="228">
        <v>-80.5</v>
      </c>
      <c r="U167" s="229">
        <v>-1.04E-2</v>
      </c>
      <c r="V167" s="231">
        <v>7688.5</v>
      </c>
      <c r="W167" s="231">
        <v>7769.5</v>
      </c>
      <c r="X167" s="228">
        <v>-81</v>
      </c>
      <c r="Y167" s="229">
        <v>-1.04E-2</v>
      </c>
      <c r="Z167" s="228">
        <v>22</v>
      </c>
      <c r="AA167" s="228">
        <v>23.5</v>
      </c>
      <c r="AB167" s="228">
        <v>-1.5</v>
      </c>
      <c r="AC167" s="229">
        <v>2.8999999999999998E-3</v>
      </c>
      <c r="AD167" s="228">
        <v>22</v>
      </c>
      <c r="AE167" s="228">
        <v>23.5</v>
      </c>
      <c r="AF167" s="228">
        <v>-1.5</v>
      </c>
      <c r="AG167" s="229">
        <v>2.8999999999999998E-3</v>
      </c>
      <c r="AH167" s="228">
        <v>63</v>
      </c>
      <c r="AI167" s="228">
        <v>63</v>
      </c>
      <c r="AJ167" s="228">
        <v>0</v>
      </c>
      <c r="AK167" s="229">
        <v>8.3000000000000001E-3</v>
      </c>
      <c r="AL167" s="228">
        <v>110.5</v>
      </c>
      <c r="AM167" s="228">
        <v>111</v>
      </c>
      <c r="AN167" s="228">
        <v>-0.5</v>
      </c>
      <c r="AO167" s="229">
        <v>1.46E-2</v>
      </c>
      <c r="AP167" s="231">
        <v>7603.29</v>
      </c>
      <c r="AQ167" s="231">
        <v>7640.13</v>
      </c>
      <c r="AR167" s="228">
        <v>0</v>
      </c>
      <c r="AS167" s="228">
        <v>520</v>
      </c>
      <c r="AT167" s="228">
        <v>339</v>
      </c>
      <c r="AU167" s="228">
        <v>181</v>
      </c>
      <c r="AV167" s="229">
        <v>0.53349999999999997</v>
      </c>
      <c r="AW167" s="228">
        <v>478</v>
      </c>
      <c r="AX167" s="228">
        <v>323</v>
      </c>
      <c r="AY167" s="228">
        <v>154</v>
      </c>
      <c r="AZ167" s="229">
        <v>0.47749999999999998</v>
      </c>
      <c r="BA167" s="228">
        <v>40</v>
      </c>
      <c r="BB167" s="228">
        <v>14</v>
      </c>
      <c r="BC167" s="228">
        <v>26</v>
      </c>
      <c r="BD167" s="229">
        <v>1.8767</v>
      </c>
      <c r="BE167" s="228">
        <v>2</v>
      </c>
      <c r="BF167" s="228">
        <v>2</v>
      </c>
      <c r="BG167" s="228">
        <v>0</v>
      </c>
      <c r="BH167" s="229">
        <v>0.22220000000000001</v>
      </c>
      <c r="BI167" s="230">
        <v>1356</v>
      </c>
      <c r="BJ167" s="228">
        <v>936</v>
      </c>
      <c r="BK167" s="228">
        <v>420</v>
      </c>
      <c r="BL167" s="229">
        <v>0.44869999999999999</v>
      </c>
      <c r="BM167" s="228">
        <v>593</v>
      </c>
      <c r="BN167" s="228">
        <v>511</v>
      </c>
      <c r="BO167" s="228">
        <v>82</v>
      </c>
      <c r="BP167" s="229">
        <v>0.1605</v>
      </c>
      <c r="BQ167" s="230">
        <v>2468</v>
      </c>
      <c r="BR167" s="230">
        <v>1785</v>
      </c>
      <c r="BS167" s="228">
        <v>683</v>
      </c>
      <c r="BT167" s="229">
        <v>0.38240000000000002</v>
      </c>
      <c r="BU167" s="230">
        <v>193454</v>
      </c>
      <c r="BV167" s="230">
        <v>122041</v>
      </c>
      <c r="BW167" s="230">
        <v>71413</v>
      </c>
      <c r="BX167" s="229">
        <v>0.58520000000000005</v>
      </c>
      <c r="BY167" s="230">
        <v>1407</v>
      </c>
      <c r="BZ167" s="230">
        <v>1348</v>
      </c>
      <c r="CA167" s="228">
        <v>59</v>
      </c>
      <c r="CB167" s="229">
        <v>4.3799999999999999E-2</v>
      </c>
      <c r="CC167" s="230">
        <v>1365</v>
      </c>
      <c r="CD167" s="230">
        <v>1310</v>
      </c>
      <c r="CE167" s="228">
        <v>55</v>
      </c>
      <c r="CF167" s="229">
        <v>4.2000000000000003E-2</v>
      </c>
      <c r="CG167" s="228">
        <v>36</v>
      </c>
      <c r="CH167" s="228">
        <v>33</v>
      </c>
      <c r="CI167" s="228">
        <v>3</v>
      </c>
      <c r="CJ167" s="229">
        <v>0.1012</v>
      </c>
      <c r="CK167" s="228">
        <v>6</v>
      </c>
      <c r="CL167" s="228">
        <v>6</v>
      </c>
      <c r="CM167" s="228">
        <v>1</v>
      </c>
      <c r="CN167" s="229">
        <v>0.1148</v>
      </c>
      <c r="CO167" s="228">
        <v>829</v>
      </c>
      <c r="CP167" s="228">
        <v>758</v>
      </c>
      <c r="CQ167" s="228">
        <v>71</v>
      </c>
      <c r="CR167" s="229">
        <v>9.3399999999999997E-2</v>
      </c>
      <c r="CS167" s="228">
        <v>413</v>
      </c>
      <c r="CT167" s="228">
        <v>401</v>
      </c>
      <c r="CU167" s="228">
        <v>11</v>
      </c>
      <c r="CV167" s="229">
        <v>2.8400000000000002E-2</v>
      </c>
      <c r="CW167" s="230">
        <v>2649</v>
      </c>
      <c r="CX167" s="230">
        <v>2508</v>
      </c>
      <c r="CY167" s="228">
        <v>141</v>
      </c>
      <c r="CZ167" s="229">
        <v>5.6300000000000003E-2</v>
      </c>
      <c r="DA167" s="228">
        <v>35.799999999999997</v>
      </c>
      <c r="DB167" s="228">
        <v>34.86</v>
      </c>
      <c r="DC167" s="228">
        <v>0.94</v>
      </c>
      <c r="DD167" s="228">
        <v>0.94</v>
      </c>
      <c r="DE167" s="228">
        <v>40.799999999999997</v>
      </c>
      <c r="DF167" s="228">
        <v>40.880000000000003</v>
      </c>
      <c r="DG167" s="228">
        <v>-5</v>
      </c>
      <c r="DH167" s="228">
        <v>-0.08</v>
      </c>
      <c r="DI167" s="228">
        <v>35.479999999999997</v>
      </c>
      <c r="DJ167" s="228">
        <v>34.1</v>
      </c>
      <c r="DK167" s="228">
        <v>1.38</v>
      </c>
      <c r="DL167" s="228">
        <v>1.38</v>
      </c>
      <c r="DM167" s="228">
        <v>36.53</v>
      </c>
      <c r="DN167" s="228">
        <v>36.26</v>
      </c>
      <c r="DO167" s="228">
        <v>0.27</v>
      </c>
      <c r="DP167" s="228">
        <v>0.27</v>
      </c>
      <c r="DQ167" s="228">
        <v>0.5</v>
      </c>
      <c r="DR167" s="228">
        <v>0.53</v>
      </c>
      <c r="DS167" s="228">
        <v>-0.03</v>
      </c>
      <c r="DT167" s="229">
        <v>-5.6599999999999998E-2</v>
      </c>
      <c r="DU167" s="231">
        <v>8000</v>
      </c>
      <c r="DV167" s="231">
        <v>7000</v>
      </c>
      <c r="DW167" s="228">
        <v>0.44</v>
      </c>
      <c r="DX167" s="228">
        <v>0.55000000000000004</v>
      </c>
      <c r="DY167" s="228">
        <v>-0.11</v>
      </c>
      <c r="DZ167" s="229">
        <v>-0.2</v>
      </c>
      <c r="EA167" s="229">
        <v>3.0300000000000001E-2</v>
      </c>
      <c r="EB167" s="230">
        <v>50875</v>
      </c>
      <c r="EC167" s="229">
        <v>5.4000000000000003E-3</v>
      </c>
      <c r="ED167" s="229">
        <v>3.0300000000000001E-2</v>
      </c>
      <c r="EE167" s="228">
        <v>36.840000000000003</v>
      </c>
      <c r="EF167" s="229">
        <v>4.7999999999999996E-3</v>
      </c>
      <c r="EG167" s="230">
        <v>68103</v>
      </c>
      <c r="EH167" s="230">
        <v>52722</v>
      </c>
      <c r="EI167" s="229">
        <v>0.29170000000000001</v>
      </c>
      <c r="EJ167" s="229">
        <v>0.35199999999999998</v>
      </c>
      <c r="EK167" s="231">
        <v>1423.28</v>
      </c>
      <c r="EL167" s="228">
        <v>580.89</v>
      </c>
      <c r="EM167" s="228">
        <v>520.09</v>
      </c>
      <c r="EN167" s="228">
        <v>34.33</v>
      </c>
      <c r="EO167" s="231">
        <v>2524.2600000000002</v>
      </c>
      <c r="EP167" s="231">
        <v>1832.42</v>
      </c>
      <c r="EQ167" s="228">
        <v>691.84</v>
      </c>
      <c r="ER167" s="229">
        <v>0.37759999999999999</v>
      </c>
      <c r="ES167" s="228">
        <v>857.65</v>
      </c>
      <c r="ET167" s="228">
        <v>396.5</v>
      </c>
      <c r="EU167" s="231">
        <v>1407.51</v>
      </c>
      <c r="EV167" s="231">
        <v>8350688</v>
      </c>
      <c r="EW167" s="231">
        <v>2661.65</v>
      </c>
      <c r="EX167" s="231">
        <v>2533.91</v>
      </c>
      <c r="EY167" s="228">
        <v>127.74</v>
      </c>
      <c r="EZ167" s="229">
        <v>5.04E-2</v>
      </c>
      <c r="FA167" s="229">
        <v>0.41739999999999999</v>
      </c>
      <c r="FB167" s="227" t="s">
        <v>567</v>
      </c>
      <c r="FC167">
        <f t="shared" si="3"/>
        <v>0</v>
      </c>
    </row>
    <row r="168" spans="1:159" ht="17.25" thickBot="1" x14ac:dyDescent="0.3">
      <c r="A168" s="226">
        <v>45946</v>
      </c>
      <c r="B168" s="227" t="s">
        <v>161</v>
      </c>
      <c r="C168" s="227" t="s">
        <v>276</v>
      </c>
      <c r="D168" s="228">
        <v>1900</v>
      </c>
      <c r="E168" s="228">
        <v>12</v>
      </c>
      <c r="F168" s="228">
        <v>292.55</v>
      </c>
      <c r="G168" s="228">
        <v>292.2</v>
      </c>
      <c r="H168" s="228">
        <v>0.35</v>
      </c>
      <c r="I168" s="229">
        <v>1.1999999999999999E-3</v>
      </c>
      <c r="J168" s="228">
        <v>291.85000000000002</v>
      </c>
      <c r="K168" s="228">
        <v>290.95</v>
      </c>
      <c r="L168" s="228">
        <v>0.9</v>
      </c>
      <c r="M168" s="229">
        <v>3.0999999999999999E-3</v>
      </c>
      <c r="N168" s="228">
        <v>292.55</v>
      </c>
      <c r="O168" s="228">
        <v>292.2</v>
      </c>
      <c r="P168" s="228">
        <v>0.35</v>
      </c>
      <c r="Q168" s="229">
        <v>1.1999999999999999E-3</v>
      </c>
      <c r="R168" s="228">
        <v>290.60000000000002</v>
      </c>
      <c r="S168" s="228">
        <v>289.85000000000002</v>
      </c>
      <c r="T168" s="228">
        <v>0.75</v>
      </c>
      <c r="U168" s="229">
        <v>2.5999999999999999E-3</v>
      </c>
      <c r="V168" s="228">
        <v>292.3</v>
      </c>
      <c r="W168" s="228">
        <v>292</v>
      </c>
      <c r="X168" s="228">
        <v>0.3</v>
      </c>
      <c r="Y168" s="229">
        <v>1E-3</v>
      </c>
      <c r="Z168" s="228">
        <v>0.7</v>
      </c>
      <c r="AA168" s="228">
        <v>1.25</v>
      </c>
      <c r="AB168" s="228">
        <v>-0.55000000000000004</v>
      </c>
      <c r="AC168" s="229">
        <v>2.3999999999999998E-3</v>
      </c>
      <c r="AD168" s="228">
        <v>0.7</v>
      </c>
      <c r="AE168" s="228">
        <v>1.25</v>
      </c>
      <c r="AF168" s="228">
        <v>-0.55000000000000004</v>
      </c>
      <c r="AG168" s="229">
        <v>2.3999999999999998E-3</v>
      </c>
      <c r="AH168" s="228">
        <v>-1.25</v>
      </c>
      <c r="AI168" s="228">
        <v>-1.1000000000000001</v>
      </c>
      <c r="AJ168" s="228">
        <v>-0.15</v>
      </c>
      <c r="AK168" s="229">
        <v>-4.3E-3</v>
      </c>
      <c r="AL168" s="228">
        <v>0.45</v>
      </c>
      <c r="AM168" s="228">
        <v>1.05</v>
      </c>
      <c r="AN168" s="228">
        <v>-0.6</v>
      </c>
      <c r="AO168" s="229">
        <v>1.5E-3</v>
      </c>
      <c r="AP168" s="228">
        <v>292.8</v>
      </c>
      <c r="AQ168" s="228">
        <v>290.75</v>
      </c>
      <c r="AR168" s="228">
        <v>0</v>
      </c>
      <c r="AS168" s="228">
        <v>248</v>
      </c>
      <c r="AT168" s="228">
        <v>249</v>
      </c>
      <c r="AU168" s="228">
        <v>-1</v>
      </c>
      <c r="AV168" s="229">
        <v>-3.8E-3</v>
      </c>
      <c r="AW168" s="228">
        <v>203</v>
      </c>
      <c r="AX168" s="228">
        <v>209</v>
      </c>
      <c r="AY168" s="228">
        <v>-5</v>
      </c>
      <c r="AZ168" s="229">
        <v>-2.6100000000000002E-2</v>
      </c>
      <c r="BA168" s="228">
        <v>43</v>
      </c>
      <c r="BB168" s="228">
        <v>38</v>
      </c>
      <c r="BC168" s="228">
        <v>5</v>
      </c>
      <c r="BD168" s="229">
        <v>0.125</v>
      </c>
      <c r="BE168" s="228">
        <v>2</v>
      </c>
      <c r="BF168" s="228">
        <v>2</v>
      </c>
      <c r="BG168" s="228">
        <v>0</v>
      </c>
      <c r="BH168" s="229">
        <v>-0.1053</v>
      </c>
      <c r="BI168" s="228">
        <v>374</v>
      </c>
      <c r="BJ168" s="228">
        <v>842</v>
      </c>
      <c r="BK168" s="228">
        <v>-468</v>
      </c>
      <c r="BL168" s="229">
        <v>-0.55610000000000004</v>
      </c>
      <c r="BM168" s="228">
        <v>213</v>
      </c>
      <c r="BN168" s="228">
        <v>460</v>
      </c>
      <c r="BO168" s="228">
        <v>-247</v>
      </c>
      <c r="BP168" s="229">
        <v>-0.53649999999999998</v>
      </c>
      <c r="BQ168" s="228">
        <v>835</v>
      </c>
      <c r="BR168" s="230">
        <v>1551</v>
      </c>
      <c r="BS168" s="228">
        <v>-716</v>
      </c>
      <c r="BT168" s="229">
        <v>-0.46160000000000001</v>
      </c>
      <c r="BU168" s="230">
        <v>13710250</v>
      </c>
      <c r="BV168" s="230">
        <v>8331273</v>
      </c>
      <c r="BW168" s="230">
        <v>5378977</v>
      </c>
      <c r="BX168" s="229">
        <v>0.64559999999999995</v>
      </c>
      <c r="BY168" s="230">
        <v>2140</v>
      </c>
      <c r="BZ168" s="230">
        <v>2123</v>
      </c>
      <c r="CA168" s="228">
        <v>16</v>
      </c>
      <c r="CB168" s="229">
        <v>7.6E-3</v>
      </c>
      <c r="CC168" s="230">
        <v>2019</v>
      </c>
      <c r="CD168" s="230">
        <v>2023</v>
      </c>
      <c r="CE168" s="228">
        <v>-4</v>
      </c>
      <c r="CF168" s="229">
        <v>-2E-3</v>
      </c>
      <c r="CG168" s="228">
        <v>114</v>
      </c>
      <c r="CH168" s="228">
        <v>94</v>
      </c>
      <c r="CI168" s="228">
        <v>20</v>
      </c>
      <c r="CJ168" s="229">
        <v>0.20730000000000001</v>
      </c>
      <c r="CK168" s="228">
        <v>7</v>
      </c>
      <c r="CL168" s="228">
        <v>6</v>
      </c>
      <c r="CM168" s="228">
        <v>1</v>
      </c>
      <c r="CN168" s="229">
        <v>0.11609999999999999</v>
      </c>
      <c r="CO168" s="228">
        <v>864</v>
      </c>
      <c r="CP168" s="228">
        <v>874</v>
      </c>
      <c r="CQ168" s="228">
        <v>-10</v>
      </c>
      <c r="CR168" s="229">
        <v>-1.12E-2</v>
      </c>
      <c r="CS168" s="228">
        <v>440</v>
      </c>
      <c r="CT168" s="228">
        <v>448</v>
      </c>
      <c r="CU168" s="228">
        <v>-8</v>
      </c>
      <c r="CV168" s="229">
        <v>-1.72E-2</v>
      </c>
      <c r="CW168" s="230">
        <v>3444</v>
      </c>
      <c r="CX168" s="230">
        <v>3445</v>
      </c>
      <c r="CY168" s="228">
        <v>-1</v>
      </c>
      <c r="CZ168" s="229">
        <v>-4.0000000000000002E-4</v>
      </c>
      <c r="DA168" s="228">
        <v>18.52</v>
      </c>
      <c r="DB168" s="228">
        <v>19.18</v>
      </c>
      <c r="DC168" s="228">
        <v>-0.66</v>
      </c>
      <c r="DD168" s="228">
        <v>-0.66</v>
      </c>
      <c r="DE168" s="228">
        <v>29.39</v>
      </c>
      <c r="DF168" s="228">
        <v>29.46</v>
      </c>
      <c r="DG168" s="228">
        <v>-10.87</v>
      </c>
      <c r="DH168" s="228">
        <v>-7.0000000000000007E-2</v>
      </c>
      <c r="DI168" s="228">
        <v>18.52</v>
      </c>
      <c r="DJ168" s="228">
        <v>18.670000000000002</v>
      </c>
      <c r="DK168" s="228">
        <v>-0.15</v>
      </c>
      <c r="DL168" s="228">
        <v>-0.15</v>
      </c>
      <c r="DM168" s="228">
        <v>18.52</v>
      </c>
      <c r="DN168" s="228">
        <v>20.11</v>
      </c>
      <c r="DO168" s="228">
        <v>-1.59</v>
      </c>
      <c r="DP168" s="228">
        <v>-1.59</v>
      </c>
      <c r="DQ168" s="228">
        <v>0.51</v>
      </c>
      <c r="DR168" s="228">
        <v>0.51</v>
      </c>
      <c r="DS168" s="228">
        <v>0</v>
      </c>
      <c r="DT168" s="229">
        <v>0</v>
      </c>
      <c r="DU168" s="228">
        <v>300</v>
      </c>
      <c r="DV168" s="228">
        <v>290</v>
      </c>
      <c r="DW168" s="228">
        <v>0.56999999999999995</v>
      </c>
      <c r="DX168" s="228">
        <v>0.55000000000000004</v>
      </c>
      <c r="DY168" s="228">
        <v>0.02</v>
      </c>
      <c r="DZ168" s="229">
        <v>3.6400000000000002E-2</v>
      </c>
      <c r="EA168" s="229">
        <v>5.6500000000000002E-2</v>
      </c>
      <c r="EB168" s="230">
        <v>3439000</v>
      </c>
      <c r="EC168" s="229">
        <v>-6.7000000000000002E-3</v>
      </c>
      <c r="ED168" s="229">
        <v>5.6500000000000002E-2</v>
      </c>
      <c r="EE168" s="228">
        <v>-2.0499999999999998</v>
      </c>
      <c r="EF168" s="229">
        <v>-7.0000000000000001E-3</v>
      </c>
      <c r="EG168" s="230">
        <v>10924010</v>
      </c>
      <c r="EH168" s="230">
        <v>5634180</v>
      </c>
      <c r="EI168" s="229">
        <v>0.93889999999999996</v>
      </c>
      <c r="EJ168" s="229">
        <v>0.79679999999999995</v>
      </c>
      <c r="EK168" s="228">
        <v>382.64</v>
      </c>
      <c r="EL168" s="228">
        <v>213.6</v>
      </c>
      <c r="EM168" s="228">
        <v>247.82</v>
      </c>
      <c r="EN168" s="228">
        <v>38.299999999999997</v>
      </c>
      <c r="EO168" s="228">
        <v>844.06</v>
      </c>
      <c r="EP168" s="231">
        <v>1558.61</v>
      </c>
      <c r="EQ168" s="228">
        <v>-714.55</v>
      </c>
      <c r="ER168" s="229">
        <v>-0.45850000000000002</v>
      </c>
      <c r="ES168" s="228">
        <v>885.4</v>
      </c>
      <c r="ET168" s="228">
        <v>430.51</v>
      </c>
      <c r="EU168" s="231">
        <v>2138.85</v>
      </c>
      <c r="EV168" s="231">
        <v>488832949</v>
      </c>
      <c r="EW168" s="231">
        <v>3454.76</v>
      </c>
      <c r="EX168" s="231">
        <v>3452.58</v>
      </c>
      <c r="EY168" s="228">
        <v>2.1800000000000002</v>
      </c>
      <c r="EZ168" s="229">
        <v>5.9999999999999995E-4</v>
      </c>
      <c r="FA168" s="229">
        <v>0.24079999999999999</v>
      </c>
      <c r="FB168" s="227" t="s">
        <v>555</v>
      </c>
      <c r="FC168">
        <f t="shared" si="3"/>
        <v>0</v>
      </c>
    </row>
    <row r="169" spans="1:159" ht="17.25" thickBot="1" x14ac:dyDescent="0.3">
      <c r="A169" s="226">
        <v>45946</v>
      </c>
      <c r="B169" s="227" t="s">
        <v>184</v>
      </c>
      <c r="C169" s="227" t="s">
        <v>688</v>
      </c>
      <c r="D169" s="228">
        <v>50</v>
      </c>
      <c r="E169" s="228">
        <v>12</v>
      </c>
      <c r="F169" s="231">
        <v>17762</v>
      </c>
      <c r="G169" s="231">
        <v>17536</v>
      </c>
      <c r="H169" s="228">
        <v>226</v>
      </c>
      <c r="I169" s="229">
        <v>1.29E-2</v>
      </c>
      <c r="J169" s="231">
        <v>17700</v>
      </c>
      <c r="K169" s="231">
        <v>17488</v>
      </c>
      <c r="L169" s="228">
        <v>212</v>
      </c>
      <c r="M169" s="229">
        <v>1.21E-2</v>
      </c>
      <c r="N169" s="231">
        <v>17762</v>
      </c>
      <c r="O169" s="231">
        <v>17536</v>
      </c>
      <c r="P169" s="228">
        <v>226</v>
      </c>
      <c r="Q169" s="229">
        <v>1.29E-2</v>
      </c>
      <c r="R169" s="231">
        <v>17844</v>
      </c>
      <c r="S169" s="231">
        <v>17584</v>
      </c>
      <c r="T169" s="228">
        <v>260</v>
      </c>
      <c r="U169" s="229">
        <v>1.4800000000000001E-2</v>
      </c>
      <c r="V169" s="228">
        <v>0</v>
      </c>
      <c r="W169" s="228">
        <v>0</v>
      </c>
      <c r="X169" s="228">
        <v>0</v>
      </c>
      <c r="Y169" s="229">
        <v>0</v>
      </c>
      <c r="Z169" s="228">
        <v>62</v>
      </c>
      <c r="AA169" s="228">
        <v>48</v>
      </c>
      <c r="AB169" s="228">
        <v>14</v>
      </c>
      <c r="AC169" s="229">
        <v>3.5000000000000001E-3</v>
      </c>
      <c r="AD169" s="228">
        <v>62</v>
      </c>
      <c r="AE169" s="228">
        <v>48</v>
      </c>
      <c r="AF169" s="228">
        <v>14</v>
      </c>
      <c r="AG169" s="229">
        <v>3.5000000000000001E-3</v>
      </c>
      <c r="AH169" s="228">
        <v>144</v>
      </c>
      <c r="AI169" s="228">
        <v>96</v>
      </c>
      <c r="AJ169" s="228">
        <v>48</v>
      </c>
      <c r="AK169" s="229">
        <v>8.0999999999999996E-3</v>
      </c>
      <c r="AL169" s="228">
        <v>0</v>
      </c>
      <c r="AM169" s="228">
        <v>0</v>
      </c>
      <c r="AN169" s="228">
        <v>0</v>
      </c>
      <c r="AO169" s="229">
        <v>0</v>
      </c>
      <c r="AP169" s="231">
        <v>17673.419999999998</v>
      </c>
      <c r="AQ169" s="231">
        <v>17772</v>
      </c>
      <c r="AR169" s="228">
        <v>0</v>
      </c>
      <c r="AS169" s="228">
        <v>123</v>
      </c>
      <c r="AT169" s="228">
        <v>72</v>
      </c>
      <c r="AU169" s="228">
        <v>51</v>
      </c>
      <c r="AV169" s="229">
        <v>0.70940000000000003</v>
      </c>
      <c r="AW169" s="228">
        <v>119</v>
      </c>
      <c r="AX169" s="228">
        <v>69</v>
      </c>
      <c r="AY169" s="228">
        <v>50</v>
      </c>
      <c r="AZ169" s="229">
        <v>0.71740000000000004</v>
      </c>
      <c r="BA169" s="228">
        <v>4</v>
      </c>
      <c r="BB169" s="228">
        <v>3</v>
      </c>
      <c r="BC169" s="228">
        <v>1</v>
      </c>
      <c r="BD169" s="229">
        <v>0.5</v>
      </c>
      <c r="BE169" s="228">
        <v>0</v>
      </c>
      <c r="BF169" s="228">
        <v>0</v>
      </c>
      <c r="BG169" s="228">
        <v>0</v>
      </c>
      <c r="BH169" s="229">
        <v>0</v>
      </c>
      <c r="BI169" s="228">
        <v>187</v>
      </c>
      <c r="BJ169" s="228">
        <v>83</v>
      </c>
      <c r="BK169" s="228">
        <v>104</v>
      </c>
      <c r="BL169" s="229">
        <v>1.2618</v>
      </c>
      <c r="BM169" s="228">
        <v>21</v>
      </c>
      <c r="BN169" s="228">
        <v>25</v>
      </c>
      <c r="BO169" s="228">
        <v>-3</v>
      </c>
      <c r="BP169" s="229">
        <v>-0.1331</v>
      </c>
      <c r="BQ169" s="228">
        <v>332</v>
      </c>
      <c r="BR169" s="228">
        <v>180</v>
      </c>
      <c r="BS169" s="228">
        <v>152</v>
      </c>
      <c r="BT169" s="229">
        <v>0.84819999999999995</v>
      </c>
      <c r="BU169" s="230">
        <v>81902</v>
      </c>
      <c r="BV169" s="230">
        <v>80812</v>
      </c>
      <c r="BW169" s="230">
        <v>1090</v>
      </c>
      <c r="BX169" s="229">
        <v>1.35E-2</v>
      </c>
      <c r="BY169" s="228">
        <v>167</v>
      </c>
      <c r="BZ169" s="228">
        <v>145</v>
      </c>
      <c r="CA169" s="228">
        <v>21</v>
      </c>
      <c r="CB169" s="229">
        <v>0.1474</v>
      </c>
      <c r="CC169" s="228">
        <v>163</v>
      </c>
      <c r="CD169" s="228">
        <v>141</v>
      </c>
      <c r="CE169" s="228">
        <v>21</v>
      </c>
      <c r="CF169" s="229">
        <v>0.1515</v>
      </c>
      <c r="CG169" s="228">
        <v>4</v>
      </c>
      <c r="CH169" s="228">
        <v>4</v>
      </c>
      <c r="CI169" s="228">
        <v>0</v>
      </c>
      <c r="CJ169" s="229">
        <v>0</v>
      </c>
      <c r="CK169" s="228">
        <v>0</v>
      </c>
      <c r="CL169" s="228">
        <v>0</v>
      </c>
      <c r="CM169" s="228">
        <v>0</v>
      </c>
      <c r="CN169" s="229">
        <v>0</v>
      </c>
      <c r="CO169" s="228">
        <v>116</v>
      </c>
      <c r="CP169" s="228">
        <v>113</v>
      </c>
      <c r="CQ169" s="228">
        <v>3</v>
      </c>
      <c r="CR169" s="229">
        <v>2.2700000000000001E-2</v>
      </c>
      <c r="CS169" s="228">
        <v>27</v>
      </c>
      <c r="CT169" s="228">
        <v>26</v>
      </c>
      <c r="CU169" s="228">
        <v>1</v>
      </c>
      <c r="CV169" s="229">
        <v>4.7500000000000001E-2</v>
      </c>
      <c r="CW169" s="228">
        <v>310</v>
      </c>
      <c r="CX169" s="228">
        <v>285</v>
      </c>
      <c r="CY169" s="228">
        <v>25</v>
      </c>
      <c r="CZ169" s="229">
        <v>8.8599999999999998E-2</v>
      </c>
      <c r="DA169" s="228">
        <v>34.479999999999997</v>
      </c>
      <c r="DB169" s="228">
        <v>37.549999999999997</v>
      </c>
      <c r="DC169" s="228">
        <v>-3.07</v>
      </c>
      <c r="DD169" s="228">
        <v>-3.07</v>
      </c>
      <c r="DE169" s="228">
        <v>57.98</v>
      </c>
      <c r="DF169" s="228">
        <v>58.1</v>
      </c>
      <c r="DG169" s="228">
        <v>-23.5</v>
      </c>
      <c r="DH169" s="228">
        <v>-0.12</v>
      </c>
      <c r="DI169" s="228">
        <v>34.44</v>
      </c>
      <c r="DJ169" s="228">
        <v>36.68</v>
      </c>
      <c r="DK169" s="228">
        <v>-2.2400000000000002</v>
      </c>
      <c r="DL169" s="228">
        <v>-2.2400000000000002</v>
      </c>
      <c r="DM169" s="228">
        <v>34.85</v>
      </c>
      <c r="DN169" s="228">
        <v>40.479999999999997</v>
      </c>
      <c r="DO169" s="228">
        <v>-5.63</v>
      </c>
      <c r="DP169" s="228">
        <v>-5.63</v>
      </c>
      <c r="DQ169" s="228">
        <v>0.24</v>
      </c>
      <c r="DR169" s="228">
        <v>0.23</v>
      </c>
      <c r="DS169" s="228">
        <v>0.01</v>
      </c>
      <c r="DT169" s="229">
        <v>4.3499999999999997E-2</v>
      </c>
      <c r="DU169" s="231">
        <v>18500</v>
      </c>
      <c r="DV169" s="231">
        <v>17000</v>
      </c>
      <c r="DW169" s="228">
        <v>0.11</v>
      </c>
      <c r="DX169" s="228">
        <v>0.3</v>
      </c>
      <c r="DY169" s="228">
        <v>-0.19</v>
      </c>
      <c r="DZ169" s="229">
        <v>-0.63329999999999997</v>
      </c>
      <c r="EA169" s="229">
        <v>2.35E-2</v>
      </c>
      <c r="EB169" s="230">
        <v>2200</v>
      </c>
      <c r="EC169" s="229">
        <v>4.5999999999999999E-3</v>
      </c>
      <c r="ED169" s="229">
        <v>2.35E-2</v>
      </c>
      <c r="EE169" s="228">
        <v>98.58</v>
      </c>
      <c r="EF169" s="229">
        <v>5.5999999999999999E-3</v>
      </c>
      <c r="EG169" s="230">
        <v>35231</v>
      </c>
      <c r="EH169" s="230">
        <v>25731</v>
      </c>
      <c r="EI169" s="229">
        <v>0.36919999999999997</v>
      </c>
      <c r="EJ169" s="229">
        <v>0.43020000000000003</v>
      </c>
      <c r="EK169" s="228">
        <v>195.49</v>
      </c>
      <c r="EL169" s="228">
        <v>20.93</v>
      </c>
      <c r="EM169" s="228">
        <v>122.68</v>
      </c>
      <c r="EN169" s="228">
        <v>5.83</v>
      </c>
      <c r="EO169" s="228">
        <v>339.1</v>
      </c>
      <c r="EP169" s="228">
        <v>180.73</v>
      </c>
      <c r="EQ169" s="228">
        <v>158.37</v>
      </c>
      <c r="ER169" s="229">
        <v>0.87629999999999997</v>
      </c>
      <c r="ES169" s="228">
        <v>121.88</v>
      </c>
      <c r="ET169" s="228">
        <v>26.43</v>
      </c>
      <c r="EU169" s="228">
        <v>166.63</v>
      </c>
      <c r="EV169" s="231">
        <v>1917916</v>
      </c>
      <c r="EW169" s="228">
        <v>314.93</v>
      </c>
      <c r="EX169" s="228">
        <v>288.47000000000003</v>
      </c>
      <c r="EY169" s="228">
        <v>26.46</v>
      </c>
      <c r="EZ169" s="229">
        <v>9.1700000000000004E-2</v>
      </c>
      <c r="FA169" s="229">
        <v>9.0999999999999998E-2</v>
      </c>
      <c r="FB169" s="227" t="s">
        <v>555</v>
      </c>
      <c r="FC169">
        <f t="shared" si="3"/>
        <v>0</v>
      </c>
    </row>
    <row r="170" spans="1:159" ht="17.25" thickBot="1" x14ac:dyDescent="0.3">
      <c r="A170" s="226">
        <v>45946</v>
      </c>
      <c r="B170" s="227" t="s">
        <v>170</v>
      </c>
      <c r="C170" s="227" t="s">
        <v>679</v>
      </c>
      <c r="D170" s="228">
        <v>2500</v>
      </c>
      <c r="E170" s="228">
        <v>12</v>
      </c>
      <c r="F170" s="228">
        <v>194.15</v>
      </c>
      <c r="G170" s="228">
        <v>193.67</v>
      </c>
      <c r="H170" s="228">
        <v>0.48</v>
      </c>
      <c r="I170" s="229">
        <v>2.5000000000000001E-3</v>
      </c>
      <c r="J170" s="228">
        <v>194.16</v>
      </c>
      <c r="K170" s="228">
        <v>193.5</v>
      </c>
      <c r="L170" s="228">
        <v>0.66</v>
      </c>
      <c r="M170" s="229">
        <v>3.3999999999999998E-3</v>
      </c>
      <c r="N170" s="228">
        <v>194.15</v>
      </c>
      <c r="O170" s="228">
        <v>193.67</v>
      </c>
      <c r="P170" s="228">
        <v>0.48</v>
      </c>
      <c r="Q170" s="229">
        <v>2.5000000000000001E-3</v>
      </c>
      <c r="R170" s="228">
        <v>194.71</v>
      </c>
      <c r="S170" s="228">
        <v>194.52</v>
      </c>
      <c r="T170" s="228">
        <v>0.19</v>
      </c>
      <c r="U170" s="229">
        <v>1E-3</v>
      </c>
      <c r="V170" s="228">
        <v>195.63</v>
      </c>
      <c r="W170" s="228">
        <v>195.71</v>
      </c>
      <c r="X170" s="228">
        <v>-0.08</v>
      </c>
      <c r="Y170" s="229">
        <v>-4.0000000000000002E-4</v>
      </c>
      <c r="Z170" s="228">
        <v>-0.01</v>
      </c>
      <c r="AA170" s="228">
        <v>0.17</v>
      </c>
      <c r="AB170" s="228">
        <v>-0.18</v>
      </c>
      <c r="AC170" s="229">
        <v>-1E-4</v>
      </c>
      <c r="AD170" s="228">
        <v>-0.01</v>
      </c>
      <c r="AE170" s="228">
        <v>0.17</v>
      </c>
      <c r="AF170" s="228">
        <v>-0.18</v>
      </c>
      <c r="AG170" s="229">
        <v>-1E-4</v>
      </c>
      <c r="AH170" s="228">
        <v>0.55000000000000004</v>
      </c>
      <c r="AI170" s="228">
        <v>1.02</v>
      </c>
      <c r="AJ170" s="228">
        <v>-0.47</v>
      </c>
      <c r="AK170" s="229">
        <v>2.8E-3</v>
      </c>
      <c r="AL170" s="228">
        <v>1.47</v>
      </c>
      <c r="AM170" s="228">
        <v>2.21</v>
      </c>
      <c r="AN170" s="228">
        <v>-0.74</v>
      </c>
      <c r="AO170" s="229">
        <v>7.6E-3</v>
      </c>
      <c r="AP170" s="228">
        <v>194.55</v>
      </c>
      <c r="AQ170" s="228">
        <v>195.16</v>
      </c>
      <c r="AR170" s="228">
        <v>0</v>
      </c>
      <c r="AS170" s="228">
        <v>97</v>
      </c>
      <c r="AT170" s="228">
        <v>120</v>
      </c>
      <c r="AU170" s="228">
        <v>-23</v>
      </c>
      <c r="AV170" s="229">
        <v>-0.19120000000000001</v>
      </c>
      <c r="AW170" s="228">
        <v>76</v>
      </c>
      <c r="AX170" s="228">
        <v>108</v>
      </c>
      <c r="AY170" s="228">
        <v>-32</v>
      </c>
      <c r="AZ170" s="229">
        <v>-0.29880000000000001</v>
      </c>
      <c r="BA170" s="228">
        <v>20</v>
      </c>
      <c r="BB170" s="228">
        <v>11</v>
      </c>
      <c r="BC170" s="228">
        <v>9</v>
      </c>
      <c r="BD170" s="229">
        <v>0.83479999999999999</v>
      </c>
      <c r="BE170" s="228">
        <v>1</v>
      </c>
      <c r="BF170" s="228">
        <v>1</v>
      </c>
      <c r="BG170" s="228">
        <v>0</v>
      </c>
      <c r="BH170" s="229">
        <v>6.6699999999999995E-2</v>
      </c>
      <c r="BI170" s="228">
        <v>115</v>
      </c>
      <c r="BJ170" s="228">
        <v>250</v>
      </c>
      <c r="BK170" s="228">
        <v>-136</v>
      </c>
      <c r="BL170" s="229">
        <v>-0.54120000000000001</v>
      </c>
      <c r="BM170" s="228">
        <v>25</v>
      </c>
      <c r="BN170" s="228">
        <v>129</v>
      </c>
      <c r="BO170" s="228">
        <v>-104</v>
      </c>
      <c r="BP170" s="229">
        <v>-0.80430000000000001</v>
      </c>
      <c r="BQ170" s="228">
        <v>237</v>
      </c>
      <c r="BR170" s="228">
        <v>500</v>
      </c>
      <c r="BS170" s="228">
        <v>-263</v>
      </c>
      <c r="BT170" s="229">
        <v>-0.52529999999999999</v>
      </c>
      <c r="BU170" s="230">
        <v>2159349</v>
      </c>
      <c r="BV170" s="230">
        <v>2608748</v>
      </c>
      <c r="BW170" s="230">
        <v>-449399</v>
      </c>
      <c r="BX170" s="229">
        <v>-0.17230000000000001</v>
      </c>
      <c r="BY170" s="228">
        <v>436</v>
      </c>
      <c r="BZ170" s="228">
        <v>445</v>
      </c>
      <c r="CA170" s="228">
        <v>-9</v>
      </c>
      <c r="CB170" s="229">
        <v>-2.0299999999999999E-2</v>
      </c>
      <c r="CC170" s="228">
        <v>394</v>
      </c>
      <c r="CD170" s="228">
        <v>410</v>
      </c>
      <c r="CE170" s="228">
        <v>-17</v>
      </c>
      <c r="CF170" s="229">
        <v>-4.0899999999999999E-2</v>
      </c>
      <c r="CG170" s="228">
        <v>38</v>
      </c>
      <c r="CH170" s="228">
        <v>31</v>
      </c>
      <c r="CI170" s="228">
        <v>8</v>
      </c>
      <c r="CJ170" s="229">
        <v>0.2571</v>
      </c>
      <c r="CK170" s="228">
        <v>4</v>
      </c>
      <c r="CL170" s="228">
        <v>4</v>
      </c>
      <c r="CM170" s="228">
        <v>0</v>
      </c>
      <c r="CN170" s="229">
        <v>-2.5999999999999999E-2</v>
      </c>
      <c r="CO170" s="228">
        <v>291</v>
      </c>
      <c r="CP170" s="228">
        <v>287</v>
      </c>
      <c r="CQ170" s="228">
        <v>4</v>
      </c>
      <c r="CR170" s="229">
        <v>1.2800000000000001E-2</v>
      </c>
      <c r="CS170" s="228">
        <v>160</v>
      </c>
      <c r="CT170" s="228">
        <v>160</v>
      </c>
      <c r="CU170" s="228">
        <v>0</v>
      </c>
      <c r="CV170" s="229">
        <v>-8.9999999999999998E-4</v>
      </c>
      <c r="CW170" s="228">
        <v>887</v>
      </c>
      <c r="CX170" s="228">
        <v>892</v>
      </c>
      <c r="CY170" s="228">
        <v>-5</v>
      </c>
      <c r="CZ170" s="229">
        <v>-6.1000000000000004E-3</v>
      </c>
      <c r="DA170" s="228">
        <v>34.92</v>
      </c>
      <c r="DB170" s="228">
        <v>35.64</v>
      </c>
      <c r="DC170" s="228">
        <v>-0.72</v>
      </c>
      <c r="DD170" s="228">
        <v>-0.72</v>
      </c>
      <c r="DE170" s="228">
        <v>47.11</v>
      </c>
      <c r="DF170" s="228">
        <v>47.23</v>
      </c>
      <c r="DG170" s="228">
        <v>-12.19</v>
      </c>
      <c r="DH170" s="228">
        <v>-0.12</v>
      </c>
      <c r="DI170" s="228">
        <v>35.18</v>
      </c>
      <c r="DJ170" s="228">
        <v>35.85</v>
      </c>
      <c r="DK170" s="228">
        <v>-0.67</v>
      </c>
      <c r="DL170" s="228">
        <v>-0.67</v>
      </c>
      <c r="DM170" s="228">
        <v>33.729999999999997</v>
      </c>
      <c r="DN170" s="228">
        <v>35.229999999999997</v>
      </c>
      <c r="DO170" s="228">
        <v>-1.5</v>
      </c>
      <c r="DP170" s="228">
        <v>-1.5</v>
      </c>
      <c r="DQ170" s="228">
        <v>0.55000000000000004</v>
      </c>
      <c r="DR170" s="228">
        <v>0.56000000000000005</v>
      </c>
      <c r="DS170" s="228">
        <v>-0.01</v>
      </c>
      <c r="DT170" s="229">
        <v>-1.7899999999999999E-2</v>
      </c>
      <c r="DU170" s="228">
        <v>210</v>
      </c>
      <c r="DV170" s="228">
        <v>185</v>
      </c>
      <c r="DW170" s="228">
        <v>0.22</v>
      </c>
      <c r="DX170" s="228">
        <v>0.52</v>
      </c>
      <c r="DY170" s="228">
        <v>-0.3</v>
      </c>
      <c r="DZ170" s="229">
        <v>-0.57689999999999997</v>
      </c>
      <c r="EA170" s="229">
        <v>9.6600000000000005E-2</v>
      </c>
      <c r="EB170" s="230">
        <v>1767500</v>
      </c>
      <c r="EC170" s="229">
        <v>2.8999999999999998E-3</v>
      </c>
      <c r="ED170" s="229">
        <v>9.6600000000000005E-2</v>
      </c>
      <c r="EE170" s="228">
        <v>0.61</v>
      </c>
      <c r="EF170" s="229">
        <v>3.0999999999999999E-3</v>
      </c>
      <c r="EG170" s="230">
        <v>1118364</v>
      </c>
      <c r="EH170" s="230">
        <v>646057</v>
      </c>
      <c r="EI170" s="229">
        <v>0.73109999999999997</v>
      </c>
      <c r="EJ170" s="229">
        <v>0.51790000000000003</v>
      </c>
      <c r="EK170" s="228">
        <v>121.08</v>
      </c>
      <c r="EL170" s="228">
        <v>25.99</v>
      </c>
      <c r="EM170" s="228">
        <v>97.4</v>
      </c>
      <c r="EN170" s="228">
        <v>33.64</v>
      </c>
      <c r="EO170" s="228">
        <v>244.47</v>
      </c>
      <c r="EP170" s="228">
        <v>513.75</v>
      </c>
      <c r="EQ170" s="228">
        <v>-269.27999999999997</v>
      </c>
      <c r="ER170" s="229">
        <v>-0.5242</v>
      </c>
      <c r="ES170" s="228">
        <v>310.73</v>
      </c>
      <c r="ET170" s="228">
        <v>159.19</v>
      </c>
      <c r="EU170" s="228">
        <v>435.76</v>
      </c>
      <c r="EV170" s="231">
        <v>120138597</v>
      </c>
      <c r="EW170" s="228">
        <v>905.68</v>
      </c>
      <c r="EX170" s="228">
        <v>910.16</v>
      </c>
      <c r="EY170" s="228">
        <v>-4.4800000000000004</v>
      </c>
      <c r="EZ170" s="229">
        <v>-4.8999999999999998E-3</v>
      </c>
      <c r="FA170" s="229">
        <v>0.38019999999999998</v>
      </c>
      <c r="FB170" s="227" t="s">
        <v>556</v>
      </c>
      <c r="FC170">
        <f t="shared" si="3"/>
        <v>0</v>
      </c>
    </row>
    <row r="171" spans="1:159" ht="17.25" thickBot="1" x14ac:dyDescent="0.3">
      <c r="A171" s="226">
        <v>45946</v>
      </c>
      <c r="B171" s="227" t="s">
        <v>206</v>
      </c>
      <c r="C171" s="227" t="s">
        <v>605</v>
      </c>
      <c r="D171" s="228">
        <v>450</v>
      </c>
      <c r="E171" s="228">
        <v>12</v>
      </c>
      <c r="F171" s="231">
        <v>1699.8</v>
      </c>
      <c r="G171" s="231">
        <v>1684</v>
      </c>
      <c r="H171" s="228">
        <v>15.8</v>
      </c>
      <c r="I171" s="229">
        <v>9.4000000000000004E-3</v>
      </c>
      <c r="J171" s="231">
        <v>1696.9</v>
      </c>
      <c r="K171" s="231">
        <v>1676</v>
      </c>
      <c r="L171" s="228">
        <v>20.9</v>
      </c>
      <c r="M171" s="229">
        <v>1.2500000000000001E-2</v>
      </c>
      <c r="N171" s="231">
        <v>1699.8</v>
      </c>
      <c r="O171" s="231">
        <v>1684</v>
      </c>
      <c r="P171" s="228">
        <v>15.8</v>
      </c>
      <c r="Q171" s="229">
        <v>9.4000000000000004E-3</v>
      </c>
      <c r="R171" s="231">
        <v>1707.3</v>
      </c>
      <c r="S171" s="231">
        <v>1692.7</v>
      </c>
      <c r="T171" s="228">
        <v>14.6</v>
      </c>
      <c r="U171" s="229">
        <v>8.6E-3</v>
      </c>
      <c r="V171" s="231">
        <v>1734</v>
      </c>
      <c r="W171" s="231">
        <v>1694.1</v>
      </c>
      <c r="X171" s="228">
        <v>39.9</v>
      </c>
      <c r="Y171" s="229">
        <v>2.3599999999999999E-2</v>
      </c>
      <c r="Z171" s="228">
        <v>2.9</v>
      </c>
      <c r="AA171" s="228">
        <v>8</v>
      </c>
      <c r="AB171" s="228">
        <v>-5.0999999999999996</v>
      </c>
      <c r="AC171" s="229">
        <v>1.6999999999999999E-3</v>
      </c>
      <c r="AD171" s="228">
        <v>2.9</v>
      </c>
      <c r="AE171" s="228">
        <v>8</v>
      </c>
      <c r="AF171" s="228">
        <v>-5.0999999999999996</v>
      </c>
      <c r="AG171" s="229">
        <v>1.6999999999999999E-3</v>
      </c>
      <c r="AH171" s="228">
        <v>10.4</v>
      </c>
      <c r="AI171" s="228">
        <v>16.7</v>
      </c>
      <c r="AJ171" s="228">
        <v>-6.3</v>
      </c>
      <c r="AK171" s="229">
        <v>6.1000000000000004E-3</v>
      </c>
      <c r="AL171" s="228">
        <v>37.1</v>
      </c>
      <c r="AM171" s="228">
        <v>18.100000000000001</v>
      </c>
      <c r="AN171" s="228">
        <v>19</v>
      </c>
      <c r="AO171" s="229">
        <v>2.1899999999999999E-2</v>
      </c>
      <c r="AP171" s="231">
        <v>1704.47</v>
      </c>
      <c r="AQ171" s="231">
        <v>1713.85</v>
      </c>
      <c r="AR171" s="228">
        <v>0</v>
      </c>
      <c r="AS171" s="228">
        <v>156</v>
      </c>
      <c r="AT171" s="228">
        <v>433</v>
      </c>
      <c r="AU171" s="228">
        <v>-277</v>
      </c>
      <c r="AV171" s="229">
        <v>-0.63929999999999998</v>
      </c>
      <c r="AW171" s="228">
        <v>144</v>
      </c>
      <c r="AX171" s="228">
        <v>393</v>
      </c>
      <c r="AY171" s="228">
        <v>-249</v>
      </c>
      <c r="AZ171" s="229">
        <v>-0.63290000000000002</v>
      </c>
      <c r="BA171" s="228">
        <v>11</v>
      </c>
      <c r="BB171" s="228">
        <v>37</v>
      </c>
      <c r="BC171" s="228">
        <v>-26</v>
      </c>
      <c r="BD171" s="229">
        <v>-0.70720000000000005</v>
      </c>
      <c r="BE171" s="228">
        <v>1</v>
      </c>
      <c r="BF171" s="228">
        <v>3</v>
      </c>
      <c r="BG171" s="228">
        <v>-2</v>
      </c>
      <c r="BH171" s="229">
        <v>-0.63639999999999997</v>
      </c>
      <c r="BI171" s="228">
        <v>856</v>
      </c>
      <c r="BJ171" s="230">
        <v>2576</v>
      </c>
      <c r="BK171" s="230">
        <v>-1720</v>
      </c>
      <c r="BL171" s="229">
        <v>-0.66779999999999995</v>
      </c>
      <c r="BM171" s="228">
        <v>264</v>
      </c>
      <c r="BN171" s="228">
        <v>772</v>
      </c>
      <c r="BO171" s="228">
        <v>-507</v>
      </c>
      <c r="BP171" s="229">
        <v>-0.65739999999999998</v>
      </c>
      <c r="BQ171" s="230">
        <v>1276</v>
      </c>
      <c r="BR171" s="230">
        <v>3780</v>
      </c>
      <c r="BS171" s="230">
        <v>-2504</v>
      </c>
      <c r="BT171" s="229">
        <v>-0.66239999999999999</v>
      </c>
      <c r="BU171" s="230">
        <v>1054248</v>
      </c>
      <c r="BV171" s="230">
        <v>2253150</v>
      </c>
      <c r="BW171" s="230">
        <v>-1198902</v>
      </c>
      <c r="BX171" s="229">
        <v>-0.53210000000000002</v>
      </c>
      <c r="BY171" s="228">
        <v>792</v>
      </c>
      <c r="BZ171" s="228">
        <v>777</v>
      </c>
      <c r="CA171" s="228">
        <v>15</v>
      </c>
      <c r="CB171" s="229">
        <v>1.9800000000000002E-2</v>
      </c>
      <c r="CC171" s="228">
        <v>769</v>
      </c>
      <c r="CD171" s="228">
        <v>756</v>
      </c>
      <c r="CE171" s="228">
        <v>12</v>
      </c>
      <c r="CF171" s="229">
        <v>1.6400000000000001E-2</v>
      </c>
      <c r="CG171" s="228">
        <v>20</v>
      </c>
      <c r="CH171" s="228">
        <v>18</v>
      </c>
      <c r="CI171" s="228">
        <v>2</v>
      </c>
      <c r="CJ171" s="229">
        <v>0.13139999999999999</v>
      </c>
      <c r="CK171" s="228">
        <v>3</v>
      </c>
      <c r="CL171" s="228">
        <v>3</v>
      </c>
      <c r="CM171" s="228">
        <v>1</v>
      </c>
      <c r="CN171" s="229">
        <v>0.23530000000000001</v>
      </c>
      <c r="CO171" s="228">
        <v>362</v>
      </c>
      <c r="CP171" s="228">
        <v>379</v>
      </c>
      <c r="CQ171" s="228">
        <v>-17</v>
      </c>
      <c r="CR171" s="229">
        <v>-4.5600000000000002E-2</v>
      </c>
      <c r="CS171" s="228">
        <v>274</v>
      </c>
      <c r="CT171" s="228">
        <v>266</v>
      </c>
      <c r="CU171" s="228">
        <v>8</v>
      </c>
      <c r="CV171" s="229">
        <v>3.0200000000000001E-2</v>
      </c>
      <c r="CW171" s="230">
        <v>1429</v>
      </c>
      <c r="CX171" s="230">
        <v>1422</v>
      </c>
      <c r="CY171" s="228">
        <v>6</v>
      </c>
      <c r="CZ171" s="229">
        <v>4.3E-3</v>
      </c>
      <c r="DA171" s="228">
        <v>29.56</v>
      </c>
      <c r="DB171" s="228">
        <v>32.4</v>
      </c>
      <c r="DC171" s="228">
        <v>-2.84</v>
      </c>
      <c r="DD171" s="228">
        <v>-2.84</v>
      </c>
      <c r="DE171" s="228">
        <v>47.46</v>
      </c>
      <c r="DF171" s="228">
        <v>47.56</v>
      </c>
      <c r="DG171" s="228">
        <v>-17.899999999999999</v>
      </c>
      <c r="DH171" s="228">
        <v>-0.1</v>
      </c>
      <c r="DI171" s="228">
        <v>29.43</v>
      </c>
      <c r="DJ171" s="228">
        <v>32.44</v>
      </c>
      <c r="DK171" s="228">
        <v>-3.01</v>
      </c>
      <c r="DL171" s="228">
        <v>-3.01</v>
      </c>
      <c r="DM171" s="228">
        <v>29.96</v>
      </c>
      <c r="DN171" s="228">
        <v>32.26</v>
      </c>
      <c r="DO171" s="228">
        <v>-2.2999999999999998</v>
      </c>
      <c r="DP171" s="228">
        <v>-2.2999999999999998</v>
      </c>
      <c r="DQ171" s="228">
        <v>0.76</v>
      </c>
      <c r="DR171" s="228">
        <v>0.7</v>
      </c>
      <c r="DS171" s="228">
        <v>0.06</v>
      </c>
      <c r="DT171" s="229">
        <v>8.5699999999999998E-2</v>
      </c>
      <c r="DU171" s="231">
        <v>1700</v>
      </c>
      <c r="DV171" s="231">
        <v>1600</v>
      </c>
      <c r="DW171" s="228">
        <v>0.31</v>
      </c>
      <c r="DX171" s="228">
        <v>0.3</v>
      </c>
      <c r="DY171" s="228">
        <v>0.01</v>
      </c>
      <c r="DZ171" s="229">
        <v>3.3300000000000003E-2</v>
      </c>
      <c r="EA171" s="229">
        <v>2.98E-2</v>
      </c>
      <c r="EB171" s="230">
        <v>121500</v>
      </c>
      <c r="EC171" s="229">
        <v>4.4000000000000003E-3</v>
      </c>
      <c r="ED171" s="229">
        <v>2.98E-2</v>
      </c>
      <c r="EE171" s="228">
        <v>9.3800000000000008</v>
      </c>
      <c r="EF171" s="229">
        <v>5.4999999999999997E-3</v>
      </c>
      <c r="EG171" s="230">
        <v>511486</v>
      </c>
      <c r="EH171" s="230">
        <v>869362</v>
      </c>
      <c r="EI171" s="229">
        <v>-0.41170000000000001</v>
      </c>
      <c r="EJ171" s="229">
        <v>0.48520000000000002</v>
      </c>
      <c r="EK171" s="228">
        <v>883.23</v>
      </c>
      <c r="EL171" s="228">
        <v>258.12</v>
      </c>
      <c r="EM171" s="228">
        <v>156.61000000000001</v>
      </c>
      <c r="EN171" s="228">
        <v>40.4</v>
      </c>
      <c r="EO171" s="231">
        <v>1297.97</v>
      </c>
      <c r="EP171" s="231">
        <v>3810.95</v>
      </c>
      <c r="EQ171" s="231">
        <v>-2512.98</v>
      </c>
      <c r="ER171" s="229">
        <v>-0.65939999999999999</v>
      </c>
      <c r="ES171" s="228">
        <v>365.09</v>
      </c>
      <c r="ET171" s="228">
        <v>253.45</v>
      </c>
      <c r="EU171" s="228">
        <v>792.53</v>
      </c>
      <c r="EV171" s="231">
        <v>25234534</v>
      </c>
      <c r="EW171" s="231">
        <v>1411.06</v>
      </c>
      <c r="EX171" s="231">
        <v>1395.99</v>
      </c>
      <c r="EY171" s="228">
        <v>15.07</v>
      </c>
      <c r="EZ171" s="229">
        <v>1.0800000000000001E-2</v>
      </c>
      <c r="FA171" s="229">
        <v>0.33300000000000002</v>
      </c>
      <c r="FB171" s="227" t="s">
        <v>555</v>
      </c>
      <c r="FC171">
        <f t="shared" si="3"/>
        <v>0</v>
      </c>
    </row>
    <row r="172" spans="1:159" ht="17.25" thickBot="1" x14ac:dyDescent="0.3">
      <c r="A172" s="226">
        <v>45946</v>
      </c>
      <c r="B172" s="227" t="s">
        <v>172</v>
      </c>
      <c r="C172" s="227" t="s">
        <v>279</v>
      </c>
      <c r="D172" s="228">
        <v>3175</v>
      </c>
      <c r="E172" s="228">
        <v>12</v>
      </c>
      <c r="F172" s="228">
        <v>307.89999999999998</v>
      </c>
      <c r="G172" s="228">
        <v>300.85000000000002</v>
      </c>
      <c r="H172" s="228">
        <v>7.05</v>
      </c>
      <c r="I172" s="229">
        <v>2.3400000000000001E-2</v>
      </c>
      <c r="J172" s="228">
        <v>306.75</v>
      </c>
      <c r="K172" s="228">
        <v>299.55</v>
      </c>
      <c r="L172" s="228">
        <v>7.2</v>
      </c>
      <c r="M172" s="229">
        <v>2.4E-2</v>
      </c>
      <c r="N172" s="228">
        <v>307.89999999999998</v>
      </c>
      <c r="O172" s="228">
        <v>300.85000000000002</v>
      </c>
      <c r="P172" s="228">
        <v>7.05</v>
      </c>
      <c r="Q172" s="229">
        <v>2.3400000000000001E-2</v>
      </c>
      <c r="R172" s="228">
        <v>309.7</v>
      </c>
      <c r="S172" s="228">
        <v>301.75</v>
      </c>
      <c r="T172" s="228">
        <v>7.95</v>
      </c>
      <c r="U172" s="229">
        <v>2.63E-2</v>
      </c>
      <c r="V172" s="228">
        <v>311.8</v>
      </c>
      <c r="W172" s="228">
        <v>303</v>
      </c>
      <c r="X172" s="228">
        <v>8.8000000000000007</v>
      </c>
      <c r="Y172" s="229">
        <v>2.9000000000000001E-2</v>
      </c>
      <c r="Z172" s="228">
        <v>1.1499999999999999</v>
      </c>
      <c r="AA172" s="228">
        <v>1.3</v>
      </c>
      <c r="AB172" s="228">
        <v>-0.15</v>
      </c>
      <c r="AC172" s="229">
        <v>3.7000000000000002E-3</v>
      </c>
      <c r="AD172" s="228">
        <v>1.1499999999999999</v>
      </c>
      <c r="AE172" s="228">
        <v>1.3</v>
      </c>
      <c r="AF172" s="228">
        <v>-0.15</v>
      </c>
      <c r="AG172" s="229">
        <v>3.7000000000000002E-3</v>
      </c>
      <c r="AH172" s="228">
        <v>2.95</v>
      </c>
      <c r="AI172" s="228">
        <v>2.2000000000000002</v>
      </c>
      <c r="AJ172" s="228">
        <v>0.75</v>
      </c>
      <c r="AK172" s="229">
        <v>9.5999999999999992E-3</v>
      </c>
      <c r="AL172" s="228">
        <v>5.05</v>
      </c>
      <c r="AM172" s="228">
        <v>3.45</v>
      </c>
      <c r="AN172" s="228">
        <v>1.6</v>
      </c>
      <c r="AO172" s="229">
        <v>1.6500000000000001E-2</v>
      </c>
      <c r="AP172" s="228">
        <v>302.64999999999998</v>
      </c>
      <c r="AQ172" s="228">
        <v>304.14</v>
      </c>
      <c r="AR172" s="228">
        <v>0</v>
      </c>
      <c r="AS172" s="230">
        <v>2250</v>
      </c>
      <c r="AT172" s="228">
        <v>119</v>
      </c>
      <c r="AU172" s="230">
        <v>2131</v>
      </c>
      <c r="AV172" s="229">
        <v>17.9145</v>
      </c>
      <c r="AW172" s="230">
        <v>1394</v>
      </c>
      <c r="AX172" s="228">
        <v>116</v>
      </c>
      <c r="AY172" s="230">
        <v>1278</v>
      </c>
      <c r="AZ172" s="229">
        <v>10.9765</v>
      </c>
      <c r="BA172" s="228">
        <v>851</v>
      </c>
      <c r="BB172" s="228">
        <v>2</v>
      </c>
      <c r="BC172" s="228">
        <v>848</v>
      </c>
      <c r="BD172" s="229">
        <v>347.04</v>
      </c>
      <c r="BE172" s="228">
        <v>5</v>
      </c>
      <c r="BF172" s="228">
        <v>0</v>
      </c>
      <c r="BG172" s="228">
        <v>5</v>
      </c>
      <c r="BH172" s="229">
        <v>53</v>
      </c>
      <c r="BI172" s="230">
        <v>1544</v>
      </c>
      <c r="BJ172" s="228">
        <v>38</v>
      </c>
      <c r="BK172" s="230">
        <v>1506</v>
      </c>
      <c r="BL172" s="229">
        <v>40.122399999999999</v>
      </c>
      <c r="BM172" s="228">
        <v>838</v>
      </c>
      <c r="BN172" s="228">
        <v>30</v>
      </c>
      <c r="BO172" s="228">
        <v>809</v>
      </c>
      <c r="BP172" s="229">
        <v>27.303599999999999</v>
      </c>
      <c r="BQ172" s="230">
        <v>4632</v>
      </c>
      <c r="BR172" s="228">
        <v>186</v>
      </c>
      <c r="BS172" s="230">
        <v>4446</v>
      </c>
      <c r="BT172" s="229">
        <v>23.887599999999999</v>
      </c>
      <c r="BU172" s="230">
        <v>34100299</v>
      </c>
      <c r="BV172" s="230">
        <v>27973665</v>
      </c>
      <c r="BW172" s="230">
        <v>6126634</v>
      </c>
      <c r="BX172" s="229">
        <v>0.219</v>
      </c>
      <c r="BY172" s="230">
        <v>2532</v>
      </c>
      <c r="BZ172" s="230">
        <v>2165</v>
      </c>
      <c r="CA172" s="228">
        <v>367</v>
      </c>
      <c r="CB172" s="229">
        <v>0.16980000000000001</v>
      </c>
      <c r="CC172" s="230">
        <v>1836</v>
      </c>
      <c r="CD172" s="230">
        <v>2064</v>
      </c>
      <c r="CE172" s="228">
        <v>-228</v>
      </c>
      <c r="CF172" s="229">
        <v>-0.1106</v>
      </c>
      <c r="CG172" s="228">
        <v>689</v>
      </c>
      <c r="CH172" s="228">
        <v>97</v>
      </c>
      <c r="CI172" s="228">
        <v>593</v>
      </c>
      <c r="CJ172" s="229">
        <v>6.1222000000000003</v>
      </c>
      <c r="CK172" s="228">
        <v>7</v>
      </c>
      <c r="CL172" s="228">
        <v>4</v>
      </c>
      <c r="CM172" s="228">
        <v>3</v>
      </c>
      <c r="CN172" s="229">
        <v>0.78569999999999995</v>
      </c>
      <c r="CO172" s="228">
        <v>726</v>
      </c>
      <c r="CP172" s="228">
        <v>615</v>
      </c>
      <c r="CQ172" s="228">
        <v>111</v>
      </c>
      <c r="CR172" s="229">
        <v>0.18049999999999999</v>
      </c>
      <c r="CS172" s="228">
        <v>382</v>
      </c>
      <c r="CT172" s="228">
        <v>273</v>
      </c>
      <c r="CU172" s="228">
        <v>109</v>
      </c>
      <c r="CV172" s="229">
        <v>0.4017</v>
      </c>
      <c r="CW172" s="230">
        <v>3640</v>
      </c>
      <c r="CX172" s="230">
        <v>3052</v>
      </c>
      <c r="CY172" s="228">
        <v>588</v>
      </c>
      <c r="CZ172" s="229">
        <v>0.19259999999999999</v>
      </c>
      <c r="DA172" s="228">
        <v>49.08</v>
      </c>
      <c r="DB172" s="228">
        <v>52.2</v>
      </c>
      <c r="DC172" s="228">
        <v>-3.12</v>
      </c>
      <c r="DD172" s="228">
        <v>-3.12</v>
      </c>
      <c r="DE172" s="228">
        <v>46.54</v>
      </c>
      <c r="DF172" s="228">
        <v>46.54</v>
      </c>
      <c r="DG172" s="228">
        <v>2.54</v>
      </c>
      <c r="DH172" s="228">
        <v>0</v>
      </c>
      <c r="DI172" s="228">
        <v>48.64</v>
      </c>
      <c r="DJ172" s="228">
        <v>49.5</v>
      </c>
      <c r="DK172" s="228">
        <v>-0.86</v>
      </c>
      <c r="DL172" s="228">
        <v>-0.86</v>
      </c>
      <c r="DM172" s="228">
        <v>49.88</v>
      </c>
      <c r="DN172" s="228">
        <v>55.61</v>
      </c>
      <c r="DO172" s="228">
        <v>-5.73</v>
      </c>
      <c r="DP172" s="228">
        <v>-5.73</v>
      </c>
      <c r="DQ172" s="228">
        <v>0.53</v>
      </c>
      <c r="DR172" s="228">
        <v>0.44</v>
      </c>
      <c r="DS172" s="228">
        <v>0.09</v>
      </c>
      <c r="DT172" s="229">
        <v>0.20449999999999999</v>
      </c>
      <c r="DU172" s="228">
        <v>300</v>
      </c>
      <c r="DV172" s="228">
        <v>250</v>
      </c>
      <c r="DW172" s="228">
        <v>0.54</v>
      </c>
      <c r="DX172" s="228">
        <v>0.79</v>
      </c>
      <c r="DY172" s="228">
        <v>-0.25</v>
      </c>
      <c r="DZ172" s="229">
        <v>-0.3165</v>
      </c>
      <c r="EA172" s="229">
        <v>0.27510000000000001</v>
      </c>
      <c r="EB172" s="230">
        <v>3276600</v>
      </c>
      <c r="EC172" s="229">
        <v>5.7999999999999996E-3</v>
      </c>
      <c r="ED172" s="229">
        <v>0.27510000000000001</v>
      </c>
      <c r="EE172" s="228">
        <v>1.49</v>
      </c>
      <c r="EF172" s="229">
        <v>4.8999999999999998E-3</v>
      </c>
      <c r="EG172" s="230">
        <v>13754363</v>
      </c>
      <c r="EH172" s="230">
        <v>11740350</v>
      </c>
      <c r="EI172" s="229">
        <v>0.17150000000000001</v>
      </c>
      <c r="EJ172" s="229">
        <v>0.40339999999999998</v>
      </c>
      <c r="EK172" s="231">
        <v>1587.38</v>
      </c>
      <c r="EL172" s="228">
        <v>790.24</v>
      </c>
      <c r="EM172" s="231">
        <v>2216.13</v>
      </c>
      <c r="EN172" s="228">
        <v>9.1300000000000008</v>
      </c>
      <c r="EO172" s="231">
        <v>4593.75</v>
      </c>
      <c r="EP172" s="228">
        <v>179.37</v>
      </c>
      <c r="EQ172" s="231">
        <v>4414.38</v>
      </c>
      <c r="ER172" s="229">
        <v>24.610600000000002</v>
      </c>
      <c r="ES172" s="228">
        <v>698.77</v>
      </c>
      <c r="ET172" s="228">
        <v>339.68</v>
      </c>
      <c r="EU172" s="231">
        <v>2536.35</v>
      </c>
      <c r="EV172" s="231">
        <v>91351468</v>
      </c>
      <c r="EW172" s="231">
        <v>3574.81</v>
      </c>
      <c r="EX172" s="231">
        <v>2922.08</v>
      </c>
      <c r="EY172" s="228">
        <v>652.73</v>
      </c>
      <c r="EZ172" s="229">
        <v>0.22339999999999999</v>
      </c>
      <c r="FA172" s="229">
        <v>1.2941</v>
      </c>
      <c r="FB172" s="227" t="s">
        <v>555</v>
      </c>
      <c r="FC172">
        <f t="shared" si="3"/>
        <v>0</v>
      </c>
    </row>
    <row r="173" spans="1:159" ht="17.25" thickBot="1" x14ac:dyDescent="0.3">
      <c r="A173" s="226">
        <v>45946</v>
      </c>
      <c r="B173" s="227" t="s">
        <v>175</v>
      </c>
      <c r="C173" s="227" t="s">
        <v>280</v>
      </c>
      <c r="D173" s="228">
        <v>1275</v>
      </c>
      <c r="E173" s="228">
        <v>12</v>
      </c>
      <c r="F173" s="228">
        <v>375.45</v>
      </c>
      <c r="G173" s="228">
        <v>374.8</v>
      </c>
      <c r="H173" s="228">
        <v>0.65</v>
      </c>
      <c r="I173" s="229">
        <v>1.6999999999999999E-3</v>
      </c>
      <c r="J173" s="228">
        <v>377.5</v>
      </c>
      <c r="K173" s="228">
        <v>375.8</v>
      </c>
      <c r="L173" s="228">
        <v>1.7</v>
      </c>
      <c r="M173" s="229">
        <v>4.4999999999999997E-3</v>
      </c>
      <c r="N173" s="228">
        <v>375.45</v>
      </c>
      <c r="O173" s="228">
        <v>374.8</v>
      </c>
      <c r="P173" s="228">
        <v>0.65</v>
      </c>
      <c r="Q173" s="229">
        <v>1.6999999999999999E-3</v>
      </c>
      <c r="R173" s="228">
        <v>376.55</v>
      </c>
      <c r="S173" s="228">
        <v>375.15</v>
      </c>
      <c r="T173" s="228">
        <v>1.4</v>
      </c>
      <c r="U173" s="229">
        <v>3.7000000000000002E-3</v>
      </c>
      <c r="V173" s="228">
        <v>378.1</v>
      </c>
      <c r="W173" s="228">
        <v>377.05</v>
      </c>
      <c r="X173" s="228">
        <v>1.05</v>
      </c>
      <c r="Y173" s="229">
        <v>2.8E-3</v>
      </c>
      <c r="Z173" s="228">
        <v>-2.0499999999999998</v>
      </c>
      <c r="AA173" s="228">
        <v>-1</v>
      </c>
      <c r="AB173" s="228">
        <v>-1.05</v>
      </c>
      <c r="AC173" s="229">
        <v>-5.4000000000000003E-3</v>
      </c>
      <c r="AD173" s="228">
        <v>-2.0499999999999998</v>
      </c>
      <c r="AE173" s="228">
        <v>-1</v>
      </c>
      <c r="AF173" s="228">
        <v>-1.05</v>
      </c>
      <c r="AG173" s="229">
        <v>-5.4000000000000003E-3</v>
      </c>
      <c r="AH173" s="228">
        <v>-0.95</v>
      </c>
      <c r="AI173" s="228">
        <v>-0.65</v>
      </c>
      <c r="AJ173" s="228">
        <v>-0.3</v>
      </c>
      <c r="AK173" s="229">
        <v>-2.5000000000000001E-3</v>
      </c>
      <c r="AL173" s="228">
        <v>0.6</v>
      </c>
      <c r="AM173" s="228">
        <v>1.25</v>
      </c>
      <c r="AN173" s="228">
        <v>-0.65</v>
      </c>
      <c r="AO173" s="229">
        <v>1.6000000000000001E-3</v>
      </c>
      <c r="AP173" s="228">
        <v>376.3</v>
      </c>
      <c r="AQ173" s="228">
        <v>377.31</v>
      </c>
      <c r="AR173" s="228">
        <v>0</v>
      </c>
      <c r="AS173" s="228">
        <v>311</v>
      </c>
      <c r="AT173" s="228">
        <v>445</v>
      </c>
      <c r="AU173" s="228">
        <v>-134</v>
      </c>
      <c r="AV173" s="229">
        <v>-0.30059999999999998</v>
      </c>
      <c r="AW173" s="228">
        <v>224</v>
      </c>
      <c r="AX173" s="228">
        <v>340</v>
      </c>
      <c r="AY173" s="228">
        <v>-116</v>
      </c>
      <c r="AZ173" s="229">
        <v>-0.34160000000000001</v>
      </c>
      <c r="BA173" s="228">
        <v>79</v>
      </c>
      <c r="BB173" s="228">
        <v>98</v>
      </c>
      <c r="BC173" s="228">
        <v>-19</v>
      </c>
      <c r="BD173" s="229">
        <v>-0.19259999999999999</v>
      </c>
      <c r="BE173" s="228">
        <v>8</v>
      </c>
      <c r="BF173" s="228">
        <v>6</v>
      </c>
      <c r="BG173" s="228">
        <v>1</v>
      </c>
      <c r="BH173" s="229">
        <v>0.2074</v>
      </c>
      <c r="BI173" s="228">
        <v>584</v>
      </c>
      <c r="BJ173" s="228">
        <v>957</v>
      </c>
      <c r="BK173" s="228">
        <v>-373</v>
      </c>
      <c r="BL173" s="229">
        <v>-0.38990000000000002</v>
      </c>
      <c r="BM173" s="228">
        <v>376</v>
      </c>
      <c r="BN173" s="228">
        <v>543</v>
      </c>
      <c r="BO173" s="228">
        <v>-168</v>
      </c>
      <c r="BP173" s="229">
        <v>-0.30890000000000001</v>
      </c>
      <c r="BQ173" s="230">
        <v>1271</v>
      </c>
      <c r="BR173" s="230">
        <v>1945</v>
      </c>
      <c r="BS173" s="228">
        <v>-675</v>
      </c>
      <c r="BT173" s="229">
        <v>-0.34689999999999999</v>
      </c>
      <c r="BU173" s="230">
        <v>2608640</v>
      </c>
      <c r="BV173" s="230">
        <v>4431144</v>
      </c>
      <c r="BW173" s="230">
        <v>-1822504</v>
      </c>
      <c r="BX173" s="229">
        <v>-0.4113</v>
      </c>
      <c r="BY173" s="230">
        <v>3516</v>
      </c>
      <c r="BZ173" s="230">
        <v>3483</v>
      </c>
      <c r="CA173" s="228">
        <v>33</v>
      </c>
      <c r="CB173" s="229">
        <v>9.4999999999999998E-3</v>
      </c>
      <c r="CC173" s="230">
        <v>2668</v>
      </c>
      <c r="CD173" s="230">
        <v>2664</v>
      </c>
      <c r="CE173" s="228">
        <v>4</v>
      </c>
      <c r="CF173" s="229">
        <v>1.5E-3</v>
      </c>
      <c r="CG173" s="228">
        <v>818</v>
      </c>
      <c r="CH173" s="228">
        <v>790</v>
      </c>
      <c r="CI173" s="228">
        <v>27</v>
      </c>
      <c r="CJ173" s="229">
        <v>3.4200000000000001E-2</v>
      </c>
      <c r="CK173" s="228">
        <v>30</v>
      </c>
      <c r="CL173" s="228">
        <v>28</v>
      </c>
      <c r="CM173" s="228">
        <v>2</v>
      </c>
      <c r="CN173" s="229">
        <v>6.83E-2</v>
      </c>
      <c r="CO173" s="230">
        <v>1032</v>
      </c>
      <c r="CP173" s="230">
        <v>1040</v>
      </c>
      <c r="CQ173" s="228">
        <v>-8</v>
      </c>
      <c r="CR173" s="229">
        <v>-7.7000000000000002E-3</v>
      </c>
      <c r="CS173" s="228">
        <v>923</v>
      </c>
      <c r="CT173" s="228">
        <v>921</v>
      </c>
      <c r="CU173" s="228">
        <v>2</v>
      </c>
      <c r="CV173" s="229">
        <v>1.8E-3</v>
      </c>
      <c r="CW173" s="230">
        <v>5471</v>
      </c>
      <c r="CX173" s="230">
        <v>5444</v>
      </c>
      <c r="CY173" s="228">
        <v>27</v>
      </c>
      <c r="CZ173" s="229">
        <v>4.8999999999999998E-3</v>
      </c>
      <c r="DA173" s="228">
        <v>30.69</v>
      </c>
      <c r="DB173" s="228">
        <v>30.68</v>
      </c>
      <c r="DC173" s="228">
        <v>0.01</v>
      </c>
      <c r="DD173" s="228">
        <v>0.01</v>
      </c>
      <c r="DE173" s="228">
        <v>45.01</v>
      </c>
      <c r="DF173" s="228">
        <v>45.12</v>
      </c>
      <c r="DG173" s="228">
        <v>-14.32</v>
      </c>
      <c r="DH173" s="228">
        <v>-0.11</v>
      </c>
      <c r="DI173" s="228">
        <v>30.47</v>
      </c>
      <c r="DJ173" s="228">
        <v>30.56</v>
      </c>
      <c r="DK173" s="228">
        <v>-0.09</v>
      </c>
      <c r="DL173" s="228">
        <v>-0.09</v>
      </c>
      <c r="DM173" s="228">
        <v>31.02</v>
      </c>
      <c r="DN173" s="228">
        <v>30.88</v>
      </c>
      <c r="DO173" s="228">
        <v>0.14000000000000001</v>
      </c>
      <c r="DP173" s="228">
        <v>0.14000000000000001</v>
      </c>
      <c r="DQ173" s="228">
        <v>0.89</v>
      </c>
      <c r="DR173" s="228">
        <v>0.89</v>
      </c>
      <c r="DS173" s="228">
        <v>0</v>
      </c>
      <c r="DT173" s="229">
        <v>0</v>
      </c>
      <c r="DU173" s="228">
        <v>380</v>
      </c>
      <c r="DV173" s="228">
        <v>370</v>
      </c>
      <c r="DW173" s="228">
        <v>0.64</v>
      </c>
      <c r="DX173" s="228">
        <v>0.56999999999999995</v>
      </c>
      <c r="DY173" s="228">
        <v>7.0000000000000007E-2</v>
      </c>
      <c r="DZ173" s="229">
        <v>0.12280000000000001</v>
      </c>
      <c r="EA173" s="229">
        <v>0.24110000000000001</v>
      </c>
      <c r="EB173" s="230">
        <v>21801225</v>
      </c>
      <c r="EC173" s="229">
        <v>2.8999999999999998E-3</v>
      </c>
      <c r="ED173" s="229">
        <v>0.24110000000000001</v>
      </c>
      <c r="EE173" s="228">
        <v>1.01</v>
      </c>
      <c r="EF173" s="229">
        <v>2.7000000000000001E-3</v>
      </c>
      <c r="EG173" s="230">
        <v>1349018</v>
      </c>
      <c r="EH173" s="230">
        <v>2436521</v>
      </c>
      <c r="EI173" s="229">
        <v>-0.44629999999999997</v>
      </c>
      <c r="EJ173" s="229">
        <v>0.5171</v>
      </c>
      <c r="EK173" s="228">
        <v>610.89</v>
      </c>
      <c r="EL173" s="228">
        <v>369.58</v>
      </c>
      <c r="EM173" s="228">
        <v>311.88</v>
      </c>
      <c r="EN173" s="228">
        <v>90.35</v>
      </c>
      <c r="EO173" s="231">
        <v>1292.3499999999999</v>
      </c>
      <c r="EP173" s="231">
        <v>1980.52</v>
      </c>
      <c r="EQ173" s="228">
        <v>-688.17</v>
      </c>
      <c r="ER173" s="229">
        <v>-0.34749999999999998</v>
      </c>
      <c r="ES173" s="231">
        <v>1081.8599999999999</v>
      </c>
      <c r="ET173" s="228">
        <v>897.56</v>
      </c>
      <c r="EU173" s="231">
        <v>3518.31</v>
      </c>
      <c r="EV173" s="231">
        <v>187084550</v>
      </c>
      <c r="EW173" s="231">
        <v>5497.74</v>
      </c>
      <c r="EX173" s="231">
        <v>5466.99</v>
      </c>
      <c r="EY173" s="228">
        <v>30.75</v>
      </c>
      <c r="EZ173" s="229">
        <v>5.5999999999999999E-3</v>
      </c>
      <c r="FA173" s="229">
        <v>0.77880000000000005</v>
      </c>
      <c r="FB173" s="227" t="s">
        <v>555</v>
      </c>
      <c r="FC173">
        <f t="shared" si="3"/>
        <v>0</v>
      </c>
    </row>
    <row r="174" spans="1:159" ht="17.25" thickBot="1" x14ac:dyDescent="0.3">
      <c r="A174" s="226">
        <v>45946</v>
      </c>
      <c r="B174" s="227" t="s">
        <v>193</v>
      </c>
      <c r="C174" s="227" t="s">
        <v>281</v>
      </c>
      <c r="D174" s="228">
        <v>500</v>
      </c>
      <c r="E174" s="228">
        <v>12</v>
      </c>
      <c r="F174" s="231">
        <v>1399.8</v>
      </c>
      <c r="G174" s="231">
        <v>1379.5</v>
      </c>
      <c r="H174" s="228">
        <v>20.3</v>
      </c>
      <c r="I174" s="229">
        <v>1.47E-2</v>
      </c>
      <c r="J174" s="231">
        <v>1398.3</v>
      </c>
      <c r="K174" s="231">
        <v>1374.3</v>
      </c>
      <c r="L174" s="228">
        <v>24</v>
      </c>
      <c r="M174" s="229">
        <v>1.7500000000000002E-2</v>
      </c>
      <c r="N174" s="231">
        <v>1399.8</v>
      </c>
      <c r="O174" s="231">
        <v>1379.5</v>
      </c>
      <c r="P174" s="228">
        <v>20.3</v>
      </c>
      <c r="Q174" s="229">
        <v>1.47E-2</v>
      </c>
      <c r="R174" s="231">
        <v>1407.6</v>
      </c>
      <c r="S174" s="231">
        <v>1387.1</v>
      </c>
      <c r="T174" s="228">
        <v>20.5</v>
      </c>
      <c r="U174" s="229">
        <v>1.4800000000000001E-2</v>
      </c>
      <c r="V174" s="231">
        <v>1415.7</v>
      </c>
      <c r="W174" s="231">
        <v>1396</v>
      </c>
      <c r="X174" s="228">
        <v>19.7</v>
      </c>
      <c r="Y174" s="229">
        <v>1.41E-2</v>
      </c>
      <c r="Z174" s="228">
        <v>1.5</v>
      </c>
      <c r="AA174" s="228">
        <v>5.2</v>
      </c>
      <c r="AB174" s="228">
        <v>-3.7</v>
      </c>
      <c r="AC174" s="229">
        <v>1.1000000000000001E-3</v>
      </c>
      <c r="AD174" s="228">
        <v>1.5</v>
      </c>
      <c r="AE174" s="228">
        <v>5.2</v>
      </c>
      <c r="AF174" s="228">
        <v>-3.7</v>
      </c>
      <c r="AG174" s="229">
        <v>1.1000000000000001E-3</v>
      </c>
      <c r="AH174" s="228">
        <v>9.3000000000000007</v>
      </c>
      <c r="AI174" s="228">
        <v>12.8</v>
      </c>
      <c r="AJ174" s="228">
        <v>-3.5</v>
      </c>
      <c r="AK174" s="229">
        <v>6.7000000000000002E-3</v>
      </c>
      <c r="AL174" s="228">
        <v>17.399999999999999</v>
      </c>
      <c r="AM174" s="228">
        <v>21.7</v>
      </c>
      <c r="AN174" s="228">
        <v>-4.3</v>
      </c>
      <c r="AO174" s="229">
        <v>1.24E-2</v>
      </c>
      <c r="AP174" s="231">
        <v>1392.21</v>
      </c>
      <c r="AQ174" s="231">
        <v>1398.8</v>
      </c>
      <c r="AR174" s="228">
        <v>0</v>
      </c>
      <c r="AS174" s="230">
        <v>2597</v>
      </c>
      <c r="AT174" s="230">
        <v>1821</v>
      </c>
      <c r="AU174" s="228">
        <v>776</v>
      </c>
      <c r="AV174" s="229">
        <v>0.42599999999999999</v>
      </c>
      <c r="AW174" s="230">
        <v>2069</v>
      </c>
      <c r="AX174" s="230">
        <v>1441</v>
      </c>
      <c r="AY174" s="228">
        <v>627</v>
      </c>
      <c r="AZ174" s="229">
        <v>0.43530000000000002</v>
      </c>
      <c r="BA174" s="228">
        <v>484</v>
      </c>
      <c r="BB174" s="228">
        <v>362</v>
      </c>
      <c r="BC174" s="228">
        <v>122</v>
      </c>
      <c r="BD174" s="229">
        <v>0.33789999999999998</v>
      </c>
      <c r="BE174" s="228">
        <v>43</v>
      </c>
      <c r="BF174" s="228">
        <v>18</v>
      </c>
      <c r="BG174" s="228">
        <v>26</v>
      </c>
      <c r="BH174" s="229">
        <v>1.4741</v>
      </c>
      <c r="BI174" s="230">
        <v>9870</v>
      </c>
      <c r="BJ174" s="230">
        <v>5819</v>
      </c>
      <c r="BK174" s="230">
        <v>4051</v>
      </c>
      <c r="BL174" s="229">
        <v>0.69620000000000004</v>
      </c>
      <c r="BM174" s="230">
        <v>4236</v>
      </c>
      <c r="BN174" s="230">
        <v>3138</v>
      </c>
      <c r="BO174" s="230">
        <v>1098</v>
      </c>
      <c r="BP174" s="229">
        <v>0.35</v>
      </c>
      <c r="BQ174" s="230">
        <v>16704</v>
      </c>
      <c r="BR174" s="230">
        <v>10778</v>
      </c>
      <c r="BS174" s="230">
        <v>5925</v>
      </c>
      <c r="BT174" s="229">
        <v>0.54979999999999996</v>
      </c>
      <c r="BU174" s="230">
        <v>13479169</v>
      </c>
      <c r="BV174" s="230">
        <v>11514200</v>
      </c>
      <c r="BW174" s="230">
        <v>1964969</v>
      </c>
      <c r="BX174" s="229">
        <v>0.17069999999999999</v>
      </c>
      <c r="BY174" s="230">
        <v>19336</v>
      </c>
      <c r="BZ174" s="230">
        <v>19304</v>
      </c>
      <c r="CA174" s="228">
        <v>31</v>
      </c>
      <c r="CB174" s="229">
        <v>1.6000000000000001E-3</v>
      </c>
      <c r="CC174" s="230">
        <v>17064</v>
      </c>
      <c r="CD174" s="230">
        <v>17273</v>
      </c>
      <c r="CE174" s="228">
        <v>-209</v>
      </c>
      <c r="CF174" s="229">
        <v>-1.21E-2</v>
      </c>
      <c r="CG174" s="230">
        <v>2006</v>
      </c>
      <c r="CH174" s="230">
        <v>1766</v>
      </c>
      <c r="CI174" s="228">
        <v>240</v>
      </c>
      <c r="CJ174" s="229">
        <v>0.13569999999999999</v>
      </c>
      <c r="CK174" s="228">
        <v>266</v>
      </c>
      <c r="CL174" s="228">
        <v>265</v>
      </c>
      <c r="CM174" s="228">
        <v>1</v>
      </c>
      <c r="CN174" s="229">
        <v>2.3999999999999998E-3</v>
      </c>
      <c r="CO174" s="230">
        <v>7778</v>
      </c>
      <c r="CP174" s="230">
        <v>8126</v>
      </c>
      <c r="CQ174" s="228">
        <v>-348</v>
      </c>
      <c r="CR174" s="229">
        <v>-4.2799999999999998E-2</v>
      </c>
      <c r="CS174" s="230">
        <v>5358</v>
      </c>
      <c r="CT174" s="230">
        <v>5390</v>
      </c>
      <c r="CU174" s="228">
        <v>-32</v>
      </c>
      <c r="CV174" s="229">
        <v>-5.8999999999999999E-3</v>
      </c>
      <c r="CW174" s="230">
        <v>32471</v>
      </c>
      <c r="CX174" s="230">
        <v>32820</v>
      </c>
      <c r="CY174" s="228">
        <v>-349</v>
      </c>
      <c r="CZ174" s="229">
        <v>-1.06E-2</v>
      </c>
      <c r="DA174" s="228">
        <v>21.42</v>
      </c>
      <c r="DB174" s="228">
        <v>22.09</v>
      </c>
      <c r="DC174" s="228">
        <v>-0.67</v>
      </c>
      <c r="DD174" s="228">
        <v>-0.67</v>
      </c>
      <c r="DE174" s="228">
        <v>24.27</v>
      </c>
      <c r="DF174" s="228">
        <v>24.22</v>
      </c>
      <c r="DG174" s="228">
        <v>-2.85</v>
      </c>
      <c r="DH174" s="228">
        <v>0.05</v>
      </c>
      <c r="DI174" s="228">
        <v>21.3</v>
      </c>
      <c r="DJ174" s="228">
        <v>22.23</v>
      </c>
      <c r="DK174" s="228">
        <v>-0.93</v>
      </c>
      <c r="DL174" s="228">
        <v>-0.93</v>
      </c>
      <c r="DM174" s="228">
        <v>21.7</v>
      </c>
      <c r="DN174" s="228">
        <v>21.82</v>
      </c>
      <c r="DO174" s="228">
        <v>-0.12</v>
      </c>
      <c r="DP174" s="228">
        <v>-0.12</v>
      </c>
      <c r="DQ174" s="228">
        <v>0.69</v>
      </c>
      <c r="DR174" s="228">
        <v>0.66</v>
      </c>
      <c r="DS174" s="228">
        <v>0.03</v>
      </c>
      <c r="DT174" s="229">
        <v>4.5499999999999999E-2</v>
      </c>
      <c r="DU174" s="231">
        <v>1400</v>
      </c>
      <c r="DV174" s="231">
        <v>1400</v>
      </c>
      <c r="DW174" s="228">
        <v>0.43</v>
      </c>
      <c r="DX174" s="228">
        <v>0.54</v>
      </c>
      <c r="DY174" s="228">
        <v>-0.11</v>
      </c>
      <c r="DZ174" s="229">
        <v>-0.20369999999999999</v>
      </c>
      <c r="EA174" s="229">
        <v>0.11749999999999999</v>
      </c>
      <c r="EB174" s="230">
        <v>14508500</v>
      </c>
      <c r="EC174" s="229">
        <v>5.5999999999999999E-3</v>
      </c>
      <c r="ED174" s="229">
        <v>0.11749999999999999</v>
      </c>
      <c r="EE174" s="228">
        <v>6.59</v>
      </c>
      <c r="EF174" s="229">
        <v>4.7000000000000002E-3</v>
      </c>
      <c r="EG174" s="230">
        <v>7479658</v>
      </c>
      <c r="EH174" s="230">
        <v>7107280</v>
      </c>
      <c r="EI174" s="229">
        <v>5.2400000000000002E-2</v>
      </c>
      <c r="EJ174" s="229">
        <v>0.55489999999999995</v>
      </c>
      <c r="EK174" s="231">
        <v>10086.24</v>
      </c>
      <c r="EL174" s="231">
        <v>4175.3100000000004</v>
      </c>
      <c r="EM174" s="231">
        <v>2585.4899999999998</v>
      </c>
      <c r="EN174" s="228">
        <v>243.27</v>
      </c>
      <c r="EO174" s="231">
        <v>16847.04</v>
      </c>
      <c r="EP174" s="231">
        <v>10801.44</v>
      </c>
      <c r="EQ174" s="231">
        <v>6045.6</v>
      </c>
      <c r="ER174" s="229">
        <v>0.55969999999999998</v>
      </c>
      <c r="ES174" s="231">
        <v>7938.66</v>
      </c>
      <c r="ET174" s="231">
        <v>5268.85</v>
      </c>
      <c r="EU174" s="231">
        <v>19349.7</v>
      </c>
      <c r="EV174" s="231">
        <v>662701060</v>
      </c>
      <c r="EW174" s="231">
        <v>32557.200000000001</v>
      </c>
      <c r="EX174" s="231">
        <v>32600.46</v>
      </c>
      <c r="EY174" s="228">
        <v>-43.26</v>
      </c>
      <c r="EZ174" s="229">
        <v>-1.2999999999999999E-3</v>
      </c>
      <c r="FA174" s="229">
        <v>0.35</v>
      </c>
      <c r="FB174" s="227" t="s">
        <v>555</v>
      </c>
      <c r="FC174">
        <f t="shared" si="3"/>
        <v>0</v>
      </c>
    </row>
    <row r="175" spans="1:159" ht="17.25" thickBot="1" x14ac:dyDescent="0.3">
      <c r="A175" s="226">
        <v>45946</v>
      </c>
      <c r="B175" s="227" t="s">
        <v>215</v>
      </c>
      <c r="C175" s="227" t="s">
        <v>676</v>
      </c>
      <c r="D175" s="228">
        <v>1375</v>
      </c>
      <c r="E175" s="228">
        <v>12</v>
      </c>
      <c r="F175" s="228">
        <v>337</v>
      </c>
      <c r="G175" s="228">
        <v>339.2</v>
      </c>
      <c r="H175" s="228">
        <v>-2.2000000000000002</v>
      </c>
      <c r="I175" s="229">
        <v>-6.4999999999999997E-3</v>
      </c>
      <c r="J175" s="228">
        <v>336.05</v>
      </c>
      <c r="K175" s="228">
        <v>338.6</v>
      </c>
      <c r="L175" s="228">
        <v>-2.5499999999999998</v>
      </c>
      <c r="M175" s="229">
        <v>-7.4999999999999997E-3</v>
      </c>
      <c r="N175" s="228">
        <v>337</v>
      </c>
      <c r="O175" s="228">
        <v>339.2</v>
      </c>
      <c r="P175" s="228">
        <v>-2.2000000000000002</v>
      </c>
      <c r="Q175" s="229">
        <v>-6.4999999999999997E-3</v>
      </c>
      <c r="R175" s="228">
        <v>330.15</v>
      </c>
      <c r="S175" s="228">
        <v>332.55</v>
      </c>
      <c r="T175" s="228">
        <v>-2.4</v>
      </c>
      <c r="U175" s="229">
        <v>-7.1999999999999998E-3</v>
      </c>
      <c r="V175" s="228">
        <v>325.3</v>
      </c>
      <c r="W175" s="228">
        <v>328.3</v>
      </c>
      <c r="X175" s="228">
        <v>-3</v>
      </c>
      <c r="Y175" s="229">
        <v>-9.1000000000000004E-3</v>
      </c>
      <c r="Z175" s="228">
        <v>0.95</v>
      </c>
      <c r="AA175" s="228">
        <v>0.6</v>
      </c>
      <c r="AB175" s="228">
        <v>0.35</v>
      </c>
      <c r="AC175" s="229">
        <v>2.8E-3</v>
      </c>
      <c r="AD175" s="228">
        <v>0.95</v>
      </c>
      <c r="AE175" s="228">
        <v>0.6</v>
      </c>
      <c r="AF175" s="228">
        <v>0.35</v>
      </c>
      <c r="AG175" s="229">
        <v>2.8E-3</v>
      </c>
      <c r="AH175" s="228">
        <v>-5.9</v>
      </c>
      <c r="AI175" s="228">
        <v>-6.05</v>
      </c>
      <c r="AJ175" s="228">
        <v>0.15</v>
      </c>
      <c r="AK175" s="229">
        <v>-1.7600000000000001E-2</v>
      </c>
      <c r="AL175" s="228">
        <v>-10.75</v>
      </c>
      <c r="AM175" s="228">
        <v>-10.3</v>
      </c>
      <c r="AN175" s="228">
        <v>-0.45</v>
      </c>
      <c r="AO175" s="229">
        <v>-3.2000000000000001E-2</v>
      </c>
      <c r="AP175" s="228">
        <v>338.22</v>
      </c>
      <c r="AQ175" s="228">
        <v>330.92</v>
      </c>
      <c r="AR175" s="228">
        <v>0</v>
      </c>
      <c r="AS175" s="228">
        <v>188</v>
      </c>
      <c r="AT175" s="228">
        <v>191</v>
      </c>
      <c r="AU175" s="228">
        <v>-3</v>
      </c>
      <c r="AV175" s="229">
        <v>-1.5800000000000002E-2</v>
      </c>
      <c r="AW175" s="228">
        <v>124</v>
      </c>
      <c r="AX175" s="228">
        <v>139</v>
      </c>
      <c r="AY175" s="228">
        <v>-15</v>
      </c>
      <c r="AZ175" s="229">
        <v>-0.1071</v>
      </c>
      <c r="BA175" s="228">
        <v>56</v>
      </c>
      <c r="BB175" s="228">
        <v>48</v>
      </c>
      <c r="BC175" s="228">
        <v>8</v>
      </c>
      <c r="BD175" s="229">
        <v>0.16200000000000001</v>
      </c>
      <c r="BE175" s="228">
        <v>8</v>
      </c>
      <c r="BF175" s="228">
        <v>4</v>
      </c>
      <c r="BG175" s="228">
        <v>4</v>
      </c>
      <c r="BH175" s="229">
        <v>0.95699999999999996</v>
      </c>
      <c r="BI175" s="228">
        <v>336</v>
      </c>
      <c r="BJ175" s="228">
        <v>481</v>
      </c>
      <c r="BK175" s="228">
        <v>-145</v>
      </c>
      <c r="BL175" s="229">
        <v>-0.30209999999999998</v>
      </c>
      <c r="BM175" s="228">
        <v>94</v>
      </c>
      <c r="BN175" s="228">
        <v>131</v>
      </c>
      <c r="BO175" s="228">
        <v>-38</v>
      </c>
      <c r="BP175" s="229">
        <v>-0.28649999999999998</v>
      </c>
      <c r="BQ175" s="228">
        <v>617</v>
      </c>
      <c r="BR175" s="228">
        <v>803</v>
      </c>
      <c r="BS175" s="228">
        <v>-186</v>
      </c>
      <c r="BT175" s="229">
        <v>-0.23139999999999999</v>
      </c>
      <c r="BU175" s="230">
        <v>3479193</v>
      </c>
      <c r="BV175" s="230">
        <v>3315639</v>
      </c>
      <c r="BW175" s="230">
        <v>163554</v>
      </c>
      <c r="BX175" s="229">
        <v>4.9299999999999997E-2</v>
      </c>
      <c r="BY175" s="230">
        <v>1356</v>
      </c>
      <c r="BZ175" s="230">
        <v>1342</v>
      </c>
      <c r="CA175" s="228">
        <v>15</v>
      </c>
      <c r="CB175" s="229">
        <v>1.0999999999999999E-2</v>
      </c>
      <c r="CC175" s="230">
        <v>1073</v>
      </c>
      <c r="CD175" s="230">
        <v>1085</v>
      </c>
      <c r="CE175" s="228">
        <v>-13</v>
      </c>
      <c r="CF175" s="229">
        <v>-1.1599999999999999E-2</v>
      </c>
      <c r="CG175" s="228">
        <v>245</v>
      </c>
      <c r="CH175" s="228">
        <v>222</v>
      </c>
      <c r="CI175" s="228">
        <v>23</v>
      </c>
      <c r="CJ175" s="229">
        <v>0.1038</v>
      </c>
      <c r="CK175" s="228">
        <v>39</v>
      </c>
      <c r="CL175" s="228">
        <v>34</v>
      </c>
      <c r="CM175" s="228">
        <v>4</v>
      </c>
      <c r="CN175" s="229">
        <v>0.1265</v>
      </c>
      <c r="CO175" s="228">
        <v>730</v>
      </c>
      <c r="CP175" s="228">
        <v>720</v>
      </c>
      <c r="CQ175" s="228">
        <v>10</v>
      </c>
      <c r="CR175" s="229">
        <v>1.3599999999999999E-2</v>
      </c>
      <c r="CS175" s="228">
        <v>271</v>
      </c>
      <c r="CT175" s="228">
        <v>271</v>
      </c>
      <c r="CU175" s="228">
        <v>0</v>
      </c>
      <c r="CV175" s="229">
        <v>-1.5E-3</v>
      </c>
      <c r="CW175" s="230">
        <v>2357</v>
      </c>
      <c r="CX175" s="230">
        <v>2333</v>
      </c>
      <c r="CY175" s="228">
        <v>24</v>
      </c>
      <c r="CZ175" s="229">
        <v>1.04E-2</v>
      </c>
      <c r="DA175" s="228">
        <v>36.479999999999997</v>
      </c>
      <c r="DB175" s="228">
        <v>36.83</v>
      </c>
      <c r="DC175" s="228">
        <v>-0.35</v>
      </c>
      <c r="DD175" s="228">
        <v>-0.35</v>
      </c>
      <c r="DE175" s="228">
        <v>57.86</v>
      </c>
      <c r="DF175" s="228">
        <v>58</v>
      </c>
      <c r="DG175" s="228">
        <v>-21.38</v>
      </c>
      <c r="DH175" s="228">
        <v>-0.14000000000000001</v>
      </c>
      <c r="DI175" s="228">
        <v>37.6</v>
      </c>
      <c r="DJ175" s="228">
        <v>37.909999999999997</v>
      </c>
      <c r="DK175" s="228">
        <v>-0.31</v>
      </c>
      <c r="DL175" s="228">
        <v>-0.31</v>
      </c>
      <c r="DM175" s="228">
        <v>32.49</v>
      </c>
      <c r="DN175" s="228">
        <v>32.880000000000003</v>
      </c>
      <c r="DO175" s="228">
        <v>-0.39</v>
      </c>
      <c r="DP175" s="228">
        <v>-0.39</v>
      </c>
      <c r="DQ175" s="228">
        <v>0.37</v>
      </c>
      <c r="DR175" s="228">
        <v>0.38</v>
      </c>
      <c r="DS175" s="228">
        <v>-0.01</v>
      </c>
      <c r="DT175" s="229">
        <v>-2.63E-2</v>
      </c>
      <c r="DU175" s="228">
        <v>360</v>
      </c>
      <c r="DV175" s="228">
        <v>310</v>
      </c>
      <c r="DW175" s="228">
        <v>0.28000000000000003</v>
      </c>
      <c r="DX175" s="228">
        <v>0.27</v>
      </c>
      <c r="DY175" s="228">
        <v>0.01</v>
      </c>
      <c r="DZ175" s="229">
        <v>3.6999999999999998E-2</v>
      </c>
      <c r="EA175" s="229">
        <v>0.2092</v>
      </c>
      <c r="EB175" s="230">
        <v>7607875</v>
      </c>
      <c r="EC175" s="229">
        <v>-2.0299999999999999E-2</v>
      </c>
      <c r="ED175" s="229">
        <v>0.2092</v>
      </c>
      <c r="EE175" s="228">
        <v>-7.3</v>
      </c>
      <c r="EF175" s="229">
        <v>-2.1600000000000001E-2</v>
      </c>
      <c r="EG175" s="230">
        <v>1711131</v>
      </c>
      <c r="EH175" s="230">
        <v>1109655</v>
      </c>
      <c r="EI175" s="229">
        <v>0.54200000000000004</v>
      </c>
      <c r="EJ175" s="229">
        <v>0.49180000000000001</v>
      </c>
      <c r="EK175" s="228">
        <v>358.59</v>
      </c>
      <c r="EL175" s="228">
        <v>92.53</v>
      </c>
      <c r="EM175" s="228">
        <v>187.16</v>
      </c>
      <c r="EN175" s="228">
        <v>39.979999999999997</v>
      </c>
      <c r="EO175" s="228">
        <v>638.28</v>
      </c>
      <c r="EP175" s="228">
        <v>835.57</v>
      </c>
      <c r="EQ175" s="228">
        <v>-197.29</v>
      </c>
      <c r="ER175" s="229">
        <v>-0.2361</v>
      </c>
      <c r="ES175" s="228">
        <v>795.19</v>
      </c>
      <c r="ET175" s="228">
        <v>262.52999999999997</v>
      </c>
      <c r="EU175" s="231">
        <v>1350.11</v>
      </c>
      <c r="EV175" s="231">
        <v>84941460</v>
      </c>
      <c r="EW175" s="231">
        <v>2407.84</v>
      </c>
      <c r="EX175" s="231">
        <v>2394.0300000000002</v>
      </c>
      <c r="EY175" s="228">
        <v>13.81</v>
      </c>
      <c r="EZ175" s="229">
        <v>5.7999999999999996E-3</v>
      </c>
      <c r="FA175" s="229">
        <v>0.82340000000000002</v>
      </c>
      <c r="FB175" s="227" t="s">
        <v>567</v>
      </c>
      <c r="FC175">
        <f t="shared" si="3"/>
        <v>0</v>
      </c>
    </row>
    <row r="176" spans="1:159" ht="17.25" thickBot="1" x14ac:dyDescent="0.3">
      <c r="A176" s="226">
        <v>45946</v>
      </c>
      <c r="B176" s="227" t="s">
        <v>227</v>
      </c>
      <c r="C176" s="227" t="s">
        <v>282</v>
      </c>
      <c r="D176" s="228">
        <v>4700</v>
      </c>
      <c r="E176" s="228">
        <v>12</v>
      </c>
      <c r="F176" s="228">
        <v>131.69</v>
      </c>
      <c r="G176" s="228">
        <v>130.71</v>
      </c>
      <c r="H176" s="228">
        <v>0.98</v>
      </c>
      <c r="I176" s="229">
        <v>7.4999999999999997E-3</v>
      </c>
      <c r="J176" s="228">
        <v>131.38</v>
      </c>
      <c r="K176" s="228">
        <v>130.29</v>
      </c>
      <c r="L176" s="228">
        <v>1.0900000000000001</v>
      </c>
      <c r="M176" s="229">
        <v>8.3999999999999995E-3</v>
      </c>
      <c r="N176" s="228">
        <v>131.69</v>
      </c>
      <c r="O176" s="228">
        <v>130.71</v>
      </c>
      <c r="P176" s="228">
        <v>0.98</v>
      </c>
      <c r="Q176" s="229">
        <v>7.4999999999999997E-3</v>
      </c>
      <c r="R176" s="228">
        <v>132.41</v>
      </c>
      <c r="S176" s="228">
        <v>131.28</v>
      </c>
      <c r="T176" s="228">
        <v>1.1299999999999999</v>
      </c>
      <c r="U176" s="229">
        <v>8.6E-3</v>
      </c>
      <c r="V176" s="228">
        <v>133.08000000000001</v>
      </c>
      <c r="W176" s="228">
        <v>131.94999999999999</v>
      </c>
      <c r="X176" s="228">
        <v>1.1299999999999999</v>
      </c>
      <c r="Y176" s="229">
        <v>8.6E-3</v>
      </c>
      <c r="Z176" s="228">
        <v>0.31</v>
      </c>
      <c r="AA176" s="228">
        <v>0.42</v>
      </c>
      <c r="AB176" s="228">
        <v>-0.11</v>
      </c>
      <c r="AC176" s="229">
        <v>2.3999999999999998E-3</v>
      </c>
      <c r="AD176" s="228">
        <v>0.31</v>
      </c>
      <c r="AE176" s="228">
        <v>0.42</v>
      </c>
      <c r="AF176" s="228">
        <v>-0.11</v>
      </c>
      <c r="AG176" s="229">
        <v>2.3999999999999998E-3</v>
      </c>
      <c r="AH176" s="228">
        <v>1.03</v>
      </c>
      <c r="AI176" s="228">
        <v>0.99</v>
      </c>
      <c r="AJ176" s="228">
        <v>0.04</v>
      </c>
      <c r="AK176" s="229">
        <v>7.7999999999999996E-3</v>
      </c>
      <c r="AL176" s="228">
        <v>1.7</v>
      </c>
      <c r="AM176" s="228">
        <v>1.66</v>
      </c>
      <c r="AN176" s="228">
        <v>0.04</v>
      </c>
      <c r="AO176" s="229">
        <v>1.29E-2</v>
      </c>
      <c r="AP176" s="228">
        <v>131.72999999999999</v>
      </c>
      <c r="AQ176" s="228">
        <v>132.49</v>
      </c>
      <c r="AR176" s="228">
        <v>0</v>
      </c>
      <c r="AS176" s="228">
        <v>322</v>
      </c>
      <c r="AT176" s="228">
        <v>222</v>
      </c>
      <c r="AU176" s="228">
        <v>100</v>
      </c>
      <c r="AV176" s="229">
        <v>0.45079999999999998</v>
      </c>
      <c r="AW176" s="228">
        <v>276</v>
      </c>
      <c r="AX176" s="228">
        <v>196</v>
      </c>
      <c r="AY176" s="228">
        <v>81</v>
      </c>
      <c r="AZ176" s="229">
        <v>0.41149999999999998</v>
      </c>
      <c r="BA176" s="228">
        <v>42</v>
      </c>
      <c r="BB176" s="228">
        <v>25</v>
      </c>
      <c r="BC176" s="228">
        <v>17</v>
      </c>
      <c r="BD176" s="229">
        <v>0.70150000000000001</v>
      </c>
      <c r="BE176" s="228">
        <v>4</v>
      </c>
      <c r="BF176" s="228">
        <v>2</v>
      </c>
      <c r="BG176" s="228">
        <v>2</v>
      </c>
      <c r="BH176" s="229">
        <v>1.4</v>
      </c>
      <c r="BI176" s="228">
        <v>619</v>
      </c>
      <c r="BJ176" s="228">
        <v>606</v>
      </c>
      <c r="BK176" s="228">
        <v>13</v>
      </c>
      <c r="BL176" s="229">
        <v>2.12E-2</v>
      </c>
      <c r="BM176" s="228">
        <v>346</v>
      </c>
      <c r="BN176" s="228">
        <v>287</v>
      </c>
      <c r="BO176" s="228">
        <v>58</v>
      </c>
      <c r="BP176" s="229">
        <v>0.2026</v>
      </c>
      <c r="BQ176" s="230">
        <v>1287</v>
      </c>
      <c r="BR176" s="230">
        <v>1115</v>
      </c>
      <c r="BS176" s="228">
        <v>171</v>
      </c>
      <c r="BT176" s="229">
        <v>0.1535</v>
      </c>
      <c r="BU176" s="230">
        <v>18048602</v>
      </c>
      <c r="BV176" s="230">
        <v>12093194</v>
      </c>
      <c r="BW176" s="230">
        <v>5955408</v>
      </c>
      <c r="BX176" s="229">
        <v>0.49249999999999999</v>
      </c>
      <c r="BY176" s="230">
        <v>2725</v>
      </c>
      <c r="BZ176" s="230">
        <v>2753</v>
      </c>
      <c r="CA176" s="228">
        <v>-28</v>
      </c>
      <c r="CB176" s="229">
        <v>-1.0200000000000001E-2</v>
      </c>
      <c r="CC176" s="230">
        <v>2541</v>
      </c>
      <c r="CD176" s="230">
        <v>2582</v>
      </c>
      <c r="CE176" s="228">
        <v>-41</v>
      </c>
      <c r="CF176" s="229">
        <v>-1.6E-2</v>
      </c>
      <c r="CG176" s="228">
        <v>169</v>
      </c>
      <c r="CH176" s="228">
        <v>157</v>
      </c>
      <c r="CI176" s="228">
        <v>12</v>
      </c>
      <c r="CJ176" s="229">
        <v>7.4999999999999997E-2</v>
      </c>
      <c r="CK176" s="228">
        <v>15</v>
      </c>
      <c r="CL176" s="228">
        <v>14</v>
      </c>
      <c r="CM176" s="228">
        <v>1</v>
      </c>
      <c r="CN176" s="229">
        <v>9.2899999999999996E-2</v>
      </c>
      <c r="CO176" s="228">
        <v>854</v>
      </c>
      <c r="CP176" s="228">
        <v>885</v>
      </c>
      <c r="CQ176" s="228">
        <v>-31</v>
      </c>
      <c r="CR176" s="229">
        <v>-3.5099999999999999E-2</v>
      </c>
      <c r="CS176" s="228">
        <v>444</v>
      </c>
      <c r="CT176" s="228">
        <v>443</v>
      </c>
      <c r="CU176" s="228">
        <v>1</v>
      </c>
      <c r="CV176" s="229">
        <v>2E-3</v>
      </c>
      <c r="CW176" s="230">
        <v>4023</v>
      </c>
      <c r="CX176" s="230">
        <v>4081</v>
      </c>
      <c r="CY176" s="228">
        <v>-58</v>
      </c>
      <c r="CZ176" s="229">
        <v>-1.43E-2</v>
      </c>
      <c r="DA176" s="228">
        <v>32.31</v>
      </c>
      <c r="DB176" s="228">
        <v>33.79</v>
      </c>
      <c r="DC176" s="228">
        <v>-1.48</v>
      </c>
      <c r="DD176" s="228">
        <v>-1.48</v>
      </c>
      <c r="DE176" s="228">
        <v>45.41</v>
      </c>
      <c r="DF176" s="228">
        <v>45.51</v>
      </c>
      <c r="DG176" s="228">
        <v>-13.1</v>
      </c>
      <c r="DH176" s="228">
        <v>-0.1</v>
      </c>
      <c r="DI176" s="228">
        <v>32.85</v>
      </c>
      <c r="DJ176" s="228">
        <v>34.04</v>
      </c>
      <c r="DK176" s="228">
        <v>-1.19</v>
      </c>
      <c r="DL176" s="228">
        <v>-1.19</v>
      </c>
      <c r="DM176" s="228">
        <v>31.33</v>
      </c>
      <c r="DN176" s="228">
        <v>33.270000000000003</v>
      </c>
      <c r="DO176" s="228">
        <v>-1.94</v>
      </c>
      <c r="DP176" s="228">
        <v>-1.94</v>
      </c>
      <c r="DQ176" s="228">
        <v>0.52</v>
      </c>
      <c r="DR176" s="228">
        <v>0.5</v>
      </c>
      <c r="DS176" s="228">
        <v>0.02</v>
      </c>
      <c r="DT176" s="229">
        <v>0.04</v>
      </c>
      <c r="DU176" s="228">
        <v>140</v>
      </c>
      <c r="DV176" s="228">
        <v>125</v>
      </c>
      <c r="DW176" s="228">
        <v>0.56000000000000005</v>
      </c>
      <c r="DX176" s="228">
        <v>0.47</v>
      </c>
      <c r="DY176" s="228">
        <v>0.09</v>
      </c>
      <c r="DZ176" s="229">
        <v>0.1915</v>
      </c>
      <c r="EA176" s="229">
        <v>6.7500000000000004E-2</v>
      </c>
      <c r="EB176" s="230">
        <v>12976700</v>
      </c>
      <c r="EC176" s="229">
        <v>5.4999999999999997E-3</v>
      </c>
      <c r="ED176" s="229">
        <v>6.7500000000000004E-2</v>
      </c>
      <c r="EE176" s="228">
        <v>0.76</v>
      </c>
      <c r="EF176" s="229">
        <v>5.7999999999999996E-3</v>
      </c>
      <c r="EG176" s="230">
        <v>7363503</v>
      </c>
      <c r="EH176" s="230">
        <v>2944031</v>
      </c>
      <c r="EI176" s="229">
        <v>1.5012000000000001</v>
      </c>
      <c r="EJ176" s="229">
        <v>0.40799999999999997</v>
      </c>
      <c r="EK176" s="228">
        <v>643.01</v>
      </c>
      <c r="EL176" s="228">
        <v>347.33</v>
      </c>
      <c r="EM176" s="228">
        <v>322.86</v>
      </c>
      <c r="EN176" s="228">
        <v>73.989999999999995</v>
      </c>
      <c r="EO176" s="231">
        <v>1313.2</v>
      </c>
      <c r="EP176" s="231">
        <v>1139.06</v>
      </c>
      <c r="EQ176" s="228">
        <v>174.14</v>
      </c>
      <c r="ER176" s="229">
        <v>0.15290000000000001</v>
      </c>
      <c r="ES176" s="228">
        <v>899.44</v>
      </c>
      <c r="ET176" s="228">
        <v>436.12</v>
      </c>
      <c r="EU176" s="231">
        <v>2725.79</v>
      </c>
      <c r="EV176" s="231">
        <v>216861410</v>
      </c>
      <c r="EW176" s="231">
        <v>4061.35</v>
      </c>
      <c r="EX176" s="231">
        <v>4098.9799999999996</v>
      </c>
      <c r="EY176" s="228">
        <v>-37.630000000000003</v>
      </c>
      <c r="EZ176" s="229">
        <v>-9.1999999999999998E-3</v>
      </c>
      <c r="FA176" s="229">
        <v>1.4085000000000001</v>
      </c>
      <c r="FB176" s="227" t="s">
        <v>556</v>
      </c>
      <c r="FC176">
        <f t="shared" si="3"/>
        <v>0</v>
      </c>
    </row>
    <row r="177" spans="1:159" ht="17.25" thickBot="1" x14ac:dyDescent="0.3">
      <c r="A177" s="226">
        <v>45946</v>
      </c>
      <c r="B177" s="227" t="s">
        <v>175</v>
      </c>
      <c r="C177" s="227" t="s">
        <v>687</v>
      </c>
      <c r="D177" s="228">
        <v>4300</v>
      </c>
      <c r="E177" s="228">
        <v>12</v>
      </c>
      <c r="F177" s="228">
        <v>166.97</v>
      </c>
      <c r="G177" s="228">
        <v>165.14</v>
      </c>
      <c r="H177" s="228">
        <v>1.83</v>
      </c>
      <c r="I177" s="229">
        <v>1.11E-2</v>
      </c>
      <c r="J177" s="228">
        <v>166.89</v>
      </c>
      <c r="K177" s="228">
        <v>164.98</v>
      </c>
      <c r="L177" s="228">
        <v>1.91</v>
      </c>
      <c r="M177" s="229">
        <v>1.1599999999999999E-2</v>
      </c>
      <c r="N177" s="228">
        <v>166.97</v>
      </c>
      <c r="O177" s="228">
        <v>165.14</v>
      </c>
      <c r="P177" s="228">
        <v>1.83</v>
      </c>
      <c r="Q177" s="229">
        <v>1.11E-2</v>
      </c>
      <c r="R177" s="228">
        <v>167.62</v>
      </c>
      <c r="S177" s="228">
        <v>167.42</v>
      </c>
      <c r="T177" s="228">
        <v>0.2</v>
      </c>
      <c r="U177" s="229">
        <v>1.1999999999999999E-3</v>
      </c>
      <c r="V177" s="228">
        <v>166.46</v>
      </c>
      <c r="W177" s="228">
        <v>164.71</v>
      </c>
      <c r="X177" s="228">
        <v>1.75</v>
      </c>
      <c r="Y177" s="229">
        <v>1.06E-2</v>
      </c>
      <c r="Z177" s="228">
        <v>0.08</v>
      </c>
      <c r="AA177" s="228">
        <v>0.16</v>
      </c>
      <c r="AB177" s="228">
        <v>-0.08</v>
      </c>
      <c r="AC177" s="229">
        <v>5.0000000000000001E-4</v>
      </c>
      <c r="AD177" s="228">
        <v>0.08</v>
      </c>
      <c r="AE177" s="228">
        <v>0.16</v>
      </c>
      <c r="AF177" s="228">
        <v>-0.08</v>
      </c>
      <c r="AG177" s="229">
        <v>5.0000000000000001E-4</v>
      </c>
      <c r="AH177" s="228">
        <v>0.73</v>
      </c>
      <c r="AI177" s="228">
        <v>2.44</v>
      </c>
      <c r="AJ177" s="228">
        <v>-1.71</v>
      </c>
      <c r="AK177" s="229">
        <v>4.4000000000000003E-3</v>
      </c>
      <c r="AL177" s="228">
        <v>-0.43</v>
      </c>
      <c r="AM177" s="228">
        <v>-0.27</v>
      </c>
      <c r="AN177" s="228">
        <v>-0.16</v>
      </c>
      <c r="AO177" s="229">
        <v>-2.5999999999999999E-3</v>
      </c>
      <c r="AP177" s="228">
        <v>166.72</v>
      </c>
      <c r="AQ177" s="228">
        <v>167.38</v>
      </c>
      <c r="AR177" s="228">
        <v>0</v>
      </c>
      <c r="AS177" s="228">
        <v>19</v>
      </c>
      <c r="AT177" s="228">
        <v>44</v>
      </c>
      <c r="AU177" s="228">
        <v>-25</v>
      </c>
      <c r="AV177" s="229">
        <v>-0.56910000000000005</v>
      </c>
      <c r="AW177" s="228">
        <v>18</v>
      </c>
      <c r="AX177" s="228">
        <v>43</v>
      </c>
      <c r="AY177" s="228">
        <v>-25</v>
      </c>
      <c r="AZ177" s="229">
        <v>-0.57189999999999996</v>
      </c>
      <c r="BA177" s="228">
        <v>1</v>
      </c>
      <c r="BB177" s="228">
        <v>1</v>
      </c>
      <c r="BC177" s="228">
        <v>-1</v>
      </c>
      <c r="BD177" s="229">
        <v>-0.52939999999999998</v>
      </c>
      <c r="BE177" s="228">
        <v>0</v>
      </c>
      <c r="BF177" s="228">
        <v>0</v>
      </c>
      <c r="BG177" s="228">
        <v>0</v>
      </c>
      <c r="BH177" s="229">
        <v>0</v>
      </c>
      <c r="BI177" s="228">
        <v>20</v>
      </c>
      <c r="BJ177" s="228">
        <v>17</v>
      </c>
      <c r="BK177" s="228">
        <v>3</v>
      </c>
      <c r="BL177" s="229">
        <v>0.15640000000000001</v>
      </c>
      <c r="BM177" s="228">
        <v>9</v>
      </c>
      <c r="BN177" s="228">
        <v>13</v>
      </c>
      <c r="BO177" s="228">
        <v>-4</v>
      </c>
      <c r="BP177" s="229">
        <v>-0.30940000000000001</v>
      </c>
      <c r="BQ177" s="228">
        <v>48</v>
      </c>
      <c r="BR177" s="228">
        <v>75</v>
      </c>
      <c r="BS177" s="228">
        <v>-26</v>
      </c>
      <c r="BT177" s="229">
        <v>-0.35420000000000001</v>
      </c>
      <c r="BU177" s="230">
        <v>10544691</v>
      </c>
      <c r="BV177" s="230">
        <v>15369709</v>
      </c>
      <c r="BW177" s="230">
        <v>-4825018</v>
      </c>
      <c r="BX177" s="229">
        <v>-0.31390000000000001</v>
      </c>
      <c r="BY177" s="230">
        <v>1777</v>
      </c>
      <c r="BZ177" s="230">
        <v>1795</v>
      </c>
      <c r="CA177" s="228">
        <v>-18</v>
      </c>
      <c r="CB177" s="229">
        <v>-9.9000000000000008E-3</v>
      </c>
      <c r="CC177" s="230">
        <v>1706</v>
      </c>
      <c r="CD177" s="230">
        <v>1723</v>
      </c>
      <c r="CE177" s="228">
        <v>-17</v>
      </c>
      <c r="CF177" s="229">
        <v>-9.9000000000000008E-3</v>
      </c>
      <c r="CG177" s="228">
        <v>67</v>
      </c>
      <c r="CH177" s="228">
        <v>68</v>
      </c>
      <c r="CI177" s="228">
        <v>-1</v>
      </c>
      <c r="CJ177" s="229">
        <v>-8.5000000000000006E-3</v>
      </c>
      <c r="CK177" s="228">
        <v>3</v>
      </c>
      <c r="CL177" s="228">
        <v>3</v>
      </c>
      <c r="CM177" s="228">
        <v>0</v>
      </c>
      <c r="CN177" s="229">
        <v>-2.1700000000000001E-2</v>
      </c>
      <c r="CO177" s="228">
        <v>462</v>
      </c>
      <c r="CP177" s="228">
        <v>477</v>
      </c>
      <c r="CQ177" s="228">
        <v>-15</v>
      </c>
      <c r="CR177" s="229">
        <v>-3.1899999999999998E-2</v>
      </c>
      <c r="CS177" s="228">
        <v>481</v>
      </c>
      <c r="CT177" s="228">
        <v>489</v>
      </c>
      <c r="CU177" s="228">
        <v>-8</v>
      </c>
      <c r="CV177" s="229">
        <v>-1.5599999999999999E-2</v>
      </c>
      <c r="CW177" s="230">
        <v>2720</v>
      </c>
      <c r="CX177" s="230">
        <v>2760</v>
      </c>
      <c r="CY177" s="228">
        <v>-41</v>
      </c>
      <c r="CZ177" s="229">
        <v>-1.47E-2</v>
      </c>
      <c r="DA177" s="228">
        <v>32.479999999999997</v>
      </c>
      <c r="DB177" s="228">
        <v>39.83</v>
      </c>
      <c r="DC177" s="228">
        <v>-7.35</v>
      </c>
      <c r="DD177" s="228">
        <v>-7.35</v>
      </c>
      <c r="DE177" s="228">
        <v>57.32</v>
      </c>
      <c r="DF177" s="228">
        <v>57.44</v>
      </c>
      <c r="DG177" s="228">
        <v>-24.84</v>
      </c>
      <c r="DH177" s="228">
        <v>-0.12</v>
      </c>
      <c r="DI177" s="228">
        <v>29.84</v>
      </c>
      <c r="DJ177" s="228">
        <v>41.3</v>
      </c>
      <c r="DK177" s="228">
        <v>-11.46</v>
      </c>
      <c r="DL177" s="228">
        <v>-11.46</v>
      </c>
      <c r="DM177" s="228">
        <v>38.39</v>
      </c>
      <c r="DN177" s="228">
        <v>37.85</v>
      </c>
      <c r="DO177" s="228">
        <v>0.54</v>
      </c>
      <c r="DP177" s="228">
        <v>0.54</v>
      </c>
      <c r="DQ177" s="228">
        <v>1.04</v>
      </c>
      <c r="DR177" s="228">
        <v>1.02</v>
      </c>
      <c r="DS177" s="228">
        <v>0.02</v>
      </c>
      <c r="DT177" s="229">
        <v>1.9599999999999999E-2</v>
      </c>
      <c r="DU177" s="228">
        <v>160</v>
      </c>
      <c r="DV177" s="228">
        <v>160</v>
      </c>
      <c r="DW177" s="228">
        <v>0.44</v>
      </c>
      <c r="DX177" s="228">
        <v>0.74</v>
      </c>
      <c r="DY177" s="228">
        <v>-0.3</v>
      </c>
      <c r="DZ177" s="229">
        <v>-0.40539999999999998</v>
      </c>
      <c r="EA177" s="229">
        <v>3.9699999999999999E-2</v>
      </c>
      <c r="EB177" s="230">
        <v>4265600</v>
      </c>
      <c r="EC177" s="229">
        <v>3.8999999999999998E-3</v>
      </c>
      <c r="ED177" s="229">
        <v>3.9699999999999999E-2</v>
      </c>
      <c r="EE177" s="228">
        <v>0.66</v>
      </c>
      <c r="EF177" s="229">
        <v>4.0000000000000001E-3</v>
      </c>
      <c r="EG177" s="230">
        <v>6072969</v>
      </c>
      <c r="EH177" s="230">
        <v>7141023</v>
      </c>
      <c r="EI177" s="229">
        <v>-0.14960000000000001</v>
      </c>
      <c r="EJ177" s="229">
        <v>0.57589999999999997</v>
      </c>
      <c r="EK177" s="228">
        <v>20.46</v>
      </c>
      <c r="EL177" s="228">
        <v>8.1</v>
      </c>
      <c r="EM177" s="228">
        <v>19</v>
      </c>
      <c r="EN177" s="228">
        <v>21.22</v>
      </c>
      <c r="EO177" s="228">
        <v>47.56</v>
      </c>
      <c r="EP177" s="228">
        <v>72.959999999999994</v>
      </c>
      <c r="EQ177" s="228">
        <v>-25.4</v>
      </c>
      <c r="ER177" s="229">
        <v>-0.34820000000000001</v>
      </c>
      <c r="ES177" s="228">
        <v>454.98</v>
      </c>
      <c r="ET177" s="228">
        <v>427.13</v>
      </c>
      <c r="EU177" s="231">
        <v>1777.23</v>
      </c>
      <c r="EV177" s="231">
        <v>122326971</v>
      </c>
      <c r="EW177" s="231">
        <v>2659.35</v>
      </c>
      <c r="EX177" s="231">
        <v>2679.63</v>
      </c>
      <c r="EY177" s="228">
        <v>-20.28</v>
      </c>
      <c r="EZ177" s="229">
        <v>-7.6E-3</v>
      </c>
      <c r="FA177" s="229">
        <v>1.3315999999999999</v>
      </c>
      <c r="FB177" s="227" t="s">
        <v>556</v>
      </c>
      <c r="FC177">
        <f t="shared" si="3"/>
        <v>0</v>
      </c>
    </row>
    <row r="178" spans="1:159" ht="17.25" thickBot="1" x14ac:dyDescent="0.3">
      <c r="A178" s="226">
        <v>45946</v>
      </c>
      <c r="B178" s="227" t="s">
        <v>175</v>
      </c>
      <c r="C178" s="227" t="s">
        <v>536</v>
      </c>
      <c r="D178" s="228">
        <v>800</v>
      </c>
      <c r="E178" s="228">
        <v>12</v>
      </c>
      <c r="F178" s="228">
        <v>932.8</v>
      </c>
      <c r="G178" s="228">
        <v>924.7</v>
      </c>
      <c r="H178" s="228">
        <v>8.1</v>
      </c>
      <c r="I178" s="229">
        <v>8.8000000000000005E-3</v>
      </c>
      <c r="J178" s="228">
        <v>934.85</v>
      </c>
      <c r="K178" s="228">
        <v>929.2</v>
      </c>
      <c r="L178" s="228">
        <v>5.65</v>
      </c>
      <c r="M178" s="229">
        <v>6.1000000000000004E-3</v>
      </c>
      <c r="N178" s="228">
        <v>932.8</v>
      </c>
      <c r="O178" s="228">
        <v>924.7</v>
      </c>
      <c r="P178" s="228">
        <v>8.1</v>
      </c>
      <c r="Q178" s="229">
        <v>8.8000000000000005E-3</v>
      </c>
      <c r="R178" s="228">
        <v>916.4</v>
      </c>
      <c r="S178" s="228">
        <v>909.35</v>
      </c>
      <c r="T178" s="228">
        <v>7.05</v>
      </c>
      <c r="U178" s="229">
        <v>7.7999999999999996E-3</v>
      </c>
      <c r="V178" s="228">
        <v>905.1</v>
      </c>
      <c r="W178" s="228">
        <v>898.2</v>
      </c>
      <c r="X178" s="228">
        <v>6.9</v>
      </c>
      <c r="Y178" s="229">
        <v>7.7000000000000002E-3</v>
      </c>
      <c r="Z178" s="228">
        <v>-2.0499999999999998</v>
      </c>
      <c r="AA178" s="228">
        <v>-4.5</v>
      </c>
      <c r="AB178" s="228">
        <v>2.4500000000000002</v>
      </c>
      <c r="AC178" s="229">
        <v>-2.2000000000000001E-3</v>
      </c>
      <c r="AD178" s="228">
        <v>-2.0499999999999998</v>
      </c>
      <c r="AE178" s="228">
        <v>-4.5</v>
      </c>
      <c r="AF178" s="228">
        <v>2.4500000000000002</v>
      </c>
      <c r="AG178" s="229">
        <v>-2.2000000000000001E-3</v>
      </c>
      <c r="AH178" s="228">
        <v>-18.45</v>
      </c>
      <c r="AI178" s="228">
        <v>-19.850000000000001</v>
      </c>
      <c r="AJ178" s="228">
        <v>1.4</v>
      </c>
      <c r="AK178" s="229">
        <v>-1.9699999999999999E-2</v>
      </c>
      <c r="AL178" s="228">
        <v>-29.75</v>
      </c>
      <c r="AM178" s="228">
        <v>-31</v>
      </c>
      <c r="AN178" s="228">
        <v>1.25</v>
      </c>
      <c r="AO178" s="229">
        <v>-3.1800000000000002E-2</v>
      </c>
      <c r="AP178" s="228">
        <v>934.12</v>
      </c>
      <c r="AQ178" s="228">
        <v>917.05</v>
      </c>
      <c r="AR178" s="228">
        <v>0</v>
      </c>
      <c r="AS178" s="228">
        <v>442</v>
      </c>
      <c r="AT178" s="228">
        <v>311</v>
      </c>
      <c r="AU178" s="228">
        <v>130</v>
      </c>
      <c r="AV178" s="229">
        <v>0.41899999999999998</v>
      </c>
      <c r="AW178" s="228">
        <v>294</v>
      </c>
      <c r="AX178" s="228">
        <v>250</v>
      </c>
      <c r="AY178" s="228">
        <v>44</v>
      </c>
      <c r="AZ178" s="229">
        <v>0.1782</v>
      </c>
      <c r="BA178" s="228">
        <v>140</v>
      </c>
      <c r="BB178" s="228">
        <v>57</v>
      </c>
      <c r="BC178" s="228">
        <v>84</v>
      </c>
      <c r="BD178" s="229">
        <v>1.4762999999999999</v>
      </c>
      <c r="BE178" s="228">
        <v>8</v>
      </c>
      <c r="BF178" s="228">
        <v>5</v>
      </c>
      <c r="BG178" s="228">
        <v>2</v>
      </c>
      <c r="BH178" s="229">
        <v>0.4783</v>
      </c>
      <c r="BI178" s="230">
        <v>1033</v>
      </c>
      <c r="BJ178" s="228">
        <v>866</v>
      </c>
      <c r="BK178" s="228">
        <v>167</v>
      </c>
      <c r="BL178" s="229">
        <v>0.19270000000000001</v>
      </c>
      <c r="BM178" s="228">
        <v>434</v>
      </c>
      <c r="BN178" s="228">
        <v>386</v>
      </c>
      <c r="BO178" s="228">
        <v>48</v>
      </c>
      <c r="BP178" s="229">
        <v>0.1231</v>
      </c>
      <c r="BQ178" s="230">
        <v>1909</v>
      </c>
      <c r="BR178" s="230">
        <v>1564</v>
      </c>
      <c r="BS178" s="228">
        <v>345</v>
      </c>
      <c r="BT178" s="229">
        <v>0.2205</v>
      </c>
      <c r="BU178" s="230">
        <v>729715</v>
      </c>
      <c r="BV178" s="230">
        <v>766070</v>
      </c>
      <c r="BW178" s="230">
        <v>-36355</v>
      </c>
      <c r="BX178" s="229">
        <v>-4.7500000000000001E-2</v>
      </c>
      <c r="BY178" s="230">
        <v>1895</v>
      </c>
      <c r="BZ178" s="230">
        <v>1846</v>
      </c>
      <c r="CA178" s="228">
        <v>49</v>
      </c>
      <c r="CB178" s="229">
        <v>2.6599999999999999E-2</v>
      </c>
      <c r="CC178" s="230">
        <v>1611</v>
      </c>
      <c r="CD178" s="230">
        <v>1619</v>
      </c>
      <c r="CE178" s="228">
        <v>-8</v>
      </c>
      <c r="CF178" s="229">
        <v>-5.1000000000000004E-3</v>
      </c>
      <c r="CG178" s="228">
        <v>214</v>
      </c>
      <c r="CH178" s="228">
        <v>160</v>
      </c>
      <c r="CI178" s="228">
        <v>54</v>
      </c>
      <c r="CJ178" s="229">
        <v>0.33400000000000002</v>
      </c>
      <c r="CK178" s="228">
        <v>70</v>
      </c>
      <c r="CL178" s="228">
        <v>66</v>
      </c>
      <c r="CM178" s="228">
        <v>4</v>
      </c>
      <c r="CN178" s="229">
        <v>5.8400000000000001E-2</v>
      </c>
      <c r="CO178" s="228">
        <v>522</v>
      </c>
      <c r="CP178" s="228">
        <v>569</v>
      </c>
      <c r="CQ178" s="228">
        <v>-46</v>
      </c>
      <c r="CR178" s="229">
        <v>-8.1500000000000003E-2</v>
      </c>
      <c r="CS178" s="228">
        <v>367</v>
      </c>
      <c r="CT178" s="228">
        <v>349</v>
      </c>
      <c r="CU178" s="228">
        <v>18</v>
      </c>
      <c r="CV178" s="229">
        <v>5.1700000000000003E-2</v>
      </c>
      <c r="CW178" s="230">
        <v>2785</v>
      </c>
      <c r="CX178" s="230">
        <v>2764</v>
      </c>
      <c r="CY178" s="228">
        <v>21</v>
      </c>
      <c r="CZ178" s="229">
        <v>7.4999999999999997E-3</v>
      </c>
      <c r="DA178" s="228">
        <v>29.08</v>
      </c>
      <c r="DB178" s="228">
        <v>28.04</v>
      </c>
      <c r="DC178" s="228">
        <v>1.04</v>
      </c>
      <c r="DD178" s="228">
        <v>1.04</v>
      </c>
      <c r="DE178" s="228">
        <v>30.25</v>
      </c>
      <c r="DF178" s="228">
        <v>30.31</v>
      </c>
      <c r="DG178" s="228">
        <v>-1.17</v>
      </c>
      <c r="DH178" s="228">
        <v>-0.06</v>
      </c>
      <c r="DI178" s="228">
        <v>28.59</v>
      </c>
      <c r="DJ178" s="228">
        <v>27.76</v>
      </c>
      <c r="DK178" s="228">
        <v>0.83</v>
      </c>
      <c r="DL178" s="228">
        <v>0.83</v>
      </c>
      <c r="DM178" s="228">
        <v>30.27</v>
      </c>
      <c r="DN178" s="228">
        <v>28.66</v>
      </c>
      <c r="DO178" s="228">
        <v>1.61</v>
      </c>
      <c r="DP178" s="228">
        <v>1.61</v>
      </c>
      <c r="DQ178" s="228">
        <v>0.7</v>
      </c>
      <c r="DR178" s="228">
        <v>0.61</v>
      </c>
      <c r="DS178" s="228">
        <v>0.09</v>
      </c>
      <c r="DT178" s="229">
        <v>0.14749999999999999</v>
      </c>
      <c r="DU178" s="231">
        <v>1000</v>
      </c>
      <c r="DV178" s="228">
        <v>900</v>
      </c>
      <c r="DW178" s="228">
        <v>0.42</v>
      </c>
      <c r="DX178" s="228">
        <v>0.45</v>
      </c>
      <c r="DY178" s="228">
        <v>-0.03</v>
      </c>
      <c r="DZ178" s="229">
        <v>-6.6699999999999995E-2</v>
      </c>
      <c r="EA178" s="229">
        <v>0.14990000000000001</v>
      </c>
      <c r="EB178" s="230">
        <v>2430400</v>
      </c>
      <c r="EC178" s="229">
        <v>-1.7600000000000001E-2</v>
      </c>
      <c r="ED178" s="229">
        <v>0.14990000000000001</v>
      </c>
      <c r="EE178" s="228">
        <v>-17.07</v>
      </c>
      <c r="EF178" s="229">
        <v>-1.83E-2</v>
      </c>
      <c r="EG178" s="230">
        <v>313399</v>
      </c>
      <c r="EH178" s="230">
        <v>338826</v>
      </c>
      <c r="EI178" s="229">
        <v>-7.4999999999999997E-2</v>
      </c>
      <c r="EJ178" s="229">
        <v>0.42949999999999999</v>
      </c>
      <c r="EK178" s="231">
        <v>1067.5999999999999</v>
      </c>
      <c r="EL178" s="228">
        <v>426</v>
      </c>
      <c r="EM178" s="228">
        <v>439.6</v>
      </c>
      <c r="EN178" s="228">
        <v>34.369999999999997</v>
      </c>
      <c r="EO178" s="231">
        <v>1933.19</v>
      </c>
      <c r="EP178" s="231">
        <v>1571.43</v>
      </c>
      <c r="EQ178" s="228">
        <v>361.76</v>
      </c>
      <c r="ER178" s="229">
        <v>0.23019999999999999</v>
      </c>
      <c r="ES178" s="228">
        <v>531.79999999999995</v>
      </c>
      <c r="ET178" s="228">
        <v>341.36</v>
      </c>
      <c r="EU178" s="231">
        <v>1889.01</v>
      </c>
      <c r="EV178" s="231">
        <v>39583537</v>
      </c>
      <c r="EW178" s="231">
        <v>2762.16</v>
      </c>
      <c r="EX178" s="231">
        <v>2724.06</v>
      </c>
      <c r="EY178" s="228">
        <v>38.1</v>
      </c>
      <c r="EZ178" s="229">
        <v>1.4E-2</v>
      </c>
      <c r="FA178" s="229">
        <v>0.75409999999999999</v>
      </c>
      <c r="FB178" s="227" t="s">
        <v>555</v>
      </c>
      <c r="FC178">
        <f t="shared" si="3"/>
        <v>0</v>
      </c>
    </row>
    <row r="179" spans="1:159" ht="17.25" thickBot="1" x14ac:dyDescent="0.3">
      <c r="A179" s="226">
        <v>45946</v>
      </c>
      <c r="B179" s="227" t="s">
        <v>175</v>
      </c>
      <c r="C179" s="227" t="s">
        <v>462</v>
      </c>
      <c r="D179" s="228">
        <v>375</v>
      </c>
      <c r="E179" s="228">
        <v>12</v>
      </c>
      <c r="F179" s="231">
        <v>1838.4</v>
      </c>
      <c r="G179" s="231">
        <v>1847.2</v>
      </c>
      <c r="H179" s="228">
        <v>-8.8000000000000007</v>
      </c>
      <c r="I179" s="229">
        <v>-4.7999999999999996E-3</v>
      </c>
      <c r="J179" s="231">
        <v>1835.7</v>
      </c>
      <c r="K179" s="231">
        <v>1840.6</v>
      </c>
      <c r="L179" s="228">
        <v>-4.9000000000000004</v>
      </c>
      <c r="M179" s="229">
        <v>-2.7000000000000001E-3</v>
      </c>
      <c r="N179" s="231">
        <v>1838.4</v>
      </c>
      <c r="O179" s="231">
        <v>1847.2</v>
      </c>
      <c r="P179" s="228">
        <v>-8.8000000000000007</v>
      </c>
      <c r="Q179" s="229">
        <v>-4.7999999999999996E-3</v>
      </c>
      <c r="R179" s="231">
        <v>1848.7</v>
      </c>
      <c r="S179" s="231">
        <v>1856.1</v>
      </c>
      <c r="T179" s="228">
        <v>-7.4</v>
      </c>
      <c r="U179" s="229">
        <v>-4.0000000000000001E-3</v>
      </c>
      <c r="V179" s="231">
        <v>1860.8</v>
      </c>
      <c r="W179" s="231">
        <v>1865.6</v>
      </c>
      <c r="X179" s="228">
        <v>-4.8</v>
      </c>
      <c r="Y179" s="229">
        <v>-2.5999999999999999E-3</v>
      </c>
      <c r="Z179" s="228">
        <v>2.7</v>
      </c>
      <c r="AA179" s="228">
        <v>6.6</v>
      </c>
      <c r="AB179" s="228">
        <v>-3.9</v>
      </c>
      <c r="AC179" s="229">
        <v>1.5E-3</v>
      </c>
      <c r="AD179" s="228">
        <v>2.7</v>
      </c>
      <c r="AE179" s="228">
        <v>6.6</v>
      </c>
      <c r="AF179" s="228">
        <v>-3.9</v>
      </c>
      <c r="AG179" s="229">
        <v>1.5E-3</v>
      </c>
      <c r="AH179" s="228">
        <v>13</v>
      </c>
      <c r="AI179" s="228">
        <v>15.5</v>
      </c>
      <c r="AJ179" s="228">
        <v>-2.5</v>
      </c>
      <c r="AK179" s="229">
        <v>7.1000000000000004E-3</v>
      </c>
      <c r="AL179" s="228">
        <v>25.1</v>
      </c>
      <c r="AM179" s="228">
        <v>25</v>
      </c>
      <c r="AN179" s="228">
        <v>0.1</v>
      </c>
      <c r="AO179" s="229">
        <v>1.37E-2</v>
      </c>
      <c r="AP179" s="231">
        <v>1826.5</v>
      </c>
      <c r="AQ179" s="231">
        <v>1837.75</v>
      </c>
      <c r="AR179" s="228">
        <v>0</v>
      </c>
      <c r="AS179" s="228">
        <v>231</v>
      </c>
      <c r="AT179" s="228">
        <v>287</v>
      </c>
      <c r="AU179" s="228">
        <v>-56</v>
      </c>
      <c r="AV179" s="229">
        <v>-0.1958</v>
      </c>
      <c r="AW179" s="228">
        <v>202</v>
      </c>
      <c r="AX179" s="228">
        <v>251</v>
      </c>
      <c r="AY179" s="228">
        <v>-49</v>
      </c>
      <c r="AZ179" s="229">
        <v>-0.19650000000000001</v>
      </c>
      <c r="BA179" s="228">
        <v>28</v>
      </c>
      <c r="BB179" s="228">
        <v>34</v>
      </c>
      <c r="BC179" s="228">
        <v>-7</v>
      </c>
      <c r="BD179" s="229">
        <v>-0.19719999999999999</v>
      </c>
      <c r="BE179" s="228">
        <v>1</v>
      </c>
      <c r="BF179" s="228">
        <v>2</v>
      </c>
      <c r="BG179" s="228">
        <v>0</v>
      </c>
      <c r="BH179" s="229">
        <v>-4.5499999999999999E-2</v>
      </c>
      <c r="BI179" s="228">
        <v>586</v>
      </c>
      <c r="BJ179" s="228">
        <v>843</v>
      </c>
      <c r="BK179" s="228">
        <v>-256</v>
      </c>
      <c r="BL179" s="229">
        <v>-0.30399999999999999</v>
      </c>
      <c r="BM179" s="228">
        <v>295</v>
      </c>
      <c r="BN179" s="228">
        <v>290</v>
      </c>
      <c r="BO179" s="228">
        <v>5</v>
      </c>
      <c r="BP179" s="229">
        <v>1.6400000000000001E-2</v>
      </c>
      <c r="BQ179" s="230">
        <v>1113</v>
      </c>
      <c r="BR179" s="230">
        <v>1420</v>
      </c>
      <c r="BS179" s="228">
        <v>-308</v>
      </c>
      <c r="BT179" s="229">
        <v>-0.21659999999999999</v>
      </c>
      <c r="BU179" s="230">
        <v>987160</v>
      </c>
      <c r="BV179" s="230">
        <v>901439</v>
      </c>
      <c r="BW179" s="230">
        <v>85721</v>
      </c>
      <c r="BX179" s="229">
        <v>9.5100000000000004E-2</v>
      </c>
      <c r="BY179" s="230">
        <v>1243</v>
      </c>
      <c r="BZ179" s="230">
        <v>1201</v>
      </c>
      <c r="CA179" s="228">
        <v>42</v>
      </c>
      <c r="CB179" s="229">
        <v>3.5200000000000002E-2</v>
      </c>
      <c r="CC179" s="230">
        <v>1194</v>
      </c>
      <c r="CD179" s="230">
        <v>1157</v>
      </c>
      <c r="CE179" s="228">
        <v>37</v>
      </c>
      <c r="CF179" s="229">
        <v>3.1800000000000002E-2</v>
      </c>
      <c r="CG179" s="228">
        <v>43</v>
      </c>
      <c r="CH179" s="228">
        <v>38</v>
      </c>
      <c r="CI179" s="228">
        <v>5</v>
      </c>
      <c r="CJ179" s="229">
        <v>0.14000000000000001</v>
      </c>
      <c r="CK179" s="228">
        <v>6</v>
      </c>
      <c r="CL179" s="228">
        <v>6</v>
      </c>
      <c r="CM179" s="228">
        <v>0</v>
      </c>
      <c r="CN179" s="229">
        <v>4.4900000000000002E-2</v>
      </c>
      <c r="CO179" s="228">
        <v>470</v>
      </c>
      <c r="CP179" s="228">
        <v>471</v>
      </c>
      <c r="CQ179" s="228">
        <v>-1</v>
      </c>
      <c r="CR179" s="229">
        <v>-2.8E-3</v>
      </c>
      <c r="CS179" s="228">
        <v>254</v>
      </c>
      <c r="CT179" s="228">
        <v>260</v>
      </c>
      <c r="CU179" s="228">
        <v>-5</v>
      </c>
      <c r="CV179" s="229">
        <v>-2.0199999999999999E-2</v>
      </c>
      <c r="CW179" s="230">
        <v>1968</v>
      </c>
      <c r="CX179" s="230">
        <v>1932</v>
      </c>
      <c r="CY179" s="228">
        <v>36</v>
      </c>
      <c r="CZ179" s="229">
        <v>1.8499999999999999E-2</v>
      </c>
      <c r="DA179" s="228">
        <v>21.17</v>
      </c>
      <c r="DB179" s="228">
        <v>20.93</v>
      </c>
      <c r="DC179" s="228">
        <v>0.24</v>
      </c>
      <c r="DD179" s="228">
        <v>0.24</v>
      </c>
      <c r="DE179" s="228">
        <v>25.66</v>
      </c>
      <c r="DF179" s="228">
        <v>25.72</v>
      </c>
      <c r="DG179" s="228">
        <v>-4.49</v>
      </c>
      <c r="DH179" s="228">
        <v>-0.06</v>
      </c>
      <c r="DI179" s="228">
        <v>20.77</v>
      </c>
      <c r="DJ179" s="228">
        <v>20.7</v>
      </c>
      <c r="DK179" s="228">
        <v>7.0000000000000007E-2</v>
      </c>
      <c r="DL179" s="228">
        <v>7.0000000000000007E-2</v>
      </c>
      <c r="DM179" s="228">
        <v>21.97</v>
      </c>
      <c r="DN179" s="228">
        <v>21.61</v>
      </c>
      <c r="DO179" s="228">
        <v>0.36</v>
      </c>
      <c r="DP179" s="228">
        <v>0.36</v>
      </c>
      <c r="DQ179" s="228">
        <v>0.54</v>
      </c>
      <c r="DR179" s="228">
        <v>0.55000000000000004</v>
      </c>
      <c r="DS179" s="228">
        <v>-0.01</v>
      </c>
      <c r="DT179" s="229">
        <v>-1.8200000000000001E-2</v>
      </c>
      <c r="DU179" s="231">
        <v>1800</v>
      </c>
      <c r="DV179" s="231">
        <v>1800</v>
      </c>
      <c r="DW179" s="228">
        <v>0.5</v>
      </c>
      <c r="DX179" s="228">
        <v>0.34</v>
      </c>
      <c r="DY179" s="228">
        <v>0.16</v>
      </c>
      <c r="DZ179" s="229">
        <v>0.47060000000000002</v>
      </c>
      <c r="EA179" s="229">
        <v>3.9899999999999998E-2</v>
      </c>
      <c r="EB179" s="230">
        <v>239625</v>
      </c>
      <c r="EC179" s="229">
        <v>5.5999999999999999E-3</v>
      </c>
      <c r="ED179" s="229">
        <v>3.9899999999999998E-2</v>
      </c>
      <c r="EE179" s="228">
        <v>11.25</v>
      </c>
      <c r="EF179" s="229">
        <v>6.1999999999999998E-3</v>
      </c>
      <c r="EG179" s="230">
        <v>603957</v>
      </c>
      <c r="EH179" s="230">
        <v>533707</v>
      </c>
      <c r="EI179" s="229">
        <v>0.13159999999999999</v>
      </c>
      <c r="EJ179" s="229">
        <v>0.61180000000000001</v>
      </c>
      <c r="EK179" s="228">
        <v>599.45000000000005</v>
      </c>
      <c r="EL179" s="228">
        <v>292.11</v>
      </c>
      <c r="EM179" s="228">
        <v>229.71</v>
      </c>
      <c r="EN179" s="228">
        <v>33.67</v>
      </c>
      <c r="EO179" s="231">
        <v>1121.26</v>
      </c>
      <c r="EP179" s="231">
        <v>1445.22</v>
      </c>
      <c r="EQ179" s="228">
        <v>-323.95999999999998</v>
      </c>
      <c r="ER179" s="229">
        <v>-0.22420000000000001</v>
      </c>
      <c r="ES179" s="228">
        <v>477.05</v>
      </c>
      <c r="ET179" s="228">
        <v>245</v>
      </c>
      <c r="EU179" s="231">
        <v>1243.72</v>
      </c>
      <c r="EV179" s="231">
        <v>44735132</v>
      </c>
      <c r="EW179" s="231">
        <v>1965.77</v>
      </c>
      <c r="EX179" s="231">
        <v>1935.85</v>
      </c>
      <c r="EY179" s="228">
        <v>29.92</v>
      </c>
      <c r="EZ179" s="229">
        <v>1.55E-2</v>
      </c>
      <c r="FA179" s="229">
        <v>0.23930000000000001</v>
      </c>
      <c r="FB179" s="227" t="s">
        <v>567</v>
      </c>
      <c r="FC179">
        <f t="shared" si="3"/>
        <v>0</v>
      </c>
    </row>
    <row r="180" spans="1:159" ht="17.25" thickBot="1" x14ac:dyDescent="0.3">
      <c r="A180" s="226">
        <v>45946</v>
      </c>
      <c r="B180" s="227" t="s">
        <v>172</v>
      </c>
      <c r="C180" s="227" t="s">
        <v>283</v>
      </c>
      <c r="D180" s="228">
        <v>750</v>
      </c>
      <c r="E180" s="228">
        <v>12</v>
      </c>
      <c r="F180" s="228">
        <v>888.3</v>
      </c>
      <c r="G180" s="228">
        <v>887.4</v>
      </c>
      <c r="H180" s="228">
        <v>0.9</v>
      </c>
      <c r="I180" s="229">
        <v>1E-3</v>
      </c>
      <c r="J180" s="228">
        <v>886.95</v>
      </c>
      <c r="K180" s="228">
        <v>886.1</v>
      </c>
      <c r="L180" s="228">
        <v>0.85</v>
      </c>
      <c r="M180" s="229">
        <v>1E-3</v>
      </c>
      <c r="N180" s="228">
        <v>888.3</v>
      </c>
      <c r="O180" s="228">
        <v>887.4</v>
      </c>
      <c r="P180" s="228">
        <v>0.9</v>
      </c>
      <c r="Q180" s="229">
        <v>1E-3</v>
      </c>
      <c r="R180" s="228">
        <v>893.2</v>
      </c>
      <c r="S180" s="228">
        <v>892.1</v>
      </c>
      <c r="T180" s="228">
        <v>1.1000000000000001</v>
      </c>
      <c r="U180" s="229">
        <v>1.1999999999999999E-3</v>
      </c>
      <c r="V180" s="228">
        <v>898.45</v>
      </c>
      <c r="W180" s="228">
        <v>897.4</v>
      </c>
      <c r="X180" s="228">
        <v>1.05</v>
      </c>
      <c r="Y180" s="229">
        <v>1.1999999999999999E-3</v>
      </c>
      <c r="Z180" s="228">
        <v>1.35</v>
      </c>
      <c r="AA180" s="228">
        <v>1.3</v>
      </c>
      <c r="AB180" s="228">
        <v>0.05</v>
      </c>
      <c r="AC180" s="229">
        <v>1.5E-3</v>
      </c>
      <c r="AD180" s="228">
        <v>1.35</v>
      </c>
      <c r="AE180" s="228">
        <v>1.3</v>
      </c>
      <c r="AF180" s="228">
        <v>0.05</v>
      </c>
      <c r="AG180" s="229">
        <v>1.5E-3</v>
      </c>
      <c r="AH180" s="228">
        <v>6.25</v>
      </c>
      <c r="AI180" s="228">
        <v>6</v>
      </c>
      <c r="AJ180" s="228">
        <v>0.25</v>
      </c>
      <c r="AK180" s="229">
        <v>7.0000000000000001E-3</v>
      </c>
      <c r="AL180" s="228">
        <v>11.5</v>
      </c>
      <c r="AM180" s="228">
        <v>11.3</v>
      </c>
      <c r="AN180" s="228">
        <v>0.2</v>
      </c>
      <c r="AO180" s="229">
        <v>1.2999999999999999E-2</v>
      </c>
      <c r="AP180" s="228">
        <v>888.57</v>
      </c>
      <c r="AQ180" s="228">
        <v>893.29</v>
      </c>
      <c r="AR180" s="228">
        <v>0</v>
      </c>
      <c r="AS180" s="230">
        <v>1452</v>
      </c>
      <c r="AT180" s="230">
        <v>1026</v>
      </c>
      <c r="AU180" s="228">
        <v>426</v>
      </c>
      <c r="AV180" s="229">
        <v>0.4153</v>
      </c>
      <c r="AW180" s="230">
        <v>1265</v>
      </c>
      <c r="AX180" s="228">
        <v>889</v>
      </c>
      <c r="AY180" s="228">
        <v>376</v>
      </c>
      <c r="AZ180" s="229">
        <v>0.4234</v>
      </c>
      <c r="BA180" s="228">
        <v>173</v>
      </c>
      <c r="BB180" s="228">
        <v>125</v>
      </c>
      <c r="BC180" s="228">
        <v>48</v>
      </c>
      <c r="BD180" s="229">
        <v>0.3851</v>
      </c>
      <c r="BE180" s="228">
        <v>14</v>
      </c>
      <c r="BF180" s="228">
        <v>12</v>
      </c>
      <c r="BG180" s="228">
        <v>2</v>
      </c>
      <c r="BH180" s="229">
        <v>0.13900000000000001</v>
      </c>
      <c r="BI180" s="230">
        <v>5997</v>
      </c>
      <c r="BJ180" s="230">
        <v>5801</v>
      </c>
      <c r="BK180" s="228">
        <v>196</v>
      </c>
      <c r="BL180" s="229">
        <v>3.3799999999999997E-2</v>
      </c>
      <c r="BM180" s="230">
        <v>3876</v>
      </c>
      <c r="BN180" s="230">
        <v>3674</v>
      </c>
      <c r="BO180" s="228">
        <v>203</v>
      </c>
      <c r="BP180" s="229">
        <v>5.5199999999999999E-2</v>
      </c>
      <c r="BQ180" s="230">
        <v>11325</v>
      </c>
      <c r="BR180" s="230">
        <v>10501</v>
      </c>
      <c r="BS180" s="228">
        <v>825</v>
      </c>
      <c r="BT180" s="229">
        <v>7.85E-2</v>
      </c>
      <c r="BU180" s="230">
        <v>9566654</v>
      </c>
      <c r="BV180" s="230">
        <v>8833770</v>
      </c>
      <c r="BW180" s="230">
        <v>732884</v>
      </c>
      <c r="BX180" s="229">
        <v>8.3000000000000004E-2</v>
      </c>
      <c r="BY180" s="230">
        <v>7895</v>
      </c>
      <c r="BZ180" s="230">
        <v>8001</v>
      </c>
      <c r="CA180" s="228">
        <v>-106</v>
      </c>
      <c r="CB180" s="229">
        <v>-1.3299999999999999E-2</v>
      </c>
      <c r="CC180" s="230">
        <v>7452</v>
      </c>
      <c r="CD180" s="230">
        <v>7610</v>
      </c>
      <c r="CE180" s="228">
        <v>-158</v>
      </c>
      <c r="CF180" s="229">
        <v>-2.0799999999999999E-2</v>
      </c>
      <c r="CG180" s="228">
        <v>404</v>
      </c>
      <c r="CH180" s="228">
        <v>352</v>
      </c>
      <c r="CI180" s="228">
        <v>51</v>
      </c>
      <c r="CJ180" s="229">
        <v>0.14580000000000001</v>
      </c>
      <c r="CK180" s="228">
        <v>39</v>
      </c>
      <c r="CL180" s="228">
        <v>38</v>
      </c>
      <c r="CM180" s="228">
        <v>1</v>
      </c>
      <c r="CN180" s="229">
        <v>1.5599999999999999E-2</v>
      </c>
      <c r="CO180" s="230">
        <v>4710</v>
      </c>
      <c r="CP180" s="230">
        <v>4671</v>
      </c>
      <c r="CQ180" s="228">
        <v>39</v>
      </c>
      <c r="CR180" s="229">
        <v>8.3999999999999995E-3</v>
      </c>
      <c r="CS180" s="230">
        <v>3110</v>
      </c>
      <c r="CT180" s="230">
        <v>2879</v>
      </c>
      <c r="CU180" s="228">
        <v>231</v>
      </c>
      <c r="CV180" s="229">
        <v>8.0299999999999996E-2</v>
      </c>
      <c r="CW180" s="230">
        <v>15715</v>
      </c>
      <c r="CX180" s="230">
        <v>15551</v>
      </c>
      <c r="CY180" s="228">
        <v>164</v>
      </c>
      <c r="CZ180" s="229">
        <v>1.0500000000000001E-2</v>
      </c>
      <c r="DA180" s="228">
        <v>17.190000000000001</v>
      </c>
      <c r="DB180" s="228">
        <v>17.399999999999999</v>
      </c>
      <c r="DC180" s="228">
        <v>-0.21</v>
      </c>
      <c r="DD180" s="228">
        <v>-0.21</v>
      </c>
      <c r="DE180" s="228">
        <v>26.24</v>
      </c>
      <c r="DF180" s="228">
        <v>26.31</v>
      </c>
      <c r="DG180" s="228">
        <v>-9.0500000000000007</v>
      </c>
      <c r="DH180" s="228">
        <v>-7.0000000000000007E-2</v>
      </c>
      <c r="DI180" s="228">
        <v>16.850000000000001</v>
      </c>
      <c r="DJ180" s="228">
        <v>16.87</v>
      </c>
      <c r="DK180" s="228">
        <v>-0.02</v>
      </c>
      <c r="DL180" s="228">
        <v>-0.02</v>
      </c>
      <c r="DM180" s="228">
        <v>17.71</v>
      </c>
      <c r="DN180" s="228">
        <v>18.239999999999998</v>
      </c>
      <c r="DO180" s="228">
        <v>-0.53</v>
      </c>
      <c r="DP180" s="228">
        <v>-0.53</v>
      </c>
      <c r="DQ180" s="228">
        <v>0.66</v>
      </c>
      <c r="DR180" s="228">
        <v>0.62</v>
      </c>
      <c r="DS180" s="228">
        <v>0.04</v>
      </c>
      <c r="DT180" s="229">
        <v>6.4500000000000002E-2</v>
      </c>
      <c r="DU180" s="228">
        <v>900</v>
      </c>
      <c r="DV180" s="228">
        <v>880</v>
      </c>
      <c r="DW180" s="228">
        <v>0.65</v>
      </c>
      <c r="DX180" s="228">
        <v>0.63</v>
      </c>
      <c r="DY180" s="228">
        <v>0.02</v>
      </c>
      <c r="DZ180" s="229">
        <v>3.1699999999999999E-2</v>
      </c>
      <c r="EA180" s="229">
        <v>5.6099999999999997E-2</v>
      </c>
      <c r="EB180" s="230">
        <v>4398750</v>
      </c>
      <c r="EC180" s="229">
        <v>5.4999999999999997E-3</v>
      </c>
      <c r="ED180" s="229">
        <v>5.6099999999999997E-2</v>
      </c>
      <c r="EE180" s="228">
        <v>4.72</v>
      </c>
      <c r="EF180" s="229">
        <v>5.3E-3</v>
      </c>
      <c r="EG180" s="230">
        <v>5178098</v>
      </c>
      <c r="EH180" s="230">
        <v>5100836</v>
      </c>
      <c r="EI180" s="229">
        <v>1.5100000000000001E-2</v>
      </c>
      <c r="EJ180" s="229">
        <v>0.5413</v>
      </c>
      <c r="EK180" s="231">
        <v>6127.15</v>
      </c>
      <c r="EL180" s="231">
        <v>3831.84</v>
      </c>
      <c r="EM180" s="231">
        <v>1453.29</v>
      </c>
      <c r="EN180" s="228">
        <v>195.37</v>
      </c>
      <c r="EO180" s="231">
        <v>11412.29</v>
      </c>
      <c r="EP180" s="231">
        <v>10550.65</v>
      </c>
      <c r="EQ180" s="228">
        <v>861.63</v>
      </c>
      <c r="ER180" s="229">
        <v>8.1699999999999995E-2</v>
      </c>
      <c r="ES180" s="231">
        <v>4780.58</v>
      </c>
      <c r="ET180" s="231">
        <v>2979.5</v>
      </c>
      <c r="EU180" s="231">
        <v>7897.37</v>
      </c>
      <c r="EV180" s="231">
        <v>407307212</v>
      </c>
      <c r="EW180" s="231">
        <v>15657.45</v>
      </c>
      <c r="EX180" s="231">
        <v>15485.65</v>
      </c>
      <c r="EY180" s="228">
        <v>171.8</v>
      </c>
      <c r="EZ180" s="229">
        <v>1.11E-2</v>
      </c>
      <c r="FA180" s="229">
        <v>0.43430000000000002</v>
      </c>
      <c r="FB180" s="227" t="s">
        <v>556</v>
      </c>
      <c r="FC180">
        <f t="shared" si="3"/>
        <v>0</v>
      </c>
    </row>
    <row r="181" spans="1:159" ht="17.25" thickBot="1" x14ac:dyDescent="0.3">
      <c r="A181" s="226">
        <v>45946</v>
      </c>
      <c r="B181" s="227" t="s">
        <v>157</v>
      </c>
      <c r="C181" s="227" t="s">
        <v>284</v>
      </c>
      <c r="D181" s="228">
        <v>25</v>
      </c>
      <c r="E181" s="228">
        <v>12</v>
      </c>
      <c r="F181" s="231">
        <v>30120</v>
      </c>
      <c r="G181" s="231">
        <v>30040</v>
      </c>
      <c r="H181" s="228">
        <v>80</v>
      </c>
      <c r="I181" s="229">
        <v>2.7000000000000001E-3</v>
      </c>
      <c r="J181" s="231">
        <v>30010</v>
      </c>
      <c r="K181" s="231">
        <v>29940</v>
      </c>
      <c r="L181" s="228">
        <v>70</v>
      </c>
      <c r="M181" s="229">
        <v>2.3E-3</v>
      </c>
      <c r="N181" s="231">
        <v>30120</v>
      </c>
      <c r="O181" s="231">
        <v>30040</v>
      </c>
      <c r="P181" s="228">
        <v>80</v>
      </c>
      <c r="Q181" s="229">
        <v>2.7000000000000001E-3</v>
      </c>
      <c r="R181" s="231">
        <v>30160</v>
      </c>
      <c r="S181" s="231">
        <v>30070</v>
      </c>
      <c r="T181" s="228">
        <v>90</v>
      </c>
      <c r="U181" s="229">
        <v>3.0000000000000001E-3</v>
      </c>
      <c r="V181" s="231">
        <v>30170</v>
      </c>
      <c r="W181" s="231">
        <v>30170</v>
      </c>
      <c r="X181" s="228">
        <v>0</v>
      </c>
      <c r="Y181" s="229">
        <v>0</v>
      </c>
      <c r="Z181" s="228">
        <v>110</v>
      </c>
      <c r="AA181" s="228">
        <v>100</v>
      </c>
      <c r="AB181" s="228">
        <v>10</v>
      </c>
      <c r="AC181" s="229">
        <v>3.7000000000000002E-3</v>
      </c>
      <c r="AD181" s="228">
        <v>110</v>
      </c>
      <c r="AE181" s="228">
        <v>100</v>
      </c>
      <c r="AF181" s="228">
        <v>10</v>
      </c>
      <c r="AG181" s="229">
        <v>3.7000000000000002E-3</v>
      </c>
      <c r="AH181" s="228">
        <v>150</v>
      </c>
      <c r="AI181" s="228">
        <v>130</v>
      </c>
      <c r="AJ181" s="228">
        <v>20</v>
      </c>
      <c r="AK181" s="229">
        <v>5.0000000000000001E-3</v>
      </c>
      <c r="AL181" s="228">
        <v>160</v>
      </c>
      <c r="AM181" s="228">
        <v>230</v>
      </c>
      <c r="AN181" s="228">
        <v>-70</v>
      </c>
      <c r="AO181" s="229">
        <v>5.3E-3</v>
      </c>
      <c r="AP181" s="231">
        <v>30202.35</v>
      </c>
      <c r="AQ181" s="231">
        <v>30227.74</v>
      </c>
      <c r="AR181" s="228">
        <v>0</v>
      </c>
      <c r="AS181" s="228">
        <v>74</v>
      </c>
      <c r="AT181" s="228">
        <v>88</v>
      </c>
      <c r="AU181" s="228">
        <v>-14</v>
      </c>
      <c r="AV181" s="229">
        <v>-0.1555</v>
      </c>
      <c r="AW181" s="228">
        <v>69</v>
      </c>
      <c r="AX181" s="228">
        <v>82</v>
      </c>
      <c r="AY181" s="228">
        <v>-13</v>
      </c>
      <c r="AZ181" s="229">
        <v>-0.155</v>
      </c>
      <c r="BA181" s="228">
        <v>5</v>
      </c>
      <c r="BB181" s="228">
        <v>5</v>
      </c>
      <c r="BC181" s="228">
        <v>0</v>
      </c>
      <c r="BD181" s="229">
        <v>-7.46E-2</v>
      </c>
      <c r="BE181" s="228">
        <v>0</v>
      </c>
      <c r="BF181" s="228">
        <v>1</v>
      </c>
      <c r="BG181" s="228">
        <v>-1</v>
      </c>
      <c r="BH181" s="229">
        <v>-1</v>
      </c>
      <c r="BI181" s="228">
        <v>94</v>
      </c>
      <c r="BJ181" s="228">
        <v>210</v>
      </c>
      <c r="BK181" s="228">
        <v>-116</v>
      </c>
      <c r="BL181" s="229">
        <v>-0.55310000000000004</v>
      </c>
      <c r="BM181" s="228">
        <v>124</v>
      </c>
      <c r="BN181" s="228">
        <v>38</v>
      </c>
      <c r="BO181" s="228">
        <v>86</v>
      </c>
      <c r="BP181" s="229">
        <v>2.2738</v>
      </c>
      <c r="BQ181" s="228">
        <v>292</v>
      </c>
      <c r="BR181" s="228">
        <v>335</v>
      </c>
      <c r="BS181" s="228">
        <v>-43</v>
      </c>
      <c r="BT181" s="229">
        <v>-0.1293</v>
      </c>
      <c r="BU181" s="230">
        <v>12614</v>
      </c>
      <c r="BV181" s="230">
        <v>15897</v>
      </c>
      <c r="BW181" s="230">
        <v>-3283</v>
      </c>
      <c r="BX181" s="229">
        <v>-0.20649999999999999</v>
      </c>
      <c r="BY181" s="228">
        <v>662</v>
      </c>
      <c r="BZ181" s="228">
        <v>663</v>
      </c>
      <c r="CA181" s="228">
        <v>-1</v>
      </c>
      <c r="CB181" s="229">
        <v>-1.6000000000000001E-3</v>
      </c>
      <c r="CC181" s="228">
        <v>655</v>
      </c>
      <c r="CD181" s="228">
        <v>657</v>
      </c>
      <c r="CE181" s="228">
        <v>-2</v>
      </c>
      <c r="CF181" s="229">
        <v>-3.0999999999999999E-3</v>
      </c>
      <c r="CG181" s="228">
        <v>7</v>
      </c>
      <c r="CH181" s="228">
        <v>6</v>
      </c>
      <c r="CI181" s="228">
        <v>1</v>
      </c>
      <c r="CJ181" s="229">
        <v>0.16880000000000001</v>
      </c>
      <c r="CK181" s="228">
        <v>1</v>
      </c>
      <c r="CL181" s="228">
        <v>1</v>
      </c>
      <c r="CM181" s="228">
        <v>0</v>
      </c>
      <c r="CN181" s="229">
        <v>0</v>
      </c>
      <c r="CO181" s="228">
        <v>93</v>
      </c>
      <c r="CP181" s="228">
        <v>97</v>
      </c>
      <c r="CQ181" s="228">
        <v>-4</v>
      </c>
      <c r="CR181" s="229">
        <v>-4.2700000000000002E-2</v>
      </c>
      <c r="CS181" s="228">
        <v>81</v>
      </c>
      <c r="CT181" s="228">
        <v>70</v>
      </c>
      <c r="CU181" s="228">
        <v>11</v>
      </c>
      <c r="CV181" s="229">
        <v>0.15509999999999999</v>
      </c>
      <c r="CW181" s="228">
        <v>836</v>
      </c>
      <c r="CX181" s="228">
        <v>831</v>
      </c>
      <c r="CY181" s="228">
        <v>6</v>
      </c>
      <c r="CZ181" s="229">
        <v>6.8999999999999999E-3</v>
      </c>
      <c r="DA181" s="228">
        <v>21.14</v>
      </c>
      <c r="DB181" s="228">
        <v>21.23</v>
      </c>
      <c r="DC181" s="228">
        <v>-0.09</v>
      </c>
      <c r="DD181" s="228">
        <v>-0.09</v>
      </c>
      <c r="DE181" s="228">
        <v>25.76</v>
      </c>
      <c r="DF181" s="228">
        <v>25.82</v>
      </c>
      <c r="DG181" s="228">
        <v>-4.62</v>
      </c>
      <c r="DH181" s="228">
        <v>-0.06</v>
      </c>
      <c r="DI181" s="228">
        <v>20.12</v>
      </c>
      <c r="DJ181" s="228">
        <v>20.91</v>
      </c>
      <c r="DK181" s="228">
        <v>-0.79</v>
      </c>
      <c r="DL181" s="228">
        <v>-0.79</v>
      </c>
      <c r="DM181" s="228">
        <v>21.91</v>
      </c>
      <c r="DN181" s="228">
        <v>22.99</v>
      </c>
      <c r="DO181" s="228">
        <v>-1.08</v>
      </c>
      <c r="DP181" s="228">
        <v>-1.08</v>
      </c>
      <c r="DQ181" s="228">
        <v>0.88</v>
      </c>
      <c r="DR181" s="228">
        <v>0.73</v>
      </c>
      <c r="DS181" s="228">
        <v>0.15</v>
      </c>
      <c r="DT181" s="229">
        <v>0.20549999999999999</v>
      </c>
      <c r="DU181" s="231">
        <v>31000</v>
      </c>
      <c r="DV181" s="231">
        <v>30000</v>
      </c>
      <c r="DW181" s="228">
        <v>1.33</v>
      </c>
      <c r="DX181" s="228">
        <v>0.18</v>
      </c>
      <c r="DY181" s="228">
        <v>1.1499999999999999</v>
      </c>
      <c r="DZ181" s="229">
        <v>6.3888999999999996</v>
      </c>
      <c r="EA181" s="229">
        <v>1.0999999999999999E-2</v>
      </c>
      <c r="EB181" s="230">
        <v>2100</v>
      </c>
      <c r="EC181" s="229">
        <v>1.2999999999999999E-3</v>
      </c>
      <c r="ED181" s="229">
        <v>1.0999999999999999E-2</v>
      </c>
      <c r="EE181" s="228">
        <v>25.39</v>
      </c>
      <c r="EF181" s="229">
        <v>8.0000000000000004E-4</v>
      </c>
      <c r="EG181" s="230">
        <v>6593</v>
      </c>
      <c r="EH181" s="230">
        <v>8240</v>
      </c>
      <c r="EI181" s="229">
        <v>-0.19989999999999999</v>
      </c>
      <c r="EJ181" s="229">
        <v>0.52270000000000005</v>
      </c>
      <c r="EK181" s="228">
        <v>95.91</v>
      </c>
      <c r="EL181" s="228">
        <v>126.08</v>
      </c>
      <c r="EM181" s="228">
        <v>74.23</v>
      </c>
      <c r="EN181" s="228">
        <v>8.73</v>
      </c>
      <c r="EO181" s="228">
        <v>296.20999999999998</v>
      </c>
      <c r="EP181" s="228">
        <v>338.4</v>
      </c>
      <c r="EQ181" s="228">
        <v>-42.19</v>
      </c>
      <c r="ER181" s="229">
        <v>-0.12470000000000001</v>
      </c>
      <c r="ES181" s="228">
        <v>93.97</v>
      </c>
      <c r="ET181" s="228">
        <v>78.94</v>
      </c>
      <c r="EU181" s="228">
        <v>662.2</v>
      </c>
      <c r="EV181" s="231">
        <v>1548028</v>
      </c>
      <c r="EW181" s="228">
        <v>835.1</v>
      </c>
      <c r="EX181" s="228">
        <v>827.44</v>
      </c>
      <c r="EY181" s="228">
        <v>7.66</v>
      </c>
      <c r="EZ181" s="229">
        <v>9.2999999999999992E-3</v>
      </c>
      <c r="FA181" s="229">
        <v>0.1794</v>
      </c>
      <c r="FB181" s="227" t="s">
        <v>556</v>
      </c>
      <c r="FC181">
        <f t="shared" si="3"/>
        <v>0</v>
      </c>
    </row>
    <row r="182" spans="1:159" ht="17.25" thickBot="1" x14ac:dyDescent="0.3">
      <c r="A182" s="226">
        <v>45946</v>
      </c>
      <c r="B182" s="227" t="s">
        <v>175</v>
      </c>
      <c r="C182" s="227" t="s">
        <v>562</v>
      </c>
      <c r="D182" s="228">
        <v>825</v>
      </c>
      <c r="E182" s="228">
        <v>12</v>
      </c>
      <c r="F182" s="228">
        <v>673.45</v>
      </c>
      <c r="G182" s="228">
        <v>679.65</v>
      </c>
      <c r="H182" s="228">
        <v>-6.2</v>
      </c>
      <c r="I182" s="229">
        <v>-9.1000000000000004E-3</v>
      </c>
      <c r="J182" s="228">
        <v>672.5</v>
      </c>
      <c r="K182" s="228">
        <v>677.15</v>
      </c>
      <c r="L182" s="228">
        <v>-4.6500000000000004</v>
      </c>
      <c r="M182" s="229">
        <v>-6.8999999999999999E-3</v>
      </c>
      <c r="N182" s="228">
        <v>673.45</v>
      </c>
      <c r="O182" s="228">
        <v>679.65</v>
      </c>
      <c r="P182" s="228">
        <v>-6.2</v>
      </c>
      <c r="Q182" s="229">
        <v>-9.1000000000000004E-3</v>
      </c>
      <c r="R182" s="228">
        <v>672.95</v>
      </c>
      <c r="S182" s="228">
        <v>679.5</v>
      </c>
      <c r="T182" s="228">
        <v>-6.55</v>
      </c>
      <c r="U182" s="229">
        <v>-9.5999999999999992E-3</v>
      </c>
      <c r="V182" s="228">
        <v>677.5</v>
      </c>
      <c r="W182" s="228">
        <v>684.25</v>
      </c>
      <c r="X182" s="228">
        <v>-6.75</v>
      </c>
      <c r="Y182" s="229">
        <v>-9.9000000000000008E-3</v>
      </c>
      <c r="Z182" s="228">
        <v>0.95</v>
      </c>
      <c r="AA182" s="228">
        <v>2.5</v>
      </c>
      <c r="AB182" s="228">
        <v>-1.55</v>
      </c>
      <c r="AC182" s="229">
        <v>1.4E-3</v>
      </c>
      <c r="AD182" s="228">
        <v>0.95</v>
      </c>
      <c r="AE182" s="228">
        <v>2.5</v>
      </c>
      <c r="AF182" s="228">
        <v>-1.55</v>
      </c>
      <c r="AG182" s="229">
        <v>1.4E-3</v>
      </c>
      <c r="AH182" s="228">
        <v>0.45</v>
      </c>
      <c r="AI182" s="228">
        <v>2.35</v>
      </c>
      <c r="AJ182" s="228">
        <v>-1.9</v>
      </c>
      <c r="AK182" s="229">
        <v>6.9999999999999999E-4</v>
      </c>
      <c r="AL182" s="228">
        <v>5</v>
      </c>
      <c r="AM182" s="228">
        <v>7.1</v>
      </c>
      <c r="AN182" s="228">
        <v>-2.1</v>
      </c>
      <c r="AO182" s="229">
        <v>7.4000000000000003E-3</v>
      </c>
      <c r="AP182" s="228">
        <v>670.3</v>
      </c>
      <c r="AQ182" s="228">
        <v>669.4</v>
      </c>
      <c r="AR182" s="228">
        <v>0</v>
      </c>
      <c r="AS182" s="228">
        <v>571</v>
      </c>
      <c r="AT182" s="228">
        <v>536</v>
      </c>
      <c r="AU182" s="228">
        <v>35</v>
      </c>
      <c r="AV182" s="229">
        <v>6.6100000000000006E-2</v>
      </c>
      <c r="AW182" s="228">
        <v>491</v>
      </c>
      <c r="AX182" s="228">
        <v>479</v>
      </c>
      <c r="AY182" s="228">
        <v>12</v>
      </c>
      <c r="AZ182" s="229">
        <v>2.5499999999999998E-2</v>
      </c>
      <c r="BA182" s="228">
        <v>75</v>
      </c>
      <c r="BB182" s="228">
        <v>53</v>
      </c>
      <c r="BC182" s="228">
        <v>21</v>
      </c>
      <c r="BD182" s="229">
        <v>0.39400000000000002</v>
      </c>
      <c r="BE182" s="228">
        <v>6</v>
      </c>
      <c r="BF182" s="228">
        <v>4</v>
      </c>
      <c r="BG182" s="228">
        <v>2</v>
      </c>
      <c r="BH182" s="229">
        <v>0.58460000000000001</v>
      </c>
      <c r="BI182" s="230">
        <v>1266</v>
      </c>
      <c r="BJ182" s="230">
        <v>1440</v>
      </c>
      <c r="BK182" s="228">
        <v>-174</v>
      </c>
      <c r="BL182" s="229">
        <v>-0.121</v>
      </c>
      <c r="BM182" s="228">
        <v>566</v>
      </c>
      <c r="BN182" s="228">
        <v>767</v>
      </c>
      <c r="BO182" s="228">
        <v>-201</v>
      </c>
      <c r="BP182" s="229">
        <v>-0.26179999999999998</v>
      </c>
      <c r="BQ182" s="230">
        <v>2403</v>
      </c>
      <c r="BR182" s="230">
        <v>2743</v>
      </c>
      <c r="BS182" s="228">
        <v>-340</v>
      </c>
      <c r="BT182" s="229">
        <v>-0.12379999999999999</v>
      </c>
      <c r="BU182" s="230">
        <v>5585775</v>
      </c>
      <c r="BV182" s="230">
        <v>4784028</v>
      </c>
      <c r="BW182" s="230">
        <v>801747</v>
      </c>
      <c r="BX182" s="229">
        <v>0.1676</v>
      </c>
      <c r="BY182" s="230">
        <v>3331</v>
      </c>
      <c r="BZ182" s="230">
        <v>3348</v>
      </c>
      <c r="CA182" s="228">
        <v>-17</v>
      </c>
      <c r="CB182" s="229">
        <v>-5.0000000000000001E-3</v>
      </c>
      <c r="CC182" s="230">
        <v>3173</v>
      </c>
      <c r="CD182" s="230">
        <v>3226</v>
      </c>
      <c r="CE182" s="228">
        <v>-53</v>
      </c>
      <c r="CF182" s="229">
        <v>-1.6400000000000001E-2</v>
      </c>
      <c r="CG182" s="228">
        <v>143</v>
      </c>
      <c r="CH182" s="228">
        <v>109</v>
      </c>
      <c r="CI182" s="228">
        <v>34</v>
      </c>
      <c r="CJ182" s="229">
        <v>0.31019999999999998</v>
      </c>
      <c r="CK182" s="228">
        <v>16</v>
      </c>
      <c r="CL182" s="228">
        <v>13</v>
      </c>
      <c r="CM182" s="228">
        <v>3</v>
      </c>
      <c r="CN182" s="229">
        <v>0.1925</v>
      </c>
      <c r="CO182" s="228">
        <v>618</v>
      </c>
      <c r="CP182" s="228">
        <v>559</v>
      </c>
      <c r="CQ182" s="228">
        <v>59</v>
      </c>
      <c r="CR182" s="229">
        <v>0.1057</v>
      </c>
      <c r="CS182" s="228">
        <v>469</v>
      </c>
      <c r="CT182" s="228">
        <v>460</v>
      </c>
      <c r="CU182" s="228">
        <v>9</v>
      </c>
      <c r="CV182" s="229">
        <v>1.9699999999999999E-2</v>
      </c>
      <c r="CW182" s="230">
        <v>4419</v>
      </c>
      <c r="CX182" s="230">
        <v>4367</v>
      </c>
      <c r="CY182" s="228">
        <v>51</v>
      </c>
      <c r="CZ182" s="229">
        <v>1.18E-2</v>
      </c>
      <c r="DA182" s="228">
        <v>28.26</v>
      </c>
      <c r="DB182" s="228">
        <v>29.17</v>
      </c>
      <c r="DC182" s="228">
        <v>-0.91</v>
      </c>
      <c r="DD182" s="228">
        <v>-0.91</v>
      </c>
      <c r="DE182" s="228">
        <v>40.630000000000003</v>
      </c>
      <c r="DF182" s="228">
        <v>40.72</v>
      </c>
      <c r="DG182" s="228">
        <v>-12.37</v>
      </c>
      <c r="DH182" s="228">
        <v>-0.09</v>
      </c>
      <c r="DI182" s="228">
        <v>27.99</v>
      </c>
      <c r="DJ182" s="228">
        <v>28.48</v>
      </c>
      <c r="DK182" s="228">
        <v>-0.49</v>
      </c>
      <c r="DL182" s="228">
        <v>-0.49</v>
      </c>
      <c r="DM182" s="228">
        <v>28.86</v>
      </c>
      <c r="DN182" s="228">
        <v>30.47</v>
      </c>
      <c r="DO182" s="228">
        <v>-1.61</v>
      </c>
      <c r="DP182" s="228">
        <v>-1.61</v>
      </c>
      <c r="DQ182" s="228">
        <v>0.76</v>
      </c>
      <c r="DR182" s="228">
        <v>0.82</v>
      </c>
      <c r="DS182" s="228">
        <v>-0.06</v>
      </c>
      <c r="DT182" s="229">
        <v>-7.3200000000000001E-2</v>
      </c>
      <c r="DU182" s="228">
        <v>680</v>
      </c>
      <c r="DV182" s="228">
        <v>660</v>
      </c>
      <c r="DW182" s="228">
        <v>0.45</v>
      </c>
      <c r="DX182" s="228">
        <v>0.53</v>
      </c>
      <c r="DY182" s="228">
        <v>-0.08</v>
      </c>
      <c r="DZ182" s="229">
        <v>-0.15090000000000001</v>
      </c>
      <c r="EA182" s="229">
        <v>4.7600000000000003E-2</v>
      </c>
      <c r="EB182" s="230">
        <v>1814175</v>
      </c>
      <c r="EC182" s="229">
        <v>-6.9999999999999999E-4</v>
      </c>
      <c r="ED182" s="229">
        <v>4.7600000000000003E-2</v>
      </c>
      <c r="EE182" s="228">
        <v>-0.9</v>
      </c>
      <c r="EF182" s="229">
        <v>-1.2999999999999999E-3</v>
      </c>
      <c r="EG182" s="230">
        <v>2872134</v>
      </c>
      <c r="EH182" s="230">
        <v>2846670</v>
      </c>
      <c r="EI182" s="229">
        <v>8.8999999999999999E-3</v>
      </c>
      <c r="EJ182" s="229">
        <v>0.51419999999999999</v>
      </c>
      <c r="EK182" s="231">
        <v>1307.8699999999999</v>
      </c>
      <c r="EL182" s="228">
        <v>556.25</v>
      </c>
      <c r="EM182" s="228">
        <v>568.29</v>
      </c>
      <c r="EN182" s="228">
        <v>57.22</v>
      </c>
      <c r="EO182" s="231">
        <v>2432.41</v>
      </c>
      <c r="EP182" s="231">
        <v>2801.58</v>
      </c>
      <c r="EQ182" s="228">
        <v>-369.17</v>
      </c>
      <c r="ER182" s="229">
        <v>-0.1318</v>
      </c>
      <c r="ES182" s="228">
        <v>630.39</v>
      </c>
      <c r="ET182" s="228">
        <v>441.73</v>
      </c>
      <c r="EU182" s="231">
        <v>3331.07</v>
      </c>
      <c r="EV182" s="231">
        <v>210459276</v>
      </c>
      <c r="EW182" s="231">
        <v>4403.1899999999996</v>
      </c>
      <c r="EX182" s="231">
        <v>4382.37</v>
      </c>
      <c r="EY182" s="228">
        <v>20.82</v>
      </c>
      <c r="EZ182" s="229">
        <v>4.7999999999999996E-3</v>
      </c>
      <c r="FA182" s="229">
        <v>0.31180000000000002</v>
      </c>
      <c r="FB182" s="227" t="s">
        <v>568</v>
      </c>
      <c r="FC182">
        <f t="shared" si="3"/>
        <v>0</v>
      </c>
    </row>
    <row r="183" spans="1:159" ht="17.25" thickBot="1" x14ac:dyDescent="0.3">
      <c r="A183" s="226">
        <v>45946</v>
      </c>
      <c r="B183" s="227" t="s">
        <v>184</v>
      </c>
      <c r="C183" s="227" t="s">
        <v>285</v>
      </c>
      <c r="D183" s="228">
        <v>125</v>
      </c>
      <c r="E183" s="228">
        <v>12</v>
      </c>
      <c r="F183" s="231">
        <v>3118.7</v>
      </c>
      <c r="G183" s="231">
        <v>3124.6</v>
      </c>
      <c r="H183" s="228">
        <v>-5.9</v>
      </c>
      <c r="I183" s="229">
        <v>-1.9E-3</v>
      </c>
      <c r="J183" s="231">
        <v>3119</v>
      </c>
      <c r="K183" s="231">
        <v>3118.6</v>
      </c>
      <c r="L183" s="228">
        <v>0.4</v>
      </c>
      <c r="M183" s="229">
        <v>1E-4</v>
      </c>
      <c r="N183" s="231">
        <v>3118.7</v>
      </c>
      <c r="O183" s="231">
        <v>3124.6</v>
      </c>
      <c r="P183" s="228">
        <v>-5.9</v>
      </c>
      <c r="Q183" s="229">
        <v>-1.9E-3</v>
      </c>
      <c r="R183" s="231">
        <v>3135.1</v>
      </c>
      <c r="S183" s="231">
        <v>3143.4</v>
      </c>
      <c r="T183" s="228">
        <v>-8.3000000000000007</v>
      </c>
      <c r="U183" s="229">
        <v>-2.5999999999999999E-3</v>
      </c>
      <c r="V183" s="231">
        <v>3154.7</v>
      </c>
      <c r="W183" s="231">
        <v>3162</v>
      </c>
      <c r="X183" s="228">
        <v>-7.3</v>
      </c>
      <c r="Y183" s="229">
        <v>-2.3E-3</v>
      </c>
      <c r="Z183" s="228">
        <v>-0.3</v>
      </c>
      <c r="AA183" s="228">
        <v>6</v>
      </c>
      <c r="AB183" s="228">
        <v>-6.3</v>
      </c>
      <c r="AC183" s="229">
        <v>-1E-4</v>
      </c>
      <c r="AD183" s="228">
        <v>-0.3</v>
      </c>
      <c r="AE183" s="228">
        <v>6</v>
      </c>
      <c r="AF183" s="228">
        <v>-6.3</v>
      </c>
      <c r="AG183" s="229">
        <v>-1E-4</v>
      </c>
      <c r="AH183" s="228">
        <v>16.100000000000001</v>
      </c>
      <c r="AI183" s="228">
        <v>24.8</v>
      </c>
      <c r="AJ183" s="228">
        <v>-8.6999999999999993</v>
      </c>
      <c r="AK183" s="229">
        <v>5.1999999999999998E-3</v>
      </c>
      <c r="AL183" s="228">
        <v>35.700000000000003</v>
      </c>
      <c r="AM183" s="228">
        <v>43.4</v>
      </c>
      <c r="AN183" s="228">
        <v>-7.7</v>
      </c>
      <c r="AO183" s="229">
        <v>1.14E-2</v>
      </c>
      <c r="AP183" s="231">
        <v>3123.77</v>
      </c>
      <c r="AQ183" s="231">
        <v>3138.43</v>
      </c>
      <c r="AR183" s="228">
        <v>0</v>
      </c>
      <c r="AS183" s="228">
        <v>231</v>
      </c>
      <c r="AT183" s="228">
        <v>136</v>
      </c>
      <c r="AU183" s="228">
        <v>94</v>
      </c>
      <c r="AV183" s="229">
        <v>0.69120000000000004</v>
      </c>
      <c r="AW183" s="228">
        <v>205</v>
      </c>
      <c r="AX183" s="228">
        <v>123</v>
      </c>
      <c r="AY183" s="228">
        <v>82</v>
      </c>
      <c r="AZ183" s="229">
        <v>0.66849999999999998</v>
      </c>
      <c r="BA183" s="228">
        <v>25</v>
      </c>
      <c r="BB183" s="228">
        <v>12</v>
      </c>
      <c r="BC183" s="228">
        <v>13</v>
      </c>
      <c r="BD183" s="229">
        <v>1.071</v>
      </c>
      <c r="BE183" s="228">
        <v>1</v>
      </c>
      <c r="BF183" s="228">
        <v>2</v>
      </c>
      <c r="BG183" s="228">
        <v>-1</v>
      </c>
      <c r="BH183" s="229">
        <v>-0.439</v>
      </c>
      <c r="BI183" s="228">
        <v>503</v>
      </c>
      <c r="BJ183" s="228">
        <v>537</v>
      </c>
      <c r="BK183" s="228">
        <v>-34</v>
      </c>
      <c r="BL183" s="229">
        <v>-6.3E-2</v>
      </c>
      <c r="BM183" s="228">
        <v>228</v>
      </c>
      <c r="BN183" s="228">
        <v>165</v>
      </c>
      <c r="BO183" s="228">
        <v>63</v>
      </c>
      <c r="BP183" s="229">
        <v>0.38369999999999999</v>
      </c>
      <c r="BQ183" s="228">
        <v>961</v>
      </c>
      <c r="BR183" s="228">
        <v>838</v>
      </c>
      <c r="BS183" s="228">
        <v>124</v>
      </c>
      <c r="BT183" s="229">
        <v>0.14760000000000001</v>
      </c>
      <c r="BU183" s="230">
        <v>433722</v>
      </c>
      <c r="BV183" s="230">
        <v>214929</v>
      </c>
      <c r="BW183" s="230">
        <v>218793</v>
      </c>
      <c r="BX183" s="229">
        <v>1.018</v>
      </c>
      <c r="BY183" s="228">
        <v>710</v>
      </c>
      <c r="BZ183" s="228">
        <v>678</v>
      </c>
      <c r="CA183" s="228">
        <v>32</v>
      </c>
      <c r="CB183" s="229">
        <v>4.7600000000000003E-2</v>
      </c>
      <c r="CC183" s="228">
        <v>665</v>
      </c>
      <c r="CD183" s="228">
        <v>645</v>
      </c>
      <c r="CE183" s="228">
        <v>20</v>
      </c>
      <c r="CF183" s="229">
        <v>3.1099999999999999E-2</v>
      </c>
      <c r="CG183" s="228">
        <v>40</v>
      </c>
      <c r="CH183" s="228">
        <v>28</v>
      </c>
      <c r="CI183" s="228">
        <v>12</v>
      </c>
      <c r="CJ183" s="229">
        <v>0.41639999999999999</v>
      </c>
      <c r="CK183" s="228">
        <v>5</v>
      </c>
      <c r="CL183" s="228">
        <v>4</v>
      </c>
      <c r="CM183" s="228">
        <v>0</v>
      </c>
      <c r="CN183" s="229">
        <v>8.1100000000000005E-2</v>
      </c>
      <c r="CO183" s="228">
        <v>499</v>
      </c>
      <c r="CP183" s="228">
        <v>469</v>
      </c>
      <c r="CQ183" s="228">
        <v>30</v>
      </c>
      <c r="CR183" s="229">
        <v>6.4000000000000001E-2</v>
      </c>
      <c r="CS183" s="228">
        <v>196</v>
      </c>
      <c r="CT183" s="228">
        <v>200</v>
      </c>
      <c r="CU183" s="228">
        <v>-4</v>
      </c>
      <c r="CV183" s="229">
        <v>-2.0199999999999999E-2</v>
      </c>
      <c r="CW183" s="230">
        <v>1406</v>
      </c>
      <c r="CX183" s="230">
        <v>1347</v>
      </c>
      <c r="CY183" s="228">
        <v>58</v>
      </c>
      <c r="CZ183" s="229">
        <v>4.3200000000000002E-2</v>
      </c>
      <c r="DA183" s="228">
        <v>27.07</v>
      </c>
      <c r="DB183" s="228">
        <v>26.68</v>
      </c>
      <c r="DC183" s="228">
        <v>0.39</v>
      </c>
      <c r="DD183" s="228">
        <v>0.39</v>
      </c>
      <c r="DE183" s="228">
        <v>39.74</v>
      </c>
      <c r="DF183" s="228">
        <v>39.840000000000003</v>
      </c>
      <c r="DG183" s="228">
        <v>-12.67</v>
      </c>
      <c r="DH183" s="228">
        <v>-0.1</v>
      </c>
      <c r="DI183" s="228">
        <v>27.26</v>
      </c>
      <c r="DJ183" s="228">
        <v>26.65</v>
      </c>
      <c r="DK183" s="228">
        <v>0.61</v>
      </c>
      <c r="DL183" s="228">
        <v>0.61</v>
      </c>
      <c r="DM183" s="228">
        <v>26.64</v>
      </c>
      <c r="DN183" s="228">
        <v>26.76</v>
      </c>
      <c r="DO183" s="228">
        <v>-0.12</v>
      </c>
      <c r="DP183" s="228">
        <v>-0.12</v>
      </c>
      <c r="DQ183" s="228">
        <v>0.39</v>
      </c>
      <c r="DR183" s="228">
        <v>0.43</v>
      </c>
      <c r="DS183" s="228">
        <v>-0.04</v>
      </c>
      <c r="DT183" s="229">
        <v>-9.2999999999999999E-2</v>
      </c>
      <c r="DU183" s="231">
        <v>3300</v>
      </c>
      <c r="DV183" s="231">
        <v>3100</v>
      </c>
      <c r="DW183" s="228">
        <v>0.45</v>
      </c>
      <c r="DX183" s="228">
        <v>0.31</v>
      </c>
      <c r="DY183" s="228">
        <v>0.14000000000000001</v>
      </c>
      <c r="DZ183" s="229">
        <v>0.4516</v>
      </c>
      <c r="EA183" s="229">
        <v>6.3299999999999995E-2</v>
      </c>
      <c r="EB183" s="230">
        <v>105125</v>
      </c>
      <c r="EC183" s="229">
        <v>5.3E-3</v>
      </c>
      <c r="ED183" s="229">
        <v>6.3299999999999995E-2</v>
      </c>
      <c r="EE183" s="228">
        <v>14.66</v>
      </c>
      <c r="EF183" s="229">
        <v>4.7000000000000002E-3</v>
      </c>
      <c r="EG183" s="230">
        <v>256626</v>
      </c>
      <c r="EH183" s="230">
        <v>94902</v>
      </c>
      <c r="EI183" s="229">
        <v>1.7040999999999999</v>
      </c>
      <c r="EJ183" s="229">
        <v>0.5917</v>
      </c>
      <c r="EK183" s="228">
        <v>524.33000000000004</v>
      </c>
      <c r="EL183" s="228">
        <v>225.82</v>
      </c>
      <c r="EM183" s="228">
        <v>231.05</v>
      </c>
      <c r="EN183" s="228">
        <v>50.1</v>
      </c>
      <c r="EO183" s="228">
        <v>981.2</v>
      </c>
      <c r="EP183" s="228">
        <v>860.09</v>
      </c>
      <c r="EQ183" s="228">
        <v>121.1</v>
      </c>
      <c r="ER183" s="229">
        <v>0.14080000000000001</v>
      </c>
      <c r="ES183" s="228">
        <v>526.97</v>
      </c>
      <c r="ET183" s="228">
        <v>192.09</v>
      </c>
      <c r="EU183" s="228">
        <v>710.67</v>
      </c>
      <c r="EV183" s="231">
        <v>13354588</v>
      </c>
      <c r="EW183" s="231">
        <v>1429.73</v>
      </c>
      <c r="EX183" s="231">
        <v>1371.54</v>
      </c>
      <c r="EY183" s="228">
        <v>58.19</v>
      </c>
      <c r="EZ183" s="229">
        <v>4.24E-2</v>
      </c>
      <c r="FA183" s="229">
        <v>0.33750000000000002</v>
      </c>
      <c r="FB183" s="227" t="s">
        <v>567</v>
      </c>
      <c r="FC183">
        <f t="shared" si="3"/>
        <v>0</v>
      </c>
    </row>
    <row r="184" spans="1:159" ht="17.25" thickBot="1" x14ac:dyDescent="0.3">
      <c r="A184" s="226">
        <v>45946</v>
      </c>
      <c r="B184" s="227" t="s">
        <v>498</v>
      </c>
      <c r="C184" s="227" t="s">
        <v>646</v>
      </c>
      <c r="D184" s="228">
        <v>75</v>
      </c>
      <c r="E184" s="228">
        <v>12</v>
      </c>
      <c r="F184" s="231">
        <v>14093</v>
      </c>
      <c r="G184" s="231">
        <v>14111</v>
      </c>
      <c r="H184" s="228">
        <v>-18</v>
      </c>
      <c r="I184" s="229">
        <v>-1.2999999999999999E-3</v>
      </c>
      <c r="J184" s="231">
        <v>14035</v>
      </c>
      <c r="K184" s="231">
        <v>14052</v>
      </c>
      <c r="L184" s="228">
        <v>-17</v>
      </c>
      <c r="M184" s="229">
        <v>-1.1999999999999999E-3</v>
      </c>
      <c r="N184" s="231">
        <v>14093</v>
      </c>
      <c r="O184" s="231">
        <v>14111</v>
      </c>
      <c r="P184" s="228">
        <v>-18</v>
      </c>
      <c r="Q184" s="229">
        <v>-1.2999999999999999E-3</v>
      </c>
      <c r="R184" s="231">
        <v>14169</v>
      </c>
      <c r="S184" s="231">
        <v>14185</v>
      </c>
      <c r="T184" s="228">
        <v>-16</v>
      </c>
      <c r="U184" s="229">
        <v>-1.1000000000000001E-3</v>
      </c>
      <c r="V184" s="231">
        <v>14265</v>
      </c>
      <c r="W184" s="231">
        <v>14194</v>
      </c>
      <c r="X184" s="228">
        <v>71</v>
      </c>
      <c r="Y184" s="229">
        <v>5.0000000000000001E-3</v>
      </c>
      <c r="Z184" s="228">
        <v>58</v>
      </c>
      <c r="AA184" s="228">
        <v>59</v>
      </c>
      <c r="AB184" s="228">
        <v>-1</v>
      </c>
      <c r="AC184" s="229">
        <v>4.1000000000000003E-3</v>
      </c>
      <c r="AD184" s="228">
        <v>58</v>
      </c>
      <c r="AE184" s="228">
        <v>59</v>
      </c>
      <c r="AF184" s="228">
        <v>-1</v>
      </c>
      <c r="AG184" s="229">
        <v>4.1000000000000003E-3</v>
      </c>
      <c r="AH184" s="228">
        <v>134</v>
      </c>
      <c r="AI184" s="228">
        <v>133</v>
      </c>
      <c r="AJ184" s="228">
        <v>1</v>
      </c>
      <c r="AK184" s="229">
        <v>9.4999999999999998E-3</v>
      </c>
      <c r="AL184" s="228">
        <v>230</v>
      </c>
      <c r="AM184" s="228">
        <v>142</v>
      </c>
      <c r="AN184" s="228">
        <v>88</v>
      </c>
      <c r="AO184" s="229">
        <v>1.6400000000000001E-2</v>
      </c>
      <c r="AP184" s="231">
        <v>14106.75</v>
      </c>
      <c r="AQ184" s="231">
        <v>14176.67</v>
      </c>
      <c r="AR184" s="228">
        <v>0</v>
      </c>
      <c r="AS184" s="228">
        <v>161</v>
      </c>
      <c r="AT184" s="228">
        <v>145</v>
      </c>
      <c r="AU184" s="228">
        <v>15</v>
      </c>
      <c r="AV184" s="229">
        <v>0.1055</v>
      </c>
      <c r="AW184" s="228">
        <v>138</v>
      </c>
      <c r="AX184" s="228">
        <v>131</v>
      </c>
      <c r="AY184" s="228">
        <v>8</v>
      </c>
      <c r="AZ184" s="229">
        <v>5.7299999999999997E-2</v>
      </c>
      <c r="BA184" s="228">
        <v>21</v>
      </c>
      <c r="BB184" s="228">
        <v>14</v>
      </c>
      <c r="BC184" s="228">
        <v>7</v>
      </c>
      <c r="BD184" s="229">
        <v>0.50380000000000003</v>
      </c>
      <c r="BE184" s="228">
        <v>1</v>
      </c>
      <c r="BF184" s="228">
        <v>0</v>
      </c>
      <c r="BG184" s="228">
        <v>1</v>
      </c>
      <c r="BH184" s="229">
        <v>3.5</v>
      </c>
      <c r="BI184" s="228">
        <v>507</v>
      </c>
      <c r="BJ184" s="228">
        <v>590</v>
      </c>
      <c r="BK184" s="228">
        <v>-83</v>
      </c>
      <c r="BL184" s="229">
        <v>-0.14080000000000001</v>
      </c>
      <c r="BM184" s="228">
        <v>96</v>
      </c>
      <c r="BN184" s="228">
        <v>199</v>
      </c>
      <c r="BO184" s="228">
        <v>-104</v>
      </c>
      <c r="BP184" s="229">
        <v>-0.51990000000000003</v>
      </c>
      <c r="BQ184" s="228">
        <v>763</v>
      </c>
      <c r="BR184" s="228">
        <v>935</v>
      </c>
      <c r="BS184" s="228">
        <v>-171</v>
      </c>
      <c r="BT184" s="229">
        <v>-0.18340000000000001</v>
      </c>
      <c r="BU184" s="230">
        <v>82326</v>
      </c>
      <c r="BV184" s="230">
        <v>62457</v>
      </c>
      <c r="BW184" s="230">
        <v>19869</v>
      </c>
      <c r="BX184" s="229">
        <v>0.31809999999999999</v>
      </c>
      <c r="BY184" s="230">
        <v>1311</v>
      </c>
      <c r="BZ184" s="230">
        <v>1282</v>
      </c>
      <c r="CA184" s="228">
        <v>29</v>
      </c>
      <c r="CB184" s="229">
        <v>2.2700000000000001E-2</v>
      </c>
      <c r="CC184" s="230">
        <v>1220</v>
      </c>
      <c r="CD184" s="230">
        <v>1201</v>
      </c>
      <c r="CE184" s="228">
        <v>18</v>
      </c>
      <c r="CF184" s="229">
        <v>1.5299999999999999E-2</v>
      </c>
      <c r="CG184" s="228">
        <v>85</v>
      </c>
      <c r="CH184" s="228">
        <v>74</v>
      </c>
      <c r="CI184" s="228">
        <v>11</v>
      </c>
      <c r="CJ184" s="229">
        <v>0.14199999999999999</v>
      </c>
      <c r="CK184" s="228">
        <v>7</v>
      </c>
      <c r="CL184" s="228">
        <v>6</v>
      </c>
      <c r="CM184" s="228">
        <v>0</v>
      </c>
      <c r="CN184" s="229">
        <v>1.6400000000000001E-2</v>
      </c>
      <c r="CO184" s="228">
        <v>588</v>
      </c>
      <c r="CP184" s="228">
        <v>579</v>
      </c>
      <c r="CQ184" s="228">
        <v>9</v>
      </c>
      <c r="CR184" s="229">
        <v>1.5900000000000001E-2</v>
      </c>
      <c r="CS184" s="228">
        <v>367</v>
      </c>
      <c r="CT184" s="228">
        <v>368</v>
      </c>
      <c r="CU184" s="228">
        <v>-1</v>
      </c>
      <c r="CV184" s="229">
        <v>-3.3999999999999998E-3</v>
      </c>
      <c r="CW184" s="230">
        <v>2266</v>
      </c>
      <c r="CX184" s="230">
        <v>2229</v>
      </c>
      <c r="CY184" s="228">
        <v>37</v>
      </c>
      <c r="CZ184" s="229">
        <v>1.66E-2</v>
      </c>
      <c r="DA184" s="228">
        <v>30.92</v>
      </c>
      <c r="DB184" s="228">
        <v>31.28</v>
      </c>
      <c r="DC184" s="228">
        <v>-0.36</v>
      </c>
      <c r="DD184" s="228">
        <v>-0.36</v>
      </c>
      <c r="DE184" s="228">
        <v>40.99</v>
      </c>
      <c r="DF184" s="228">
        <v>41.1</v>
      </c>
      <c r="DG184" s="228">
        <v>-10.07</v>
      </c>
      <c r="DH184" s="228">
        <v>-0.11</v>
      </c>
      <c r="DI184" s="228">
        <v>30.97</v>
      </c>
      <c r="DJ184" s="228">
        <v>30.89</v>
      </c>
      <c r="DK184" s="228">
        <v>0.08</v>
      </c>
      <c r="DL184" s="228">
        <v>0.08</v>
      </c>
      <c r="DM184" s="228">
        <v>30.66</v>
      </c>
      <c r="DN184" s="228">
        <v>32.43</v>
      </c>
      <c r="DO184" s="228">
        <v>-1.77</v>
      </c>
      <c r="DP184" s="228">
        <v>-1.77</v>
      </c>
      <c r="DQ184" s="228">
        <v>0.62</v>
      </c>
      <c r="DR184" s="228">
        <v>0.64</v>
      </c>
      <c r="DS184" s="228">
        <v>-0.02</v>
      </c>
      <c r="DT184" s="229">
        <v>-3.1300000000000001E-2</v>
      </c>
      <c r="DU184" s="231">
        <v>15000</v>
      </c>
      <c r="DV184" s="231">
        <v>14000</v>
      </c>
      <c r="DW184" s="228">
        <v>0.19</v>
      </c>
      <c r="DX184" s="228">
        <v>0.34</v>
      </c>
      <c r="DY184" s="228">
        <v>-0.15</v>
      </c>
      <c r="DZ184" s="229">
        <v>-0.44119999999999998</v>
      </c>
      <c r="EA184" s="229">
        <v>6.9800000000000001E-2</v>
      </c>
      <c r="EB184" s="230">
        <v>57375</v>
      </c>
      <c r="EC184" s="229">
        <v>5.4000000000000003E-3</v>
      </c>
      <c r="ED184" s="229">
        <v>6.9800000000000001E-2</v>
      </c>
      <c r="EE184" s="228">
        <v>69.92</v>
      </c>
      <c r="EF184" s="229">
        <v>5.0000000000000001E-3</v>
      </c>
      <c r="EG184" s="230">
        <v>56269</v>
      </c>
      <c r="EH184" s="230">
        <v>36136</v>
      </c>
      <c r="EI184" s="229">
        <v>0.55710000000000004</v>
      </c>
      <c r="EJ184" s="229">
        <v>0.6835</v>
      </c>
      <c r="EK184" s="228">
        <v>538.94000000000005</v>
      </c>
      <c r="EL184" s="228">
        <v>91.48</v>
      </c>
      <c r="EM184" s="228">
        <v>160.83000000000001</v>
      </c>
      <c r="EN184" s="228">
        <v>17.059999999999999</v>
      </c>
      <c r="EO184" s="228">
        <v>791.24</v>
      </c>
      <c r="EP184" s="228">
        <v>953.55</v>
      </c>
      <c r="EQ184" s="228">
        <v>-162.31</v>
      </c>
      <c r="ER184" s="229">
        <v>-0.17019999999999999</v>
      </c>
      <c r="ES184" s="228">
        <v>619.95000000000005</v>
      </c>
      <c r="ET184" s="228">
        <v>352.6</v>
      </c>
      <c r="EU184" s="231">
        <v>1311.72</v>
      </c>
      <c r="EV184" s="231">
        <v>3644817</v>
      </c>
      <c r="EW184" s="231">
        <v>2284.2600000000002</v>
      </c>
      <c r="EX184" s="231">
        <v>2248.9</v>
      </c>
      <c r="EY184" s="228">
        <v>35.36</v>
      </c>
      <c r="EZ184" s="229">
        <v>1.5699999999999999E-2</v>
      </c>
      <c r="FA184" s="229">
        <v>0.44109999999999999</v>
      </c>
      <c r="FB184" s="227" t="s">
        <v>567</v>
      </c>
      <c r="FC184">
        <f t="shared" si="3"/>
        <v>0</v>
      </c>
    </row>
    <row r="185" spans="1:159" ht="17.25" thickBot="1" x14ac:dyDescent="0.3">
      <c r="A185" s="226">
        <v>45946</v>
      </c>
      <c r="B185" s="227" t="s">
        <v>162</v>
      </c>
      <c r="C185" s="227" t="s">
        <v>614</v>
      </c>
      <c r="D185" s="228">
        <v>1050</v>
      </c>
      <c r="E185" s="228">
        <v>12</v>
      </c>
      <c r="F185" s="228">
        <v>469.05</v>
      </c>
      <c r="G185" s="228">
        <v>453.2</v>
      </c>
      <c r="H185" s="228">
        <v>15.85</v>
      </c>
      <c r="I185" s="229">
        <v>3.5000000000000003E-2</v>
      </c>
      <c r="J185" s="228">
        <v>468.55</v>
      </c>
      <c r="K185" s="228">
        <v>452.25</v>
      </c>
      <c r="L185" s="228">
        <v>16.3</v>
      </c>
      <c r="M185" s="229">
        <v>3.5999999999999997E-2</v>
      </c>
      <c r="N185" s="228">
        <v>469.05</v>
      </c>
      <c r="O185" s="228">
        <v>453.2</v>
      </c>
      <c r="P185" s="228">
        <v>15.85</v>
      </c>
      <c r="Q185" s="229">
        <v>3.5000000000000003E-2</v>
      </c>
      <c r="R185" s="228">
        <v>471.5</v>
      </c>
      <c r="S185" s="228">
        <v>455.35</v>
      </c>
      <c r="T185" s="228">
        <v>16.149999999999999</v>
      </c>
      <c r="U185" s="229">
        <v>3.5499999999999997E-2</v>
      </c>
      <c r="V185" s="228">
        <v>474.35</v>
      </c>
      <c r="W185" s="228">
        <v>457.95</v>
      </c>
      <c r="X185" s="228">
        <v>16.399999999999999</v>
      </c>
      <c r="Y185" s="229">
        <v>3.5799999999999998E-2</v>
      </c>
      <c r="Z185" s="228">
        <v>0.5</v>
      </c>
      <c r="AA185" s="228">
        <v>0.95</v>
      </c>
      <c r="AB185" s="228">
        <v>-0.45</v>
      </c>
      <c r="AC185" s="229">
        <v>1.1000000000000001E-3</v>
      </c>
      <c r="AD185" s="228">
        <v>0.5</v>
      </c>
      <c r="AE185" s="228">
        <v>0.95</v>
      </c>
      <c r="AF185" s="228">
        <v>-0.45</v>
      </c>
      <c r="AG185" s="229">
        <v>1.1000000000000001E-3</v>
      </c>
      <c r="AH185" s="228">
        <v>2.95</v>
      </c>
      <c r="AI185" s="228">
        <v>3.1</v>
      </c>
      <c r="AJ185" s="228">
        <v>-0.15</v>
      </c>
      <c r="AK185" s="229">
        <v>6.3E-3</v>
      </c>
      <c r="AL185" s="228">
        <v>5.8</v>
      </c>
      <c r="AM185" s="228">
        <v>5.7</v>
      </c>
      <c r="AN185" s="228">
        <v>0.1</v>
      </c>
      <c r="AO185" s="229">
        <v>1.24E-2</v>
      </c>
      <c r="AP185" s="228">
        <v>469.1</v>
      </c>
      <c r="AQ185" s="228">
        <v>471.05</v>
      </c>
      <c r="AR185" s="228">
        <v>0</v>
      </c>
      <c r="AS185" s="228">
        <v>291</v>
      </c>
      <c r="AT185" s="228">
        <v>186</v>
      </c>
      <c r="AU185" s="228">
        <v>105</v>
      </c>
      <c r="AV185" s="229">
        <v>0.56359999999999999</v>
      </c>
      <c r="AW185" s="228">
        <v>259</v>
      </c>
      <c r="AX185" s="228">
        <v>170</v>
      </c>
      <c r="AY185" s="228">
        <v>89</v>
      </c>
      <c r="AZ185" s="229">
        <v>0.52449999999999997</v>
      </c>
      <c r="BA185" s="228">
        <v>29</v>
      </c>
      <c r="BB185" s="228">
        <v>14</v>
      </c>
      <c r="BC185" s="228">
        <v>15</v>
      </c>
      <c r="BD185" s="229">
        <v>1.0860000000000001</v>
      </c>
      <c r="BE185" s="228">
        <v>4</v>
      </c>
      <c r="BF185" s="228">
        <v>3</v>
      </c>
      <c r="BG185" s="228">
        <v>1</v>
      </c>
      <c r="BH185" s="229">
        <v>0.35849999999999999</v>
      </c>
      <c r="BI185" s="230">
        <v>1514</v>
      </c>
      <c r="BJ185" s="228">
        <v>553</v>
      </c>
      <c r="BK185" s="228">
        <v>961</v>
      </c>
      <c r="BL185" s="229">
        <v>1.7383</v>
      </c>
      <c r="BM185" s="228">
        <v>584</v>
      </c>
      <c r="BN185" s="228">
        <v>272</v>
      </c>
      <c r="BO185" s="228">
        <v>312</v>
      </c>
      <c r="BP185" s="229">
        <v>1.1455</v>
      </c>
      <c r="BQ185" s="230">
        <v>2389</v>
      </c>
      <c r="BR185" s="230">
        <v>1011</v>
      </c>
      <c r="BS185" s="230">
        <v>1378</v>
      </c>
      <c r="BT185" s="229">
        <v>1.3626</v>
      </c>
      <c r="BU185" s="230">
        <v>7580864</v>
      </c>
      <c r="BV185" s="230">
        <v>3072642</v>
      </c>
      <c r="BW185" s="230">
        <v>4508222</v>
      </c>
      <c r="BX185" s="229">
        <v>1.4672000000000001</v>
      </c>
      <c r="BY185" s="228">
        <v>880</v>
      </c>
      <c r="BZ185" s="228">
        <v>927</v>
      </c>
      <c r="CA185" s="228">
        <v>-48</v>
      </c>
      <c r="CB185" s="229">
        <v>-5.1200000000000002E-2</v>
      </c>
      <c r="CC185" s="228">
        <v>845</v>
      </c>
      <c r="CD185" s="228">
        <v>892</v>
      </c>
      <c r="CE185" s="228">
        <v>-48</v>
      </c>
      <c r="CF185" s="229">
        <v>-5.3400000000000003E-2</v>
      </c>
      <c r="CG185" s="228">
        <v>30</v>
      </c>
      <c r="CH185" s="228">
        <v>30</v>
      </c>
      <c r="CI185" s="228">
        <v>0</v>
      </c>
      <c r="CJ185" s="229">
        <v>1.1599999999999999E-2</v>
      </c>
      <c r="CK185" s="228">
        <v>5</v>
      </c>
      <c r="CL185" s="228">
        <v>5</v>
      </c>
      <c r="CM185" s="228">
        <v>0</v>
      </c>
      <c r="CN185" s="229">
        <v>-4.6300000000000001E-2</v>
      </c>
      <c r="CO185" s="228">
        <v>338</v>
      </c>
      <c r="CP185" s="228">
        <v>407</v>
      </c>
      <c r="CQ185" s="228">
        <v>-69</v>
      </c>
      <c r="CR185" s="229">
        <v>-0.16930000000000001</v>
      </c>
      <c r="CS185" s="228">
        <v>245</v>
      </c>
      <c r="CT185" s="228">
        <v>229</v>
      </c>
      <c r="CU185" s="228">
        <v>16</v>
      </c>
      <c r="CV185" s="229">
        <v>6.9000000000000006E-2</v>
      </c>
      <c r="CW185" s="230">
        <v>1463</v>
      </c>
      <c r="CX185" s="230">
        <v>1563</v>
      </c>
      <c r="CY185" s="228">
        <v>-101</v>
      </c>
      <c r="CZ185" s="229">
        <v>-6.4399999999999999E-2</v>
      </c>
      <c r="DA185" s="228">
        <v>33.61</v>
      </c>
      <c r="DB185" s="228">
        <v>37.200000000000003</v>
      </c>
      <c r="DC185" s="228">
        <v>-3.59</v>
      </c>
      <c r="DD185" s="228">
        <v>-3.59</v>
      </c>
      <c r="DE185" s="228">
        <v>41.32</v>
      </c>
      <c r="DF185" s="228">
        <v>41.15</v>
      </c>
      <c r="DG185" s="228">
        <v>-7.71</v>
      </c>
      <c r="DH185" s="228">
        <v>0.17</v>
      </c>
      <c r="DI185" s="228">
        <v>33.270000000000003</v>
      </c>
      <c r="DJ185" s="228">
        <v>37.31</v>
      </c>
      <c r="DK185" s="228">
        <v>-4.04</v>
      </c>
      <c r="DL185" s="228">
        <v>-4.04</v>
      </c>
      <c r="DM185" s="228">
        <v>34.49</v>
      </c>
      <c r="DN185" s="228">
        <v>36.950000000000003</v>
      </c>
      <c r="DO185" s="228">
        <v>-2.46</v>
      </c>
      <c r="DP185" s="228">
        <v>-2.46</v>
      </c>
      <c r="DQ185" s="228">
        <v>0.72</v>
      </c>
      <c r="DR185" s="228">
        <v>0.56000000000000005</v>
      </c>
      <c r="DS185" s="228">
        <v>0.16</v>
      </c>
      <c r="DT185" s="229">
        <v>0.28570000000000001</v>
      </c>
      <c r="DU185" s="228">
        <v>480</v>
      </c>
      <c r="DV185" s="228">
        <v>450</v>
      </c>
      <c r="DW185" s="228">
        <v>0.39</v>
      </c>
      <c r="DX185" s="228">
        <v>0.49</v>
      </c>
      <c r="DY185" s="228">
        <v>-0.1</v>
      </c>
      <c r="DZ185" s="229">
        <v>-0.2041</v>
      </c>
      <c r="EA185" s="229">
        <v>0.04</v>
      </c>
      <c r="EB185" s="230">
        <v>747600</v>
      </c>
      <c r="EC185" s="229">
        <v>5.1999999999999998E-3</v>
      </c>
      <c r="ED185" s="229">
        <v>0.04</v>
      </c>
      <c r="EE185" s="228">
        <v>1.95</v>
      </c>
      <c r="EF185" s="229">
        <v>4.1999999999999997E-3</v>
      </c>
      <c r="EG185" s="230">
        <v>2857007</v>
      </c>
      <c r="EH185" s="230">
        <v>1234749</v>
      </c>
      <c r="EI185" s="229">
        <v>1.3138000000000001</v>
      </c>
      <c r="EJ185" s="229">
        <v>0.37690000000000001</v>
      </c>
      <c r="EK185" s="231">
        <v>1569.07</v>
      </c>
      <c r="EL185" s="228">
        <v>565.25</v>
      </c>
      <c r="EM185" s="228">
        <v>291.2</v>
      </c>
      <c r="EN185" s="228">
        <v>56.65</v>
      </c>
      <c r="EO185" s="231">
        <v>2425.52</v>
      </c>
      <c r="EP185" s="228">
        <v>998.9</v>
      </c>
      <c r="EQ185" s="231">
        <v>1426.62</v>
      </c>
      <c r="ER185" s="229">
        <v>1.4281999999999999</v>
      </c>
      <c r="ES185" s="228">
        <v>338.26</v>
      </c>
      <c r="ET185" s="228">
        <v>227.85</v>
      </c>
      <c r="EU185" s="228">
        <v>880.17</v>
      </c>
      <c r="EV185" s="231">
        <v>67126548</v>
      </c>
      <c r="EW185" s="231">
        <v>1446.28</v>
      </c>
      <c r="EX185" s="231">
        <v>1505.62</v>
      </c>
      <c r="EY185" s="228">
        <v>-59.34</v>
      </c>
      <c r="EZ185" s="229">
        <v>-3.9399999999999998E-2</v>
      </c>
      <c r="FA185" s="229">
        <v>0.46460000000000001</v>
      </c>
      <c r="FB185" s="227" t="s">
        <v>556</v>
      </c>
      <c r="FC185">
        <f t="shared" si="3"/>
        <v>0</v>
      </c>
    </row>
    <row r="186" spans="1:159" ht="17.25" thickBot="1" x14ac:dyDescent="0.3">
      <c r="A186" s="226">
        <v>45946</v>
      </c>
      <c r="B186" s="227" t="s">
        <v>197</v>
      </c>
      <c r="C186" s="227" t="s">
        <v>286</v>
      </c>
      <c r="D186" s="228">
        <v>200</v>
      </c>
      <c r="E186" s="228">
        <v>12</v>
      </c>
      <c r="F186" s="231">
        <v>3193.7</v>
      </c>
      <c r="G186" s="231">
        <v>3101.7</v>
      </c>
      <c r="H186" s="228">
        <v>92</v>
      </c>
      <c r="I186" s="229">
        <v>2.9700000000000001E-2</v>
      </c>
      <c r="J186" s="231">
        <v>3190</v>
      </c>
      <c r="K186" s="231">
        <v>3088.6</v>
      </c>
      <c r="L186" s="228">
        <v>101.4</v>
      </c>
      <c r="M186" s="229">
        <v>3.2800000000000003E-2</v>
      </c>
      <c r="N186" s="231">
        <v>3193.7</v>
      </c>
      <c r="O186" s="231">
        <v>3101.7</v>
      </c>
      <c r="P186" s="228">
        <v>92</v>
      </c>
      <c r="Q186" s="229">
        <v>2.9700000000000001E-2</v>
      </c>
      <c r="R186" s="231">
        <v>3210.5</v>
      </c>
      <c r="S186" s="231">
        <v>3117.7</v>
      </c>
      <c r="T186" s="228">
        <v>92.8</v>
      </c>
      <c r="U186" s="229">
        <v>2.98E-2</v>
      </c>
      <c r="V186" s="231">
        <v>3234.6</v>
      </c>
      <c r="W186" s="231">
        <v>3134.8</v>
      </c>
      <c r="X186" s="228">
        <v>99.8</v>
      </c>
      <c r="Y186" s="229">
        <v>3.1800000000000002E-2</v>
      </c>
      <c r="Z186" s="228">
        <v>3.7</v>
      </c>
      <c r="AA186" s="228">
        <v>13.1</v>
      </c>
      <c r="AB186" s="228">
        <v>-9.4</v>
      </c>
      <c r="AC186" s="229">
        <v>1.1999999999999999E-3</v>
      </c>
      <c r="AD186" s="228">
        <v>3.7</v>
      </c>
      <c r="AE186" s="228">
        <v>13.1</v>
      </c>
      <c r="AF186" s="228">
        <v>-9.4</v>
      </c>
      <c r="AG186" s="229">
        <v>1.1999999999999999E-3</v>
      </c>
      <c r="AH186" s="228">
        <v>20.5</v>
      </c>
      <c r="AI186" s="228">
        <v>29.1</v>
      </c>
      <c r="AJ186" s="228">
        <v>-8.6</v>
      </c>
      <c r="AK186" s="229">
        <v>6.4000000000000003E-3</v>
      </c>
      <c r="AL186" s="228">
        <v>44.6</v>
      </c>
      <c r="AM186" s="228">
        <v>46.2</v>
      </c>
      <c r="AN186" s="228">
        <v>-1.6</v>
      </c>
      <c r="AO186" s="229">
        <v>1.4E-2</v>
      </c>
      <c r="AP186" s="231">
        <v>3171.86</v>
      </c>
      <c r="AQ186" s="231">
        <v>3188.19</v>
      </c>
      <c r="AR186" s="228">
        <v>0</v>
      </c>
      <c r="AS186" s="228">
        <v>318</v>
      </c>
      <c r="AT186" s="228">
        <v>236</v>
      </c>
      <c r="AU186" s="228">
        <v>82</v>
      </c>
      <c r="AV186" s="229">
        <v>0.34849999999999998</v>
      </c>
      <c r="AW186" s="228">
        <v>295</v>
      </c>
      <c r="AX186" s="228">
        <v>220</v>
      </c>
      <c r="AY186" s="228">
        <v>75</v>
      </c>
      <c r="AZ186" s="229">
        <v>0.34110000000000001</v>
      </c>
      <c r="BA186" s="228">
        <v>20</v>
      </c>
      <c r="BB186" s="228">
        <v>14</v>
      </c>
      <c r="BC186" s="228">
        <v>6</v>
      </c>
      <c r="BD186" s="229">
        <v>0.40360000000000001</v>
      </c>
      <c r="BE186" s="228">
        <v>3</v>
      </c>
      <c r="BF186" s="228">
        <v>2</v>
      </c>
      <c r="BG186" s="228">
        <v>1</v>
      </c>
      <c r="BH186" s="229">
        <v>0.82140000000000002</v>
      </c>
      <c r="BI186" s="230">
        <v>1469</v>
      </c>
      <c r="BJ186" s="228">
        <v>767</v>
      </c>
      <c r="BK186" s="228">
        <v>701</v>
      </c>
      <c r="BL186" s="229">
        <v>0.91349999999999998</v>
      </c>
      <c r="BM186" s="228">
        <v>638</v>
      </c>
      <c r="BN186" s="228">
        <v>411</v>
      </c>
      <c r="BO186" s="228">
        <v>227</v>
      </c>
      <c r="BP186" s="229">
        <v>0.5524</v>
      </c>
      <c r="BQ186" s="230">
        <v>2424</v>
      </c>
      <c r="BR186" s="230">
        <v>1414</v>
      </c>
      <c r="BS186" s="230">
        <v>1010</v>
      </c>
      <c r="BT186" s="229">
        <v>0.71440000000000003</v>
      </c>
      <c r="BU186" s="230">
        <v>647364</v>
      </c>
      <c r="BV186" s="230">
        <v>680776</v>
      </c>
      <c r="BW186" s="230">
        <v>-33412</v>
      </c>
      <c r="BX186" s="229">
        <v>-4.9099999999999998E-2</v>
      </c>
      <c r="BY186" s="228">
        <v>854</v>
      </c>
      <c r="BZ186" s="228">
        <v>857</v>
      </c>
      <c r="CA186" s="228">
        <v>-3</v>
      </c>
      <c r="CB186" s="229">
        <v>-3.0000000000000001E-3</v>
      </c>
      <c r="CC186" s="228">
        <v>836</v>
      </c>
      <c r="CD186" s="228">
        <v>841</v>
      </c>
      <c r="CE186" s="228">
        <v>-5</v>
      </c>
      <c r="CF186" s="229">
        <v>-5.5999999999999999E-3</v>
      </c>
      <c r="CG186" s="228">
        <v>15</v>
      </c>
      <c r="CH186" s="228">
        <v>14</v>
      </c>
      <c r="CI186" s="228">
        <v>1</v>
      </c>
      <c r="CJ186" s="229">
        <v>0.1019</v>
      </c>
      <c r="CK186" s="228">
        <v>3</v>
      </c>
      <c r="CL186" s="228">
        <v>2</v>
      </c>
      <c r="CM186" s="228">
        <v>1</v>
      </c>
      <c r="CN186" s="229">
        <v>0.34289999999999998</v>
      </c>
      <c r="CO186" s="228">
        <v>299</v>
      </c>
      <c r="CP186" s="228">
        <v>304</v>
      </c>
      <c r="CQ186" s="228">
        <v>-5</v>
      </c>
      <c r="CR186" s="229">
        <v>-1.6799999999999999E-2</v>
      </c>
      <c r="CS186" s="228">
        <v>323</v>
      </c>
      <c r="CT186" s="228">
        <v>261</v>
      </c>
      <c r="CU186" s="228">
        <v>62</v>
      </c>
      <c r="CV186" s="229">
        <v>0.23880000000000001</v>
      </c>
      <c r="CW186" s="230">
        <v>1477</v>
      </c>
      <c r="CX186" s="230">
        <v>1422</v>
      </c>
      <c r="CY186" s="228">
        <v>55</v>
      </c>
      <c r="CZ186" s="229">
        <v>3.8399999999999997E-2</v>
      </c>
      <c r="DA186" s="228">
        <v>25.53</v>
      </c>
      <c r="DB186" s="228">
        <v>25.62</v>
      </c>
      <c r="DC186" s="228">
        <v>-0.09</v>
      </c>
      <c r="DD186" s="228">
        <v>-0.09</v>
      </c>
      <c r="DE186" s="228">
        <v>32.159999999999997</v>
      </c>
      <c r="DF186" s="228">
        <v>31.94</v>
      </c>
      <c r="DG186" s="228">
        <v>-6.63</v>
      </c>
      <c r="DH186" s="228">
        <v>0.22</v>
      </c>
      <c r="DI186" s="228">
        <v>25.12</v>
      </c>
      <c r="DJ186" s="228">
        <v>25.22</v>
      </c>
      <c r="DK186" s="228">
        <v>-0.1</v>
      </c>
      <c r="DL186" s="228">
        <v>-0.1</v>
      </c>
      <c r="DM186" s="228">
        <v>26.47</v>
      </c>
      <c r="DN186" s="228">
        <v>26.38</v>
      </c>
      <c r="DO186" s="228">
        <v>0.09</v>
      </c>
      <c r="DP186" s="228">
        <v>0.09</v>
      </c>
      <c r="DQ186" s="228">
        <v>1.08</v>
      </c>
      <c r="DR186" s="228">
        <v>0.86</v>
      </c>
      <c r="DS186" s="228">
        <v>0.22</v>
      </c>
      <c r="DT186" s="229">
        <v>0.25580000000000003</v>
      </c>
      <c r="DU186" s="231">
        <v>3200</v>
      </c>
      <c r="DV186" s="231">
        <v>3100</v>
      </c>
      <c r="DW186" s="228">
        <v>0.43</v>
      </c>
      <c r="DX186" s="228">
        <v>0.54</v>
      </c>
      <c r="DY186" s="228">
        <v>-0.11</v>
      </c>
      <c r="DZ186" s="229">
        <v>-0.20369999999999999</v>
      </c>
      <c r="EA186" s="229">
        <v>2.1299999999999999E-2</v>
      </c>
      <c r="EB186" s="230">
        <v>50200</v>
      </c>
      <c r="EC186" s="229">
        <v>5.3E-3</v>
      </c>
      <c r="ED186" s="229">
        <v>2.1299999999999999E-2</v>
      </c>
      <c r="EE186" s="228">
        <v>16.329999999999998</v>
      </c>
      <c r="EF186" s="229">
        <v>5.1000000000000004E-3</v>
      </c>
      <c r="EG186" s="230">
        <v>393778</v>
      </c>
      <c r="EH186" s="230">
        <v>457856</v>
      </c>
      <c r="EI186" s="229">
        <v>-0.14000000000000001</v>
      </c>
      <c r="EJ186" s="229">
        <v>0.60829999999999995</v>
      </c>
      <c r="EK186" s="231">
        <v>1498.01</v>
      </c>
      <c r="EL186" s="228">
        <v>620.08000000000004</v>
      </c>
      <c r="EM186" s="228">
        <v>315.8</v>
      </c>
      <c r="EN186" s="228">
        <v>26.26</v>
      </c>
      <c r="EO186" s="231">
        <v>2433.88</v>
      </c>
      <c r="EP186" s="231">
        <v>1389.27</v>
      </c>
      <c r="EQ186" s="231">
        <v>1044.6099999999999</v>
      </c>
      <c r="ER186" s="229">
        <v>0.75190000000000001</v>
      </c>
      <c r="ES186" s="228">
        <v>294.2</v>
      </c>
      <c r="ET186" s="228">
        <v>297.52999999999997</v>
      </c>
      <c r="EU186" s="228">
        <v>854.24</v>
      </c>
      <c r="EV186" s="231">
        <v>21205300</v>
      </c>
      <c r="EW186" s="231">
        <v>1445.97</v>
      </c>
      <c r="EX186" s="231">
        <v>1364.81</v>
      </c>
      <c r="EY186" s="228">
        <v>81.16</v>
      </c>
      <c r="EZ186" s="229">
        <v>5.9499999999999997E-2</v>
      </c>
      <c r="FA186" s="229">
        <v>0.218</v>
      </c>
      <c r="FB186" s="227" t="s">
        <v>556</v>
      </c>
      <c r="FC186">
        <f t="shared" si="3"/>
        <v>0</v>
      </c>
    </row>
    <row r="187" spans="1:159" ht="17.25" thickBot="1" x14ac:dyDescent="0.3">
      <c r="A187" s="226">
        <v>45946</v>
      </c>
      <c r="B187" s="227" t="s">
        <v>170</v>
      </c>
      <c r="C187" s="227" t="s">
        <v>288</v>
      </c>
      <c r="D187" s="228">
        <v>350</v>
      </c>
      <c r="E187" s="228">
        <v>12</v>
      </c>
      <c r="F187" s="231">
        <v>1665.6</v>
      </c>
      <c r="G187" s="231">
        <v>1661.4</v>
      </c>
      <c r="H187" s="228">
        <v>4.2</v>
      </c>
      <c r="I187" s="229">
        <v>2.5000000000000001E-3</v>
      </c>
      <c r="J187" s="231">
        <v>1659</v>
      </c>
      <c r="K187" s="231">
        <v>1655.1</v>
      </c>
      <c r="L187" s="228">
        <v>3.9</v>
      </c>
      <c r="M187" s="229">
        <v>2.3999999999999998E-3</v>
      </c>
      <c r="N187" s="231">
        <v>1665.6</v>
      </c>
      <c r="O187" s="231">
        <v>1661.4</v>
      </c>
      <c r="P187" s="228">
        <v>4.2</v>
      </c>
      <c r="Q187" s="229">
        <v>2.5000000000000001E-3</v>
      </c>
      <c r="R187" s="231">
        <v>1674.3</v>
      </c>
      <c r="S187" s="231">
        <v>1670</v>
      </c>
      <c r="T187" s="228">
        <v>4.3</v>
      </c>
      <c r="U187" s="229">
        <v>2.5999999999999999E-3</v>
      </c>
      <c r="V187" s="231">
        <v>1684.3</v>
      </c>
      <c r="W187" s="231">
        <v>1681.3</v>
      </c>
      <c r="X187" s="228">
        <v>3</v>
      </c>
      <c r="Y187" s="229">
        <v>1.8E-3</v>
      </c>
      <c r="Z187" s="228">
        <v>6.6</v>
      </c>
      <c r="AA187" s="228">
        <v>6.3</v>
      </c>
      <c r="AB187" s="228">
        <v>0.3</v>
      </c>
      <c r="AC187" s="229">
        <v>4.0000000000000001E-3</v>
      </c>
      <c r="AD187" s="228">
        <v>6.6</v>
      </c>
      <c r="AE187" s="228">
        <v>6.3</v>
      </c>
      <c r="AF187" s="228">
        <v>0.3</v>
      </c>
      <c r="AG187" s="229">
        <v>4.0000000000000001E-3</v>
      </c>
      <c r="AH187" s="228">
        <v>15.3</v>
      </c>
      <c r="AI187" s="228">
        <v>14.9</v>
      </c>
      <c r="AJ187" s="228">
        <v>0.4</v>
      </c>
      <c r="AK187" s="229">
        <v>9.1999999999999998E-3</v>
      </c>
      <c r="AL187" s="228">
        <v>25.3</v>
      </c>
      <c r="AM187" s="228">
        <v>26.2</v>
      </c>
      <c r="AN187" s="228">
        <v>-0.9</v>
      </c>
      <c r="AO187" s="229">
        <v>1.5299999999999999E-2</v>
      </c>
      <c r="AP187" s="231">
        <v>1659.56</v>
      </c>
      <c r="AQ187" s="231">
        <v>1668.35</v>
      </c>
      <c r="AR187" s="228">
        <v>0</v>
      </c>
      <c r="AS187" s="228">
        <v>362</v>
      </c>
      <c r="AT187" s="228">
        <v>252</v>
      </c>
      <c r="AU187" s="228">
        <v>110</v>
      </c>
      <c r="AV187" s="229">
        <v>0.43680000000000002</v>
      </c>
      <c r="AW187" s="228">
        <v>305</v>
      </c>
      <c r="AX187" s="228">
        <v>194</v>
      </c>
      <c r="AY187" s="228">
        <v>111</v>
      </c>
      <c r="AZ187" s="229">
        <v>0.57069999999999999</v>
      </c>
      <c r="BA187" s="228">
        <v>56</v>
      </c>
      <c r="BB187" s="228">
        <v>57</v>
      </c>
      <c r="BC187" s="228">
        <v>-1</v>
      </c>
      <c r="BD187" s="229">
        <v>-2.1499999999999998E-2</v>
      </c>
      <c r="BE187" s="228">
        <v>1</v>
      </c>
      <c r="BF187" s="228">
        <v>1</v>
      </c>
      <c r="BG187" s="228">
        <v>1</v>
      </c>
      <c r="BH187" s="229">
        <v>0.5625</v>
      </c>
      <c r="BI187" s="228">
        <v>873</v>
      </c>
      <c r="BJ187" s="228">
        <v>994</v>
      </c>
      <c r="BK187" s="228">
        <v>-121</v>
      </c>
      <c r="BL187" s="229">
        <v>-0.12189999999999999</v>
      </c>
      <c r="BM187" s="228">
        <v>636</v>
      </c>
      <c r="BN187" s="228">
        <v>689</v>
      </c>
      <c r="BO187" s="228">
        <v>-53</v>
      </c>
      <c r="BP187" s="229">
        <v>-7.6899999999999996E-2</v>
      </c>
      <c r="BQ187" s="230">
        <v>1871</v>
      </c>
      <c r="BR187" s="230">
        <v>1935</v>
      </c>
      <c r="BS187" s="228">
        <v>-64</v>
      </c>
      <c r="BT187" s="229">
        <v>-3.3099999999999997E-2</v>
      </c>
      <c r="BU187" s="230">
        <v>2976665</v>
      </c>
      <c r="BV187" s="230">
        <v>2108204</v>
      </c>
      <c r="BW187" s="230">
        <v>868461</v>
      </c>
      <c r="BX187" s="229">
        <v>0.41189999999999999</v>
      </c>
      <c r="BY187" s="230">
        <v>2632</v>
      </c>
      <c r="BZ187" s="230">
        <v>2556</v>
      </c>
      <c r="CA187" s="228">
        <v>76</v>
      </c>
      <c r="CB187" s="229">
        <v>2.9600000000000001E-2</v>
      </c>
      <c r="CC187" s="230">
        <v>2503</v>
      </c>
      <c r="CD187" s="230">
        <v>2461</v>
      </c>
      <c r="CE187" s="228">
        <v>41</v>
      </c>
      <c r="CF187" s="229">
        <v>1.6799999999999999E-2</v>
      </c>
      <c r="CG187" s="228">
        <v>122</v>
      </c>
      <c r="CH187" s="228">
        <v>88</v>
      </c>
      <c r="CI187" s="228">
        <v>34</v>
      </c>
      <c r="CJ187" s="229">
        <v>0.38690000000000002</v>
      </c>
      <c r="CK187" s="228">
        <v>7</v>
      </c>
      <c r="CL187" s="228">
        <v>7</v>
      </c>
      <c r="CM187" s="228">
        <v>0</v>
      </c>
      <c r="CN187" s="229">
        <v>5.0799999999999998E-2</v>
      </c>
      <c r="CO187" s="228">
        <v>866</v>
      </c>
      <c r="CP187" s="228">
        <v>879</v>
      </c>
      <c r="CQ187" s="228">
        <v>-13</v>
      </c>
      <c r="CR187" s="229">
        <v>-1.5100000000000001E-2</v>
      </c>
      <c r="CS187" s="228">
        <v>763</v>
      </c>
      <c r="CT187" s="228">
        <v>771</v>
      </c>
      <c r="CU187" s="228">
        <v>-8</v>
      </c>
      <c r="CV187" s="229">
        <v>-1.04E-2</v>
      </c>
      <c r="CW187" s="230">
        <v>4261</v>
      </c>
      <c r="CX187" s="230">
        <v>4206</v>
      </c>
      <c r="CY187" s="228">
        <v>54</v>
      </c>
      <c r="CZ187" s="229">
        <v>1.29E-2</v>
      </c>
      <c r="DA187" s="228">
        <v>18.97</v>
      </c>
      <c r="DB187" s="228">
        <v>19.29</v>
      </c>
      <c r="DC187" s="228">
        <v>-0.32</v>
      </c>
      <c r="DD187" s="228">
        <v>-0.32</v>
      </c>
      <c r="DE187" s="228">
        <v>23.93</v>
      </c>
      <c r="DF187" s="228">
        <v>23.99</v>
      </c>
      <c r="DG187" s="228">
        <v>-4.96</v>
      </c>
      <c r="DH187" s="228">
        <v>-0.06</v>
      </c>
      <c r="DI187" s="228">
        <v>17.43</v>
      </c>
      <c r="DJ187" s="228">
        <v>17.97</v>
      </c>
      <c r="DK187" s="228">
        <v>-0.54</v>
      </c>
      <c r="DL187" s="228">
        <v>-0.54</v>
      </c>
      <c r="DM187" s="228">
        <v>21.07</v>
      </c>
      <c r="DN187" s="228">
        <v>21.21</v>
      </c>
      <c r="DO187" s="228">
        <v>-0.14000000000000001</v>
      </c>
      <c r="DP187" s="228">
        <v>-0.14000000000000001</v>
      </c>
      <c r="DQ187" s="228">
        <v>0.88</v>
      </c>
      <c r="DR187" s="228">
        <v>0.88</v>
      </c>
      <c r="DS187" s="228">
        <v>0</v>
      </c>
      <c r="DT187" s="229">
        <v>0</v>
      </c>
      <c r="DU187" s="231">
        <v>1680</v>
      </c>
      <c r="DV187" s="231">
        <v>1500</v>
      </c>
      <c r="DW187" s="228">
        <v>0.73</v>
      </c>
      <c r="DX187" s="228">
        <v>0.69</v>
      </c>
      <c r="DY187" s="228">
        <v>0.04</v>
      </c>
      <c r="DZ187" s="229">
        <v>5.8000000000000003E-2</v>
      </c>
      <c r="EA187" s="229">
        <v>4.9200000000000001E-2</v>
      </c>
      <c r="EB187" s="230">
        <v>570500</v>
      </c>
      <c r="EC187" s="229">
        <v>5.1999999999999998E-3</v>
      </c>
      <c r="ED187" s="229">
        <v>4.9200000000000001E-2</v>
      </c>
      <c r="EE187" s="228">
        <v>8.7899999999999991</v>
      </c>
      <c r="EF187" s="229">
        <v>5.3E-3</v>
      </c>
      <c r="EG187" s="230">
        <v>2374252</v>
      </c>
      <c r="EH187" s="230">
        <v>1479617</v>
      </c>
      <c r="EI187" s="229">
        <v>0.60460000000000003</v>
      </c>
      <c r="EJ187" s="229">
        <v>0.79759999999999998</v>
      </c>
      <c r="EK187" s="228">
        <v>889.78</v>
      </c>
      <c r="EL187" s="228">
        <v>625.95000000000005</v>
      </c>
      <c r="EM187" s="228">
        <v>361.02</v>
      </c>
      <c r="EN187" s="228">
        <v>42.66</v>
      </c>
      <c r="EO187" s="231">
        <v>1876.75</v>
      </c>
      <c r="EP187" s="231">
        <v>1949.34</v>
      </c>
      <c r="EQ187" s="228">
        <v>-72.59</v>
      </c>
      <c r="ER187" s="229">
        <v>-3.7199999999999997E-2</v>
      </c>
      <c r="ES187" s="228">
        <v>880.97</v>
      </c>
      <c r="ET187" s="228">
        <v>724.6</v>
      </c>
      <c r="EU187" s="231">
        <v>2632.9</v>
      </c>
      <c r="EV187" s="231">
        <v>109220043</v>
      </c>
      <c r="EW187" s="231">
        <v>4238.47</v>
      </c>
      <c r="EX187" s="231">
        <v>4176.84</v>
      </c>
      <c r="EY187" s="228">
        <v>61.63</v>
      </c>
      <c r="EZ187" s="229">
        <v>1.4800000000000001E-2</v>
      </c>
      <c r="FA187" s="229">
        <v>0.23419999999999999</v>
      </c>
      <c r="FB187" s="227" t="s">
        <v>555</v>
      </c>
      <c r="FC187">
        <f t="shared" si="3"/>
        <v>0</v>
      </c>
    </row>
    <row r="188" spans="1:159" ht="17.25" thickBot="1" x14ac:dyDescent="0.3">
      <c r="A188" s="226">
        <v>45946</v>
      </c>
      <c r="B188" s="227" t="s">
        <v>184</v>
      </c>
      <c r="C188" s="227" t="s">
        <v>574</v>
      </c>
      <c r="D188" s="228">
        <v>175</v>
      </c>
      <c r="E188" s="228">
        <v>12</v>
      </c>
      <c r="F188" s="231">
        <v>4257.3</v>
      </c>
      <c r="G188" s="231">
        <v>4214.8</v>
      </c>
      <c r="H188" s="228">
        <v>42.5</v>
      </c>
      <c r="I188" s="229">
        <v>1.01E-2</v>
      </c>
      <c r="J188" s="231">
        <v>4240.2</v>
      </c>
      <c r="K188" s="231">
        <v>4197.5</v>
      </c>
      <c r="L188" s="228">
        <v>42.7</v>
      </c>
      <c r="M188" s="229">
        <v>1.0200000000000001E-2</v>
      </c>
      <c r="N188" s="231">
        <v>4257.3</v>
      </c>
      <c r="O188" s="231">
        <v>4214.8</v>
      </c>
      <c r="P188" s="228">
        <v>42.5</v>
      </c>
      <c r="Q188" s="229">
        <v>1.01E-2</v>
      </c>
      <c r="R188" s="231">
        <v>4268.8999999999996</v>
      </c>
      <c r="S188" s="231">
        <v>4228.3</v>
      </c>
      <c r="T188" s="228">
        <v>40.6</v>
      </c>
      <c r="U188" s="229">
        <v>9.5999999999999992E-3</v>
      </c>
      <c r="V188" s="231">
        <v>4282</v>
      </c>
      <c r="W188" s="231">
        <v>4248</v>
      </c>
      <c r="X188" s="228">
        <v>34</v>
      </c>
      <c r="Y188" s="229">
        <v>8.0000000000000002E-3</v>
      </c>
      <c r="Z188" s="228">
        <v>17.100000000000001</v>
      </c>
      <c r="AA188" s="228">
        <v>17.3</v>
      </c>
      <c r="AB188" s="228">
        <v>-0.2</v>
      </c>
      <c r="AC188" s="229">
        <v>4.0000000000000001E-3</v>
      </c>
      <c r="AD188" s="228">
        <v>17.100000000000001</v>
      </c>
      <c r="AE188" s="228">
        <v>17.3</v>
      </c>
      <c r="AF188" s="228">
        <v>-0.2</v>
      </c>
      <c r="AG188" s="229">
        <v>4.0000000000000001E-3</v>
      </c>
      <c r="AH188" s="228">
        <v>28.7</v>
      </c>
      <c r="AI188" s="228">
        <v>30.8</v>
      </c>
      <c r="AJ188" s="228">
        <v>-2.1</v>
      </c>
      <c r="AK188" s="229">
        <v>6.7999999999999996E-3</v>
      </c>
      <c r="AL188" s="228">
        <v>41.8</v>
      </c>
      <c r="AM188" s="228">
        <v>50.5</v>
      </c>
      <c r="AN188" s="228">
        <v>-8.6999999999999993</v>
      </c>
      <c r="AO188" s="229">
        <v>9.9000000000000008E-3</v>
      </c>
      <c r="AP188" s="231">
        <v>4248.6899999999996</v>
      </c>
      <c r="AQ188" s="231">
        <v>4258.97</v>
      </c>
      <c r="AR188" s="228">
        <v>0</v>
      </c>
      <c r="AS188" s="228">
        <v>56</v>
      </c>
      <c r="AT188" s="228">
        <v>72</v>
      </c>
      <c r="AU188" s="228">
        <v>-16</v>
      </c>
      <c r="AV188" s="229">
        <v>-0.2248</v>
      </c>
      <c r="AW188" s="228">
        <v>44</v>
      </c>
      <c r="AX188" s="228">
        <v>66</v>
      </c>
      <c r="AY188" s="228">
        <v>-22</v>
      </c>
      <c r="AZ188" s="229">
        <v>-0.32690000000000002</v>
      </c>
      <c r="BA188" s="228">
        <v>11</v>
      </c>
      <c r="BB188" s="228">
        <v>6</v>
      </c>
      <c r="BC188" s="228">
        <v>5</v>
      </c>
      <c r="BD188" s="229">
        <v>0.94589999999999996</v>
      </c>
      <c r="BE188" s="228">
        <v>0</v>
      </c>
      <c r="BF188" s="228">
        <v>0</v>
      </c>
      <c r="BG188" s="228">
        <v>0</v>
      </c>
      <c r="BH188" s="229">
        <v>1</v>
      </c>
      <c r="BI188" s="228">
        <v>80</v>
      </c>
      <c r="BJ188" s="228">
        <v>132</v>
      </c>
      <c r="BK188" s="228">
        <v>-52</v>
      </c>
      <c r="BL188" s="229">
        <v>-0.3926</v>
      </c>
      <c r="BM188" s="228">
        <v>30</v>
      </c>
      <c r="BN188" s="228">
        <v>29</v>
      </c>
      <c r="BO188" s="228">
        <v>1</v>
      </c>
      <c r="BP188" s="229">
        <v>3.8899999999999997E-2</v>
      </c>
      <c r="BQ188" s="228">
        <v>166</v>
      </c>
      <c r="BR188" s="228">
        <v>232</v>
      </c>
      <c r="BS188" s="228">
        <v>-67</v>
      </c>
      <c r="BT188" s="229">
        <v>-0.28749999999999998</v>
      </c>
      <c r="BU188" s="230">
        <v>30226</v>
      </c>
      <c r="BV188" s="230">
        <v>76434</v>
      </c>
      <c r="BW188" s="230">
        <v>-46208</v>
      </c>
      <c r="BX188" s="229">
        <v>-0.60450000000000004</v>
      </c>
      <c r="BY188" s="228">
        <v>563</v>
      </c>
      <c r="BZ188" s="228">
        <v>566</v>
      </c>
      <c r="CA188" s="228">
        <v>-3</v>
      </c>
      <c r="CB188" s="229">
        <v>-5.8999999999999999E-3</v>
      </c>
      <c r="CC188" s="228">
        <v>546</v>
      </c>
      <c r="CD188" s="228">
        <v>554</v>
      </c>
      <c r="CE188" s="228">
        <v>-8</v>
      </c>
      <c r="CF188" s="229">
        <v>-1.3899999999999999E-2</v>
      </c>
      <c r="CG188" s="228">
        <v>16</v>
      </c>
      <c r="CH188" s="228">
        <v>12</v>
      </c>
      <c r="CI188" s="228">
        <v>4</v>
      </c>
      <c r="CJ188" s="229">
        <v>0.38059999999999999</v>
      </c>
      <c r="CK188" s="228">
        <v>1</v>
      </c>
      <c r="CL188" s="228">
        <v>1</v>
      </c>
      <c r="CM188" s="228">
        <v>0</v>
      </c>
      <c r="CN188" s="229">
        <v>-9.0899999999999995E-2</v>
      </c>
      <c r="CO188" s="228">
        <v>177</v>
      </c>
      <c r="CP188" s="228">
        <v>177</v>
      </c>
      <c r="CQ188" s="228">
        <v>0</v>
      </c>
      <c r="CR188" s="229">
        <v>8.0000000000000004E-4</v>
      </c>
      <c r="CS188" s="228">
        <v>88</v>
      </c>
      <c r="CT188" s="228">
        <v>78</v>
      </c>
      <c r="CU188" s="228">
        <v>10</v>
      </c>
      <c r="CV188" s="229">
        <v>0.13109999999999999</v>
      </c>
      <c r="CW188" s="228">
        <v>828</v>
      </c>
      <c r="CX188" s="228">
        <v>821</v>
      </c>
      <c r="CY188" s="228">
        <v>7</v>
      </c>
      <c r="CZ188" s="229">
        <v>8.5000000000000006E-3</v>
      </c>
      <c r="DA188" s="228">
        <v>31.44</v>
      </c>
      <c r="DB188" s="228">
        <v>33.56</v>
      </c>
      <c r="DC188" s="228">
        <v>-2.12</v>
      </c>
      <c r="DD188" s="228">
        <v>-2.12</v>
      </c>
      <c r="DE188" s="228">
        <v>41.42</v>
      </c>
      <c r="DF188" s="228">
        <v>41.5</v>
      </c>
      <c r="DG188" s="228">
        <v>-9.98</v>
      </c>
      <c r="DH188" s="228">
        <v>-0.08</v>
      </c>
      <c r="DI188" s="228">
        <v>31.29</v>
      </c>
      <c r="DJ188" s="228">
        <v>33.799999999999997</v>
      </c>
      <c r="DK188" s="228">
        <v>-2.5099999999999998</v>
      </c>
      <c r="DL188" s="228">
        <v>-2.5099999999999998</v>
      </c>
      <c r="DM188" s="228">
        <v>31.83</v>
      </c>
      <c r="DN188" s="228">
        <v>32.450000000000003</v>
      </c>
      <c r="DO188" s="228">
        <v>-0.62</v>
      </c>
      <c r="DP188" s="228">
        <v>-0.62</v>
      </c>
      <c r="DQ188" s="228">
        <v>0.5</v>
      </c>
      <c r="DR188" s="228">
        <v>0.44</v>
      </c>
      <c r="DS188" s="228">
        <v>0.06</v>
      </c>
      <c r="DT188" s="229">
        <v>0.13639999999999999</v>
      </c>
      <c r="DU188" s="231">
        <v>4500</v>
      </c>
      <c r="DV188" s="231">
        <v>4200</v>
      </c>
      <c r="DW188" s="228">
        <v>0.37</v>
      </c>
      <c r="DX188" s="228">
        <v>0.22</v>
      </c>
      <c r="DY188" s="228">
        <v>0.15</v>
      </c>
      <c r="DZ188" s="229">
        <v>0.68179999999999996</v>
      </c>
      <c r="EA188" s="229">
        <v>2.9700000000000001E-2</v>
      </c>
      <c r="EB188" s="230">
        <v>29050</v>
      </c>
      <c r="EC188" s="229">
        <v>2.7000000000000001E-3</v>
      </c>
      <c r="ED188" s="229">
        <v>2.9700000000000001E-2</v>
      </c>
      <c r="EE188" s="228">
        <v>10.28</v>
      </c>
      <c r="EF188" s="229">
        <v>2.3999999999999998E-3</v>
      </c>
      <c r="EG188" s="230">
        <v>13677</v>
      </c>
      <c r="EH188" s="230">
        <v>40654</v>
      </c>
      <c r="EI188" s="229">
        <v>-0.66359999999999997</v>
      </c>
      <c r="EJ188" s="229">
        <v>0.45250000000000001</v>
      </c>
      <c r="EK188" s="228">
        <v>82.73</v>
      </c>
      <c r="EL188" s="228">
        <v>29.44</v>
      </c>
      <c r="EM188" s="228">
        <v>55.42</v>
      </c>
      <c r="EN188" s="228">
        <v>10.57</v>
      </c>
      <c r="EO188" s="228">
        <v>167.6</v>
      </c>
      <c r="EP188" s="228">
        <v>236.67</v>
      </c>
      <c r="EQ188" s="228">
        <v>-69.069999999999993</v>
      </c>
      <c r="ER188" s="229">
        <v>-0.2918</v>
      </c>
      <c r="ES188" s="228">
        <v>185.41</v>
      </c>
      <c r="ET188" s="228">
        <v>86.34</v>
      </c>
      <c r="EU188" s="228">
        <v>562.77</v>
      </c>
      <c r="EV188" s="231">
        <v>7242074</v>
      </c>
      <c r="EW188" s="228">
        <v>834.52</v>
      </c>
      <c r="EX188" s="228">
        <v>822.18</v>
      </c>
      <c r="EY188" s="228">
        <v>12.34</v>
      </c>
      <c r="EZ188" s="229">
        <v>1.4999999999999999E-2</v>
      </c>
      <c r="FA188" s="229">
        <v>0.26850000000000002</v>
      </c>
      <c r="FB188" s="227" t="s">
        <v>556</v>
      </c>
      <c r="FC188">
        <f t="shared" si="3"/>
        <v>0</v>
      </c>
    </row>
    <row r="189" spans="1:159" ht="17.25" thickBot="1" x14ac:dyDescent="0.3">
      <c r="A189" s="226">
        <v>45946</v>
      </c>
      <c r="B189" s="227" t="s">
        <v>161</v>
      </c>
      <c r="C189" s="227" t="s">
        <v>685</v>
      </c>
      <c r="D189" s="228">
        <v>8000</v>
      </c>
      <c r="E189" s="228">
        <v>12</v>
      </c>
      <c r="F189" s="228">
        <v>53.83</v>
      </c>
      <c r="G189" s="228">
        <v>53.96</v>
      </c>
      <c r="H189" s="228">
        <v>-0.13</v>
      </c>
      <c r="I189" s="229">
        <v>-2.3999999999999998E-3</v>
      </c>
      <c r="J189" s="228">
        <v>53.61</v>
      </c>
      <c r="K189" s="228">
        <v>53.73</v>
      </c>
      <c r="L189" s="228">
        <v>-0.12</v>
      </c>
      <c r="M189" s="229">
        <v>-2.2000000000000001E-3</v>
      </c>
      <c r="N189" s="228">
        <v>53.83</v>
      </c>
      <c r="O189" s="228">
        <v>53.96</v>
      </c>
      <c r="P189" s="228">
        <v>-0.13</v>
      </c>
      <c r="Q189" s="229">
        <v>-2.3999999999999998E-3</v>
      </c>
      <c r="R189" s="228">
        <v>54.05</v>
      </c>
      <c r="S189" s="228">
        <v>54.21</v>
      </c>
      <c r="T189" s="228">
        <v>-0.16</v>
      </c>
      <c r="U189" s="229">
        <v>-3.0000000000000001E-3</v>
      </c>
      <c r="V189" s="228">
        <v>54.36</v>
      </c>
      <c r="W189" s="228">
        <v>54.57</v>
      </c>
      <c r="X189" s="228">
        <v>-0.21</v>
      </c>
      <c r="Y189" s="229">
        <v>-3.8E-3</v>
      </c>
      <c r="Z189" s="228">
        <v>0.22</v>
      </c>
      <c r="AA189" s="228">
        <v>0.23</v>
      </c>
      <c r="AB189" s="228">
        <v>-0.01</v>
      </c>
      <c r="AC189" s="229">
        <v>4.1000000000000003E-3</v>
      </c>
      <c r="AD189" s="228">
        <v>0.22</v>
      </c>
      <c r="AE189" s="228">
        <v>0.23</v>
      </c>
      <c r="AF189" s="228">
        <v>-0.01</v>
      </c>
      <c r="AG189" s="229">
        <v>4.1000000000000003E-3</v>
      </c>
      <c r="AH189" s="228">
        <v>0.44</v>
      </c>
      <c r="AI189" s="228">
        <v>0.48</v>
      </c>
      <c r="AJ189" s="228">
        <v>-0.04</v>
      </c>
      <c r="AK189" s="229">
        <v>8.2000000000000007E-3</v>
      </c>
      <c r="AL189" s="228">
        <v>0.75</v>
      </c>
      <c r="AM189" s="228">
        <v>0.84</v>
      </c>
      <c r="AN189" s="228">
        <v>-0.09</v>
      </c>
      <c r="AO189" s="229">
        <v>1.4E-2</v>
      </c>
      <c r="AP189" s="228">
        <v>53.86</v>
      </c>
      <c r="AQ189" s="228">
        <v>54.16</v>
      </c>
      <c r="AR189" s="228">
        <v>0</v>
      </c>
      <c r="AS189" s="228">
        <v>205</v>
      </c>
      <c r="AT189" s="228">
        <v>183</v>
      </c>
      <c r="AU189" s="228">
        <v>22</v>
      </c>
      <c r="AV189" s="229">
        <v>0.1196</v>
      </c>
      <c r="AW189" s="228">
        <v>169</v>
      </c>
      <c r="AX189" s="228">
        <v>144</v>
      </c>
      <c r="AY189" s="228">
        <v>25</v>
      </c>
      <c r="AZ189" s="229">
        <v>0.17080000000000001</v>
      </c>
      <c r="BA189" s="228">
        <v>33</v>
      </c>
      <c r="BB189" s="228">
        <v>37</v>
      </c>
      <c r="BC189" s="228">
        <v>-4</v>
      </c>
      <c r="BD189" s="229">
        <v>-0.1047</v>
      </c>
      <c r="BE189" s="228">
        <v>3</v>
      </c>
      <c r="BF189" s="228">
        <v>2</v>
      </c>
      <c r="BG189" s="228">
        <v>1</v>
      </c>
      <c r="BH189" s="229">
        <v>0.47270000000000001</v>
      </c>
      <c r="BI189" s="228">
        <v>365</v>
      </c>
      <c r="BJ189" s="228">
        <v>306</v>
      </c>
      <c r="BK189" s="228">
        <v>59</v>
      </c>
      <c r="BL189" s="229">
        <v>0.19309999999999999</v>
      </c>
      <c r="BM189" s="228">
        <v>44</v>
      </c>
      <c r="BN189" s="228">
        <v>82</v>
      </c>
      <c r="BO189" s="228">
        <v>-38</v>
      </c>
      <c r="BP189" s="229">
        <v>-0.46250000000000002</v>
      </c>
      <c r="BQ189" s="228">
        <v>614</v>
      </c>
      <c r="BR189" s="228">
        <v>571</v>
      </c>
      <c r="BS189" s="228">
        <v>43</v>
      </c>
      <c r="BT189" s="229">
        <v>7.51E-2</v>
      </c>
      <c r="BU189" s="230">
        <v>52794097</v>
      </c>
      <c r="BV189" s="230">
        <v>63700341</v>
      </c>
      <c r="BW189" s="230">
        <v>-10906244</v>
      </c>
      <c r="BX189" s="229">
        <v>-0.17119999999999999</v>
      </c>
      <c r="BY189" s="230">
        <v>1234</v>
      </c>
      <c r="BZ189" s="230">
        <v>1147</v>
      </c>
      <c r="CA189" s="228">
        <v>87</v>
      </c>
      <c r="CB189" s="229">
        <v>7.5800000000000006E-2</v>
      </c>
      <c r="CC189" s="230">
        <v>1078</v>
      </c>
      <c r="CD189" s="230">
        <v>1007</v>
      </c>
      <c r="CE189" s="228">
        <v>71</v>
      </c>
      <c r="CF189" s="229">
        <v>7.0499999999999993E-2</v>
      </c>
      <c r="CG189" s="228">
        <v>140</v>
      </c>
      <c r="CH189" s="228">
        <v>127</v>
      </c>
      <c r="CI189" s="228">
        <v>14</v>
      </c>
      <c r="CJ189" s="229">
        <v>0.1077</v>
      </c>
      <c r="CK189" s="228">
        <v>16</v>
      </c>
      <c r="CL189" s="228">
        <v>13</v>
      </c>
      <c r="CM189" s="228">
        <v>2</v>
      </c>
      <c r="CN189" s="229">
        <v>0.17949999999999999</v>
      </c>
      <c r="CO189" s="228">
        <v>915</v>
      </c>
      <c r="CP189" s="228">
        <v>857</v>
      </c>
      <c r="CQ189" s="228">
        <v>58</v>
      </c>
      <c r="CR189" s="229">
        <v>6.7799999999999999E-2</v>
      </c>
      <c r="CS189" s="228">
        <v>404</v>
      </c>
      <c r="CT189" s="228">
        <v>397</v>
      </c>
      <c r="CU189" s="228">
        <v>7</v>
      </c>
      <c r="CV189" s="229">
        <v>1.7600000000000001E-2</v>
      </c>
      <c r="CW189" s="230">
        <v>2554</v>
      </c>
      <c r="CX189" s="230">
        <v>2401</v>
      </c>
      <c r="CY189" s="228">
        <v>152</v>
      </c>
      <c r="CZ189" s="229">
        <v>6.3299999999999995E-2</v>
      </c>
      <c r="DA189" s="228">
        <v>33.9</v>
      </c>
      <c r="DB189" s="228">
        <v>33.119999999999997</v>
      </c>
      <c r="DC189" s="228">
        <v>0.78</v>
      </c>
      <c r="DD189" s="228">
        <v>0.78</v>
      </c>
      <c r="DE189" s="228">
        <v>50.53</v>
      </c>
      <c r="DF189" s="228">
        <v>50.65</v>
      </c>
      <c r="DG189" s="228">
        <v>-16.63</v>
      </c>
      <c r="DH189" s="228">
        <v>-0.12</v>
      </c>
      <c r="DI189" s="228">
        <v>34.130000000000003</v>
      </c>
      <c r="DJ189" s="228">
        <v>34.08</v>
      </c>
      <c r="DK189" s="228">
        <v>0.05</v>
      </c>
      <c r="DL189" s="228">
        <v>0.05</v>
      </c>
      <c r="DM189" s="228">
        <v>32</v>
      </c>
      <c r="DN189" s="228">
        <v>29.58</v>
      </c>
      <c r="DO189" s="228">
        <v>2.42</v>
      </c>
      <c r="DP189" s="228">
        <v>2.42</v>
      </c>
      <c r="DQ189" s="228">
        <v>0.44</v>
      </c>
      <c r="DR189" s="228">
        <v>0.46</v>
      </c>
      <c r="DS189" s="228">
        <v>-0.02</v>
      </c>
      <c r="DT189" s="229">
        <v>-4.3499999999999997E-2</v>
      </c>
      <c r="DU189" s="228">
        <v>60</v>
      </c>
      <c r="DV189" s="228">
        <v>56</v>
      </c>
      <c r="DW189" s="228">
        <v>0.12</v>
      </c>
      <c r="DX189" s="228">
        <v>0.27</v>
      </c>
      <c r="DY189" s="228">
        <v>-0.15</v>
      </c>
      <c r="DZ189" s="229">
        <v>-0.55559999999999998</v>
      </c>
      <c r="EA189" s="229">
        <v>0.12659999999999999</v>
      </c>
      <c r="EB189" s="230">
        <v>26040000</v>
      </c>
      <c r="EC189" s="229">
        <v>4.1000000000000003E-3</v>
      </c>
      <c r="ED189" s="229">
        <v>0.12659999999999999</v>
      </c>
      <c r="EE189" s="228">
        <v>0.3</v>
      </c>
      <c r="EF189" s="229">
        <v>5.5999999999999999E-3</v>
      </c>
      <c r="EG189" s="230">
        <v>34659323</v>
      </c>
      <c r="EH189" s="230">
        <v>38895006</v>
      </c>
      <c r="EI189" s="229">
        <v>-0.1089</v>
      </c>
      <c r="EJ189" s="229">
        <v>0.65649999999999997</v>
      </c>
      <c r="EK189" s="228">
        <v>390.14</v>
      </c>
      <c r="EL189" s="228">
        <v>43.83</v>
      </c>
      <c r="EM189" s="228">
        <v>205.15</v>
      </c>
      <c r="EN189" s="228">
        <v>37.01</v>
      </c>
      <c r="EO189" s="228">
        <v>639.12</v>
      </c>
      <c r="EP189" s="228">
        <v>594.22</v>
      </c>
      <c r="EQ189" s="228">
        <v>44.9</v>
      </c>
      <c r="ER189" s="229">
        <v>7.5600000000000001E-2</v>
      </c>
      <c r="ES189" s="228">
        <v>995.7</v>
      </c>
      <c r="ET189" s="228">
        <v>412.09</v>
      </c>
      <c r="EU189" s="231">
        <v>1235.2</v>
      </c>
      <c r="EV189" s="231">
        <v>1813533848</v>
      </c>
      <c r="EW189" s="231">
        <v>2642.99</v>
      </c>
      <c r="EX189" s="231">
        <v>2491.0100000000002</v>
      </c>
      <c r="EY189" s="228">
        <v>151.97999999999999</v>
      </c>
      <c r="EZ189" s="229">
        <v>6.0999999999999999E-2</v>
      </c>
      <c r="FA189" s="229">
        <v>0.2616</v>
      </c>
      <c r="FB189" s="227" t="s">
        <v>567</v>
      </c>
      <c r="FC189">
        <f t="shared" si="3"/>
        <v>0</v>
      </c>
    </row>
    <row r="190" spans="1:159" ht="17.25" thickBot="1" x14ac:dyDescent="0.3">
      <c r="A190" s="226">
        <v>45946</v>
      </c>
      <c r="B190" s="227" t="s">
        <v>170</v>
      </c>
      <c r="C190" s="227" t="s">
        <v>520</v>
      </c>
      <c r="D190" s="228">
        <v>1000</v>
      </c>
      <c r="E190" s="228">
        <v>12</v>
      </c>
      <c r="F190" s="228">
        <v>641.85</v>
      </c>
      <c r="G190" s="228">
        <v>630.04999999999995</v>
      </c>
      <c r="H190" s="228">
        <v>11.8</v>
      </c>
      <c r="I190" s="229">
        <v>1.8700000000000001E-2</v>
      </c>
      <c r="J190" s="228">
        <v>640.4</v>
      </c>
      <c r="K190" s="228">
        <v>628.1</v>
      </c>
      <c r="L190" s="228">
        <v>12.3</v>
      </c>
      <c r="M190" s="229">
        <v>1.9599999999999999E-2</v>
      </c>
      <c r="N190" s="228">
        <v>641.85</v>
      </c>
      <c r="O190" s="228">
        <v>630.04999999999995</v>
      </c>
      <c r="P190" s="228">
        <v>11.8</v>
      </c>
      <c r="Q190" s="229">
        <v>1.8700000000000001E-2</v>
      </c>
      <c r="R190" s="228">
        <v>645.54999999999995</v>
      </c>
      <c r="S190" s="228">
        <v>633.35</v>
      </c>
      <c r="T190" s="228">
        <v>12.2</v>
      </c>
      <c r="U190" s="229">
        <v>1.9300000000000001E-2</v>
      </c>
      <c r="V190" s="228">
        <v>649.70000000000005</v>
      </c>
      <c r="W190" s="228">
        <v>637.1</v>
      </c>
      <c r="X190" s="228">
        <v>12.6</v>
      </c>
      <c r="Y190" s="229">
        <v>1.9800000000000002E-2</v>
      </c>
      <c r="Z190" s="228">
        <v>1.45</v>
      </c>
      <c r="AA190" s="228">
        <v>1.95</v>
      </c>
      <c r="AB190" s="228">
        <v>-0.5</v>
      </c>
      <c r="AC190" s="229">
        <v>2.3E-3</v>
      </c>
      <c r="AD190" s="228">
        <v>1.45</v>
      </c>
      <c r="AE190" s="228">
        <v>1.95</v>
      </c>
      <c r="AF190" s="228">
        <v>-0.5</v>
      </c>
      <c r="AG190" s="229">
        <v>2.3E-3</v>
      </c>
      <c r="AH190" s="228">
        <v>5.15</v>
      </c>
      <c r="AI190" s="228">
        <v>5.25</v>
      </c>
      <c r="AJ190" s="228">
        <v>-0.1</v>
      </c>
      <c r="AK190" s="229">
        <v>8.0000000000000002E-3</v>
      </c>
      <c r="AL190" s="228">
        <v>9.3000000000000007</v>
      </c>
      <c r="AM190" s="228">
        <v>9</v>
      </c>
      <c r="AN190" s="228">
        <v>0.3</v>
      </c>
      <c r="AO190" s="229">
        <v>1.4500000000000001E-2</v>
      </c>
      <c r="AP190" s="228">
        <v>642.71</v>
      </c>
      <c r="AQ190" s="228">
        <v>645.26</v>
      </c>
      <c r="AR190" s="228">
        <v>0</v>
      </c>
      <c r="AS190" s="228">
        <v>203</v>
      </c>
      <c r="AT190" s="228">
        <v>107</v>
      </c>
      <c r="AU190" s="228">
        <v>96</v>
      </c>
      <c r="AV190" s="229">
        <v>0.89219999999999999</v>
      </c>
      <c r="AW190" s="228">
        <v>178</v>
      </c>
      <c r="AX190" s="228">
        <v>80</v>
      </c>
      <c r="AY190" s="228">
        <v>98</v>
      </c>
      <c r="AZ190" s="229">
        <v>1.2179</v>
      </c>
      <c r="BA190" s="228">
        <v>22</v>
      </c>
      <c r="BB190" s="228">
        <v>26</v>
      </c>
      <c r="BC190" s="228">
        <v>-4</v>
      </c>
      <c r="BD190" s="229">
        <v>-0.15440000000000001</v>
      </c>
      <c r="BE190" s="228">
        <v>3</v>
      </c>
      <c r="BF190" s="228">
        <v>1</v>
      </c>
      <c r="BG190" s="228">
        <v>2</v>
      </c>
      <c r="BH190" s="229">
        <v>2.4615</v>
      </c>
      <c r="BI190" s="228">
        <v>415</v>
      </c>
      <c r="BJ190" s="228">
        <v>152</v>
      </c>
      <c r="BK190" s="228">
        <v>263</v>
      </c>
      <c r="BL190" s="229">
        <v>1.7304999999999999</v>
      </c>
      <c r="BM190" s="228">
        <v>191</v>
      </c>
      <c r="BN190" s="228">
        <v>64</v>
      </c>
      <c r="BO190" s="228">
        <v>127</v>
      </c>
      <c r="BP190" s="229">
        <v>1.9870000000000001</v>
      </c>
      <c r="BQ190" s="228">
        <v>809</v>
      </c>
      <c r="BR190" s="228">
        <v>323</v>
      </c>
      <c r="BS190" s="228">
        <v>486</v>
      </c>
      <c r="BT190" s="229">
        <v>1.5033000000000001</v>
      </c>
      <c r="BU190" s="230">
        <v>839463</v>
      </c>
      <c r="BV190" s="230">
        <v>664320</v>
      </c>
      <c r="BW190" s="230">
        <v>175143</v>
      </c>
      <c r="BX190" s="229">
        <v>0.2636</v>
      </c>
      <c r="BY190" s="228">
        <v>639</v>
      </c>
      <c r="BZ190" s="228">
        <v>693</v>
      </c>
      <c r="CA190" s="228">
        <v>-54</v>
      </c>
      <c r="CB190" s="229">
        <v>-7.8299999999999995E-2</v>
      </c>
      <c r="CC190" s="228">
        <v>595</v>
      </c>
      <c r="CD190" s="228">
        <v>646</v>
      </c>
      <c r="CE190" s="228">
        <v>-51</v>
      </c>
      <c r="CF190" s="229">
        <v>-7.8600000000000003E-2</v>
      </c>
      <c r="CG190" s="228">
        <v>41</v>
      </c>
      <c r="CH190" s="228">
        <v>42</v>
      </c>
      <c r="CI190" s="228">
        <v>-2</v>
      </c>
      <c r="CJ190" s="229">
        <v>-3.8100000000000002E-2</v>
      </c>
      <c r="CK190" s="228">
        <v>3</v>
      </c>
      <c r="CL190" s="228">
        <v>5</v>
      </c>
      <c r="CM190" s="228">
        <v>-2</v>
      </c>
      <c r="CN190" s="229">
        <v>-0.37180000000000002</v>
      </c>
      <c r="CO190" s="228">
        <v>201</v>
      </c>
      <c r="CP190" s="228">
        <v>237</v>
      </c>
      <c r="CQ190" s="228">
        <v>-36</v>
      </c>
      <c r="CR190" s="229">
        <v>-0.1522</v>
      </c>
      <c r="CS190" s="228">
        <v>123</v>
      </c>
      <c r="CT190" s="228">
        <v>138</v>
      </c>
      <c r="CU190" s="228">
        <v>-14</v>
      </c>
      <c r="CV190" s="229">
        <v>-0.10299999999999999</v>
      </c>
      <c r="CW190" s="228">
        <v>964</v>
      </c>
      <c r="CX190" s="230">
        <v>1068</v>
      </c>
      <c r="CY190" s="228">
        <v>-105</v>
      </c>
      <c r="CZ190" s="229">
        <v>-9.7900000000000001E-2</v>
      </c>
      <c r="DA190" s="228">
        <v>26.48</v>
      </c>
      <c r="DB190" s="228">
        <v>28.28</v>
      </c>
      <c r="DC190" s="228">
        <v>-1.8</v>
      </c>
      <c r="DD190" s="228">
        <v>-1.8</v>
      </c>
      <c r="DE190" s="228">
        <v>33.4</v>
      </c>
      <c r="DF190" s="228">
        <v>33.39</v>
      </c>
      <c r="DG190" s="228">
        <v>-6.92</v>
      </c>
      <c r="DH190" s="228">
        <v>0.01</v>
      </c>
      <c r="DI190" s="228">
        <v>26.19</v>
      </c>
      <c r="DJ190" s="228">
        <v>28.25</v>
      </c>
      <c r="DK190" s="228">
        <v>-2.06</v>
      </c>
      <c r="DL190" s="228">
        <v>-2.06</v>
      </c>
      <c r="DM190" s="228">
        <v>27.13</v>
      </c>
      <c r="DN190" s="228">
        <v>28.37</v>
      </c>
      <c r="DO190" s="228">
        <v>-1.24</v>
      </c>
      <c r="DP190" s="228">
        <v>-1.24</v>
      </c>
      <c r="DQ190" s="228">
        <v>0.61</v>
      </c>
      <c r="DR190" s="228">
        <v>0.57999999999999996</v>
      </c>
      <c r="DS190" s="228">
        <v>0.03</v>
      </c>
      <c r="DT190" s="229">
        <v>5.1700000000000003E-2</v>
      </c>
      <c r="DU190" s="228">
        <v>640</v>
      </c>
      <c r="DV190" s="228">
        <v>630</v>
      </c>
      <c r="DW190" s="228">
        <v>0.46</v>
      </c>
      <c r="DX190" s="228">
        <v>0.42</v>
      </c>
      <c r="DY190" s="228">
        <v>0.04</v>
      </c>
      <c r="DZ190" s="229">
        <v>9.5200000000000007E-2</v>
      </c>
      <c r="EA190" s="229">
        <v>6.8400000000000002E-2</v>
      </c>
      <c r="EB190" s="230">
        <v>735000</v>
      </c>
      <c r="EC190" s="229">
        <v>5.7999999999999996E-3</v>
      </c>
      <c r="ED190" s="229">
        <v>6.8400000000000002E-2</v>
      </c>
      <c r="EE190" s="228">
        <v>2.5499999999999998</v>
      </c>
      <c r="EF190" s="229">
        <v>4.0000000000000001E-3</v>
      </c>
      <c r="EG190" s="230">
        <v>420666</v>
      </c>
      <c r="EH190" s="230">
        <v>417416</v>
      </c>
      <c r="EI190" s="229">
        <v>7.7999999999999996E-3</v>
      </c>
      <c r="EJ190" s="229">
        <v>0.50109999999999999</v>
      </c>
      <c r="EK190" s="228">
        <v>426.27</v>
      </c>
      <c r="EL190" s="228">
        <v>188.93</v>
      </c>
      <c r="EM190" s="228">
        <v>203.08</v>
      </c>
      <c r="EN190" s="228">
        <v>23.26</v>
      </c>
      <c r="EO190" s="228">
        <v>818.27</v>
      </c>
      <c r="EP190" s="228">
        <v>323.55</v>
      </c>
      <c r="EQ190" s="228">
        <v>494.72</v>
      </c>
      <c r="ER190" s="229">
        <v>1.5289999999999999</v>
      </c>
      <c r="ES190" s="228">
        <v>206.84</v>
      </c>
      <c r="ET190" s="228">
        <v>120.64</v>
      </c>
      <c r="EU190" s="228">
        <v>638.98</v>
      </c>
      <c r="EV190" s="231">
        <v>28408333</v>
      </c>
      <c r="EW190" s="228">
        <v>966.46</v>
      </c>
      <c r="EX190" s="231">
        <v>1057.98</v>
      </c>
      <c r="EY190" s="228">
        <v>-91.52</v>
      </c>
      <c r="EZ190" s="229">
        <v>-8.6499999999999994E-2</v>
      </c>
      <c r="FA190" s="229">
        <v>0.52839999999999998</v>
      </c>
      <c r="FB190" s="227" t="s">
        <v>556</v>
      </c>
      <c r="FC190">
        <f t="shared" si="3"/>
        <v>0</v>
      </c>
    </row>
    <row r="191" spans="1:159" ht="17.25" thickBot="1" x14ac:dyDescent="0.3">
      <c r="A191" s="226">
        <v>45946</v>
      </c>
      <c r="B191" s="227" t="s">
        <v>168</v>
      </c>
      <c r="C191" s="227" t="s">
        <v>291</v>
      </c>
      <c r="D191" s="228">
        <v>550</v>
      </c>
      <c r="E191" s="228">
        <v>12</v>
      </c>
      <c r="F191" s="231">
        <v>1151.2</v>
      </c>
      <c r="G191" s="231">
        <v>1119</v>
      </c>
      <c r="H191" s="228">
        <v>32.200000000000003</v>
      </c>
      <c r="I191" s="229">
        <v>2.8799999999999999E-2</v>
      </c>
      <c r="J191" s="231">
        <v>1149.3</v>
      </c>
      <c r="K191" s="231">
        <v>1114.2</v>
      </c>
      <c r="L191" s="228">
        <v>35.1</v>
      </c>
      <c r="M191" s="229">
        <v>3.15E-2</v>
      </c>
      <c r="N191" s="231">
        <v>1151.2</v>
      </c>
      <c r="O191" s="231">
        <v>1119</v>
      </c>
      <c r="P191" s="228">
        <v>32.200000000000003</v>
      </c>
      <c r="Q191" s="229">
        <v>2.8799999999999999E-2</v>
      </c>
      <c r="R191" s="231">
        <v>1157.3</v>
      </c>
      <c r="S191" s="231">
        <v>1124.8</v>
      </c>
      <c r="T191" s="228">
        <v>32.5</v>
      </c>
      <c r="U191" s="229">
        <v>2.8899999999999999E-2</v>
      </c>
      <c r="V191" s="231">
        <v>1164.5</v>
      </c>
      <c r="W191" s="231">
        <v>1137.5999999999999</v>
      </c>
      <c r="X191" s="228">
        <v>26.9</v>
      </c>
      <c r="Y191" s="229">
        <v>2.3599999999999999E-2</v>
      </c>
      <c r="Z191" s="228">
        <v>1.9</v>
      </c>
      <c r="AA191" s="228">
        <v>4.8</v>
      </c>
      <c r="AB191" s="228">
        <v>-2.9</v>
      </c>
      <c r="AC191" s="229">
        <v>1.6999999999999999E-3</v>
      </c>
      <c r="AD191" s="228">
        <v>1.9</v>
      </c>
      <c r="AE191" s="228">
        <v>4.8</v>
      </c>
      <c r="AF191" s="228">
        <v>-2.9</v>
      </c>
      <c r="AG191" s="229">
        <v>1.6999999999999999E-3</v>
      </c>
      <c r="AH191" s="228">
        <v>8</v>
      </c>
      <c r="AI191" s="228">
        <v>10.6</v>
      </c>
      <c r="AJ191" s="228">
        <v>-2.6</v>
      </c>
      <c r="AK191" s="229">
        <v>7.0000000000000001E-3</v>
      </c>
      <c r="AL191" s="228">
        <v>15.2</v>
      </c>
      <c r="AM191" s="228">
        <v>23.4</v>
      </c>
      <c r="AN191" s="228">
        <v>-8.1999999999999993</v>
      </c>
      <c r="AO191" s="229">
        <v>1.32E-2</v>
      </c>
      <c r="AP191" s="231">
        <v>1135.32</v>
      </c>
      <c r="AQ191" s="231">
        <v>1140.76</v>
      </c>
      <c r="AR191" s="228">
        <v>0</v>
      </c>
      <c r="AS191" s="228">
        <v>404</v>
      </c>
      <c r="AT191" s="228">
        <v>159</v>
      </c>
      <c r="AU191" s="228">
        <v>245</v>
      </c>
      <c r="AV191" s="229">
        <v>1.5470999999999999</v>
      </c>
      <c r="AW191" s="228">
        <v>369</v>
      </c>
      <c r="AX191" s="228">
        <v>136</v>
      </c>
      <c r="AY191" s="228">
        <v>233</v>
      </c>
      <c r="AZ191" s="229">
        <v>1.71</v>
      </c>
      <c r="BA191" s="228">
        <v>35</v>
      </c>
      <c r="BB191" s="228">
        <v>22</v>
      </c>
      <c r="BC191" s="228">
        <v>13</v>
      </c>
      <c r="BD191" s="229">
        <v>0.58689999999999998</v>
      </c>
      <c r="BE191" s="228">
        <v>0</v>
      </c>
      <c r="BF191" s="228">
        <v>0</v>
      </c>
      <c r="BG191" s="228">
        <v>0</v>
      </c>
      <c r="BH191" s="229">
        <v>-0.28570000000000001</v>
      </c>
      <c r="BI191" s="230">
        <v>1493</v>
      </c>
      <c r="BJ191" s="228">
        <v>468</v>
      </c>
      <c r="BK191" s="230">
        <v>1025</v>
      </c>
      <c r="BL191" s="229">
        <v>2.1888000000000001</v>
      </c>
      <c r="BM191" s="228">
        <v>619</v>
      </c>
      <c r="BN191" s="228">
        <v>176</v>
      </c>
      <c r="BO191" s="228">
        <v>442</v>
      </c>
      <c r="BP191" s="229">
        <v>2.5091999999999999</v>
      </c>
      <c r="BQ191" s="230">
        <v>2516</v>
      </c>
      <c r="BR191" s="228">
        <v>803</v>
      </c>
      <c r="BS191" s="230">
        <v>1713</v>
      </c>
      <c r="BT191" s="229">
        <v>2.1324000000000001</v>
      </c>
      <c r="BU191" s="230">
        <v>2420139</v>
      </c>
      <c r="BV191" s="230">
        <v>1335722</v>
      </c>
      <c r="BW191" s="230">
        <v>1084417</v>
      </c>
      <c r="BX191" s="229">
        <v>0.81189999999999996</v>
      </c>
      <c r="BY191" s="230">
        <v>1981</v>
      </c>
      <c r="BZ191" s="230">
        <v>1961</v>
      </c>
      <c r="CA191" s="228">
        <v>20</v>
      </c>
      <c r="CB191" s="229">
        <v>1.03E-2</v>
      </c>
      <c r="CC191" s="230">
        <v>1938</v>
      </c>
      <c r="CD191" s="230">
        <v>1924</v>
      </c>
      <c r="CE191" s="228">
        <v>14</v>
      </c>
      <c r="CF191" s="229">
        <v>7.3000000000000001E-3</v>
      </c>
      <c r="CG191" s="228">
        <v>40</v>
      </c>
      <c r="CH191" s="228">
        <v>34</v>
      </c>
      <c r="CI191" s="228">
        <v>6</v>
      </c>
      <c r="CJ191" s="229">
        <v>0.18029999999999999</v>
      </c>
      <c r="CK191" s="228">
        <v>3</v>
      </c>
      <c r="CL191" s="228">
        <v>3</v>
      </c>
      <c r="CM191" s="228">
        <v>0</v>
      </c>
      <c r="CN191" s="229">
        <v>-0.02</v>
      </c>
      <c r="CO191" s="228">
        <v>439</v>
      </c>
      <c r="CP191" s="228">
        <v>439</v>
      </c>
      <c r="CQ191" s="228">
        <v>0</v>
      </c>
      <c r="CR191" s="229">
        <v>-1E-4</v>
      </c>
      <c r="CS191" s="228">
        <v>229</v>
      </c>
      <c r="CT191" s="228">
        <v>175</v>
      </c>
      <c r="CU191" s="228">
        <v>53</v>
      </c>
      <c r="CV191" s="229">
        <v>0.30459999999999998</v>
      </c>
      <c r="CW191" s="230">
        <v>2649</v>
      </c>
      <c r="CX191" s="230">
        <v>2576</v>
      </c>
      <c r="CY191" s="228">
        <v>74</v>
      </c>
      <c r="CZ191" s="229">
        <v>2.8500000000000001E-2</v>
      </c>
      <c r="DA191" s="228">
        <v>25.23</v>
      </c>
      <c r="DB191" s="228">
        <v>24.36</v>
      </c>
      <c r="DC191" s="228">
        <v>0.87</v>
      </c>
      <c r="DD191" s="228">
        <v>0.87</v>
      </c>
      <c r="DE191" s="228">
        <v>26.99</v>
      </c>
      <c r="DF191" s="228">
        <v>26.73</v>
      </c>
      <c r="DG191" s="228">
        <v>-1.76</v>
      </c>
      <c r="DH191" s="228">
        <v>0.26</v>
      </c>
      <c r="DI191" s="228">
        <v>25.01</v>
      </c>
      <c r="DJ191" s="228">
        <v>24.6</v>
      </c>
      <c r="DK191" s="228">
        <v>0.41</v>
      </c>
      <c r="DL191" s="228">
        <v>0.41</v>
      </c>
      <c r="DM191" s="228">
        <v>25.75</v>
      </c>
      <c r="DN191" s="228">
        <v>23.7</v>
      </c>
      <c r="DO191" s="228">
        <v>2.0499999999999998</v>
      </c>
      <c r="DP191" s="228">
        <v>2.0499999999999998</v>
      </c>
      <c r="DQ191" s="228">
        <v>0.52</v>
      </c>
      <c r="DR191" s="228">
        <v>0.4</v>
      </c>
      <c r="DS191" s="228">
        <v>0.12</v>
      </c>
      <c r="DT191" s="229">
        <v>0.3</v>
      </c>
      <c r="DU191" s="231">
        <v>1150</v>
      </c>
      <c r="DV191" s="231">
        <v>1050</v>
      </c>
      <c r="DW191" s="228">
        <v>0.41</v>
      </c>
      <c r="DX191" s="228">
        <v>0.38</v>
      </c>
      <c r="DY191" s="228">
        <v>0.03</v>
      </c>
      <c r="DZ191" s="229">
        <v>7.8899999999999998E-2</v>
      </c>
      <c r="EA191" s="229">
        <v>2.1899999999999999E-2</v>
      </c>
      <c r="EB191" s="230">
        <v>323400</v>
      </c>
      <c r="EC191" s="229">
        <v>5.3E-3</v>
      </c>
      <c r="ED191" s="229">
        <v>2.1899999999999999E-2</v>
      </c>
      <c r="EE191" s="228">
        <v>5.44</v>
      </c>
      <c r="EF191" s="229">
        <v>4.7999999999999996E-3</v>
      </c>
      <c r="EG191" s="230">
        <v>1358433</v>
      </c>
      <c r="EH191" s="230">
        <v>940487</v>
      </c>
      <c r="EI191" s="229">
        <v>0.44440000000000002</v>
      </c>
      <c r="EJ191" s="229">
        <v>0.56130000000000002</v>
      </c>
      <c r="EK191" s="231">
        <v>1516.67</v>
      </c>
      <c r="EL191" s="228">
        <v>603.79</v>
      </c>
      <c r="EM191" s="228">
        <v>398.74</v>
      </c>
      <c r="EN191" s="228">
        <v>22.22</v>
      </c>
      <c r="EO191" s="231">
        <v>2519.21</v>
      </c>
      <c r="EP191" s="228">
        <v>798.58</v>
      </c>
      <c r="EQ191" s="231">
        <v>1720.63</v>
      </c>
      <c r="ER191" s="229">
        <v>2.1545999999999998</v>
      </c>
      <c r="ES191" s="228">
        <v>455.09</v>
      </c>
      <c r="ET191" s="228">
        <v>216.07</v>
      </c>
      <c r="EU191" s="231">
        <v>1981.72</v>
      </c>
      <c r="EV191" s="231">
        <v>65471528</v>
      </c>
      <c r="EW191" s="231">
        <v>2652.88</v>
      </c>
      <c r="EX191" s="231">
        <v>2525.4299999999998</v>
      </c>
      <c r="EY191" s="228">
        <v>127.45</v>
      </c>
      <c r="EZ191" s="229">
        <v>5.0500000000000003E-2</v>
      </c>
      <c r="FA191" s="229">
        <v>0.35149999999999998</v>
      </c>
      <c r="FB191" s="227" t="s">
        <v>555</v>
      </c>
      <c r="FC191">
        <f t="shared" si="3"/>
        <v>0</v>
      </c>
    </row>
    <row r="192" spans="1:159" ht="17.25" thickBot="1" x14ac:dyDescent="0.3">
      <c r="A192" s="226">
        <v>45946</v>
      </c>
      <c r="B192" s="227" t="s">
        <v>221</v>
      </c>
      <c r="C192" s="227" t="s">
        <v>604</v>
      </c>
      <c r="D192" s="228">
        <v>100</v>
      </c>
      <c r="E192" s="228">
        <v>12</v>
      </c>
      <c r="F192" s="231">
        <v>5396</v>
      </c>
      <c r="G192" s="231">
        <v>5353.5</v>
      </c>
      <c r="H192" s="228">
        <v>42.5</v>
      </c>
      <c r="I192" s="229">
        <v>7.9000000000000008E-3</v>
      </c>
      <c r="J192" s="231">
        <v>5403.5</v>
      </c>
      <c r="K192" s="231">
        <v>5367.5</v>
      </c>
      <c r="L192" s="228">
        <v>36</v>
      </c>
      <c r="M192" s="229">
        <v>6.7000000000000002E-3</v>
      </c>
      <c r="N192" s="231">
        <v>5396</v>
      </c>
      <c r="O192" s="231">
        <v>5353.5</v>
      </c>
      <c r="P192" s="228">
        <v>42.5</v>
      </c>
      <c r="Q192" s="229">
        <v>7.9000000000000008E-3</v>
      </c>
      <c r="R192" s="231">
        <v>5347.5</v>
      </c>
      <c r="S192" s="231">
        <v>5307.5</v>
      </c>
      <c r="T192" s="228">
        <v>40</v>
      </c>
      <c r="U192" s="229">
        <v>7.4999999999999997E-3</v>
      </c>
      <c r="V192" s="231">
        <v>5305</v>
      </c>
      <c r="W192" s="231">
        <v>5266</v>
      </c>
      <c r="X192" s="228">
        <v>39</v>
      </c>
      <c r="Y192" s="229">
        <v>7.4000000000000003E-3</v>
      </c>
      <c r="Z192" s="228">
        <v>-7.5</v>
      </c>
      <c r="AA192" s="228">
        <v>-14</v>
      </c>
      <c r="AB192" s="228">
        <v>6.5</v>
      </c>
      <c r="AC192" s="229">
        <v>-1.4E-3</v>
      </c>
      <c r="AD192" s="228">
        <v>-7.5</v>
      </c>
      <c r="AE192" s="228">
        <v>-14</v>
      </c>
      <c r="AF192" s="228">
        <v>6.5</v>
      </c>
      <c r="AG192" s="229">
        <v>-1.4E-3</v>
      </c>
      <c r="AH192" s="228">
        <v>-56</v>
      </c>
      <c r="AI192" s="228">
        <v>-60</v>
      </c>
      <c r="AJ192" s="228">
        <v>4</v>
      </c>
      <c r="AK192" s="229">
        <v>-1.04E-2</v>
      </c>
      <c r="AL192" s="228">
        <v>-98.5</v>
      </c>
      <c r="AM192" s="228">
        <v>-101.5</v>
      </c>
      <c r="AN192" s="228">
        <v>3</v>
      </c>
      <c r="AO192" s="229">
        <v>-1.8200000000000001E-2</v>
      </c>
      <c r="AP192" s="231">
        <v>5386.96</v>
      </c>
      <c r="AQ192" s="231">
        <v>5337.92</v>
      </c>
      <c r="AR192" s="228">
        <v>0</v>
      </c>
      <c r="AS192" s="228">
        <v>260</v>
      </c>
      <c r="AT192" s="228">
        <v>219</v>
      </c>
      <c r="AU192" s="228">
        <v>41</v>
      </c>
      <c r="AV192" s="229">
        <v>0.18790000000000001</v>
      </c>
      <c r="AW192" s="228">
        <v>171</v>
      </c>
      <c r="AX192" s="228">
        <v>151</v>
      </c>
      <c r="AY192" s="228">
        <v>21</v>
      </c>
      <c r="AZ192" s="229">
        <v>0.13589999999999999</v>
      </c>
      <c r="BA192" s="228">
        <v>85</v>
      </c>
      <c r="BB192" s="228">
        <v>66</v>
      </c>
      <c r="BC192" s="228">
        <v>20</v>
      </c>
      <c r="BD192" s="229">
        <v>0.30070000000000002</v>
      </c>
      <c r="BE192" s="228">
        <v>4</v>
      </c>
      <c r="BF192" s="228">
        <v>3</v>
      </c>
      <c r="BG192" s="228">
        <v>1</v>
      </c>
      <c r="BH192" s="229">
        <v>0.35289999999999999</v>
      </c>
      <c r="BI192" s="228">
        <v>631</v>
      </c>
      <c r="BJ192" s="228">
        <v>701</v>
      </c>
      <c r="BK192" s="228">
        <v>-70</v>
      </c>
      <c r="BL192" s="229">
        <v>-9.9599999999999994E-2</v>
      </c>
      <c r="BM192" s="228">
        <v>190</v>
      </c>
      <c r="BN192" s="228">
        <v>196</v>
      </c>
      <c r="BO192" s="228">
        <v>-6</v>
      </c>
      <c r="BP192" s="229">
        <v>-3.0800000000000001E-2</v>
      </c>
      <c r="BQ192" s="230">
        <v>1082</v>
      </c>
      <c r="BR192" s="230">
        <v>1117</v>
      </c>
      <c r="BS192" s="228">
        <v>-35</v>
      </c>
      <c r="BT192" s="229">
        <v>-3.1099999999999999E-2</v>
      </c>
      <c r="BU192" s="230">
        <v>129284</v>
      </c>
      <c r="BV192" s="230">
        <v>146966</v>
      </c>
      <c r="BW192" s="230">
        <v>-17682</v>
      </c>
      <c r="BX192" s="229">
        <v>-0.1203</v>
      </c>
      <c r="BY192" s="230">
        <v>2145</v>
      </c>
      <c r="BZ192" s="230">
        <v>2110</v>
      </c>
      <c r="CA192" s="228">
        <v>35</v>
      </c>
      <c r="CB192" s="229">
        <v>1.6500000000000001E-2</v>
      </c>
      <c r="CC192" s="230">
        <v>1686</v>
      </c>
      <c r="CD192" s="230">
        <v>1705</v>
      </c>
      <c r="CE192" s="228">
        <v>-19</v>
      </c>
      <c r="CF192" s="229">
        <v>-1.1299999999999999E-2</v>
      </c>
      <c r="CG192" s="228">
        <v>441</v>
      </c>
      <c r="CH192" s="228">
        <v>389</v>
      </c>
      <c r="CI192" s="228">
        <v>52</v>
      </c>
      <c r="CJ192" s="229">
        <v>0.1338</v>
      </c>
      <c r="CK192" s="228">
        <v>18</v>
      </c>
      <c r="CL192" s="228">
        <v>16</v>
      </c>
      <c r="CM192" s="228">
        <v>2</v>
      </c>
      <c r="CN192" s="229">
        <v>0.13</v>
      </c>
      <c r="CO192" s="228">
        <v>943</v>
      </c>
      <c r="CP192" s="230">
        <v>1039</v>
      </c>
      <c r="CQ192" s="228">
        <v>-96</v>
      </c>
      <c r="CR192" s="229">
        <v>-9.2799999999999994E-2</v>
      </c>
      <c r="CS192" s="228">
        <v>376</v>
      </c>
      <c r="CT192" s="228">
        <v>396</v>
      </c>
      <c r="CU192" s="228">
        <v>-20</v>
      </c>
      <c r="CV192" s="229">
        <v>-5.0900000000000001E-2</v>
      </c>
      <c r="CW192" s="230">
        <v>3463</v>
      </c>
      <c r="CX192" s="230">
        <v>3545</v>
      </c>
      <c r="CY192" s="228">
        <v>-82</v>
      </c>
      <c r="CZ192" s="229">
        <v>-2.3E-2</v>
      </c>
      <c r="DA192" s="228">
        <v>29.36</v>
      </c>
      <c r="DB192" s="228">
        <v>30.63</v>
      </c>
      <c r="DC192" s="228">
        <v>-1.27</v>
      </c>
      <c r="DD192" s="228">
        <v>-1.27</v>
      </c>
      <c r="DE192" s="228">
        <v>36.57</v>
      </c>
      <c r="DF192" s="228">
        <v>36.65</v>
      </c>
      <c r="DG192" s="228">
        <v>-7.21</v>
      </c>
      <c r="DH192" s="228">
        <v>-0.08</v>
      </c>
      <c r="DI192" s="228">
        <v>29.42</v>
      </c>
      <c r="DJ192" s="228">
        <v>31.03</v>
      </c>
      <c r="DK192" s="228">
        <v>-1.61</v>
      </c>
      <c r="DL192" s="228">
        <v>-1.61</v>
      </c>
      <c r="DM192" s="228">
        <v>29.16</v>
      </c>
      <c r="DN192" s="228">
        <v>29.22</v>
      </c>
      <c r="DO192" s="228">
        <v>-0.06</v>
      </c>
      <c r="DP192" s="228">
        <v>-0.06</v>
      </c>
      <c r="DQ192" s="228">
        <v>0.4</v>
      </c>
      <c r="DR192" s="228">
        <v>0.38</v>
      </c>
      <c r="DS192" s="228">
        <v>0.02</v>
      </c>
      <c r="DT192" s="229">
        <v>5.2600000000000001E-2</v>
      </c>
      <c r="DU192" s="231">
        <v>5500</v>
      </c>
      <c r="DV192" s="231">
        <v>5000</v>
      </c>
      <c r="DW192" s="228">
        <v>0.3</v>
      </c>
      <c r="DX192" s="228">
        <v>0.28000000000000003</v>
      </c>
      <c r="DY192" s="228">
        <v>0.02</v>
      </c>
      <c r="DZ192" s="229">
        <v>7.1400000000000005E-2</v>
      </c>
      <c r="EA192" s="229">
        <v>0.214</v>
      </c>
      <c r="EB192" s="230">
        <v>750500</v>
      </c>
      <c r="EC192" s="229">
        <v>-8.9999999999999993E-3</v>
      </c>
      <c r="ED192" s="229">
        <v>0.214</v>
      </c>
      <c r="EE192" s="228">
        <v>-49.04</v>
      </c>
      <c r="EF192" s="229">
        <v>-9.1000000000000004E-3</v>
      </c>
      <c r="EG192" s="230">
        <v>53733</v>
      </c>
      <c r="EH192" s="230">
        <v>60961</v>
      </c>
      <c r="EI192" s="229">
        <v>-0.1186</v>
      </c>
      <c r="EJ192" s="229">
        <v>0.41560000000000002</v>
      </c>
      <c r="EK192" s="228">
        <v>665.46</v>
      </c>
      <c r="EL192" s="228">
        <v>185.61</v>
      </c>
      <c r="EM192" s="228">
        <v>259.02999999999997</v>
      </c>
      <c r="EN192" s="228">
        <v>87.87</v>
      </c>
      <c r="EO192" s="231">
        <v>1110.1099999999999</v>
      </c>
      <c r="EP192" s="231">
        <v>1148.2</v>
      </c>
      <c r="EQ192" s="228">
        <v>-38.090000000000003</v>
      </c>
      <c r="ER192" s="229">
        <v>-3.32E-2</v>
      </c>
      <c r="ES192" s="231">
        <v>1000.77</v>
      </c>
      <c r="ET192" s="228">
        <v>363.75</v>
      </c>
      <c r="EU192" s="231">
        <v>2140.69</v>
      </c>
      <c r="EV192" s="231">
        <v>4309631</v>
      </c>
      <c r="EW192" s="231">
        <v>3505.21</v>
      </c>
      <c r="EX192" s="231">
        <v>3575.11</v>
      </c>
      <c r="EY192" s="228">
        <v>-69.900000000000006</v>
      </c>
      <c r="EZ192" s="229">
        <v>-1.9599999999999999E-2</v>
      </c>
      <c r="FA192" s="229">
        <v>1.4892000000000001</v>
      </c>
      <c r="FB192" s="227" t="s">
        <v>555</v>
      </c>
      <c r="FC192">
        <f t="shared" si="3"/>
        <v>0</v>
      </c>
    </row>
    <row r="193" spans="1:159" ht="17.25" thickBot="1" x14ac:dyDescent="0.3">
      <c r="A193" s="226">
        <v>45946</v>
      </c>
      <c r="B193" s="227" t="s">
        <v>162</v>
      </c>
      <c r="C193" s="227" t="s">
        <v>292</v>
      </c>
      <c r="D193" s="228">
        <v>800</v>
      </c>
      <c r="E193" s="228">
        <v>12</v>
      </c>
      <c r="F193" s="228">
        <v>396.6</v>
      </c>
      <c r="G193" s="228">
        <v>391.1</v>
      </c>
      <c r="H193" s="228">
        <v>5.5</v>
      </c>
      <c r="I193" s="229">
        <v>1.41E-2</v>
      </c>
      <c r="J193" s="228">
        <v>396.8</v>
      </c>
      <c r="K193" s="228">
        <v>390.85</v>
      </c>
      <c r="L193" s="228">
        <v>5.95</v>
      </c>
      <c r="M193" s="229">
        <v>1.52E-2</v>
      </c>
      <c r="N193" s="228">
        <v>396.6</v>
      </c>
      <c r="O193" s="228">
        <v>391.1</v>
      </c>
      <c r="P193" s="228">
        <v>5.5</v>
      </c>
      <c r="Q193" s="229">
        <v>1.41E-2</v>
      </c>
      <c r="R193" s="228">
        <v>399.1</v>
      </c>
      <c r="S193" s="228">
        <v>393</v>
      </c>
      <c r="T193" s="228">
        <v>6.1</v>
      </c>
      <c r="U193" s="229">
        <v>1.55E-2</v>
      </c>
      <c r="V193" s="228">
        <v>401.95</v>
      </c>
      <c r="W193" s="228">
        <v>395.85</v>
      </c>
      <c r="X193" s="228">
        <v>6.1</v>
      </c>
      <c r="Y193" s="229">
        <v>1.54E-2</v>
      </c>
      <c r="Z193" s="228">
        <v>-0.2</v>
      </c>
      <c r="AA193" s="228">
        <v>0.25</v>
      </c>
      <c r="AB193" s="228">
        <v>-0.45</v>
      </c>
      <c r="AC193" s="229">
        <v>-5.0000000000000001E-4</v>
      </c>
      <c r="AD193" s="228">
        <v>-0.2</v>
      </c>
      <c r="AE193" s="228">
        <v>0.25</v>
      </c>
      <c r="AF193" s="228">
        <v>-0.45</v>
      </c>
      <c r="AG193" s="229">
        <v>-5.0000000000000001E-4</v>
      </c>
      <c r="AH193" s="228">
        <v>2.2999999999999998</v>
      </c>
      <c r="AI193" s="228">
        <v>2.15</v>
      </c>
      <c r="AJ193" s="228">
        <v>0.15</v>
      </c>
      <c r="AK193" s="229">
        <v>5.7999999999999996E-3</v>
      </c>
      <c r="AL193" s="228">
        <v>5.15</v>
      </c>
      <c r="AM193" s="228">
        <v>5</v>
      </c>
      <c r="AN193" s="228">
        <v>0.15</v>
      </c>
      <c r="AO193" s="229">
        <v>1.2999999999999999E-2</v>
      </c>
      <c r="AP193" s="228">
        <v>396.08</v>
      </c>
      <c r="AQ193" s="228">
        <v>398.47</v>
      </c>
      <c r="AR193" s="228">
        <v>0</v>
      </c>
      <c r="AS193" s="228">
        <v>914</v>
      </c>
      <c r="AT193" s="230">
        <v>1410</v>
      </c>
      <c r="AU193" s="228">
        <v>-495</v>
      </c>
      <c r="AV193" s="229">
        <v>-0.3513</v>
      </c>
      <c r="AW193" s="228">
        <v>680</v>
      </c>
      <c r="AX193" s="230">
        <v>1069</v>
      </c>
      <c r="AY193" s="228">
        <v>-389</v>
      </c>
      <c r="AZ193" s="229">
        <v>-0.36359999999999998</v>
      </c>
      <c r="BA193" s="228">
        <v>216</v>
      </c>
      <c r="BB193" s="228">
        <v>303</v>
      </c>
      <c r="BC193" s="228">
        <v>-87</v>
      </c>
      <c r="BD193" s="229">
        <v>-0.28789999999999999</v>
      </c>
      <c r="BE193" s="228">
        <v>19</v>
      </c>
      <c r="BF193" s="228">
        <v>38</v>
      </c>
      <c r="BG193" s="228">
        <v>-19</v>
      </c>
      <c r="BH193" s="229">
        <v>-0.50919999999999999</v>
      </c>
      <c r="BI193" s="230">
        <v>4117</v>
      </c>
      <c r="BJ193" s="230">
        <v>6900</v>
      </c>
      <c r="BK193" s="230">
        <v>-2784</v>
      </c>
      <c r="BL193" s="229">
        <v>-0.40339999999999998</v>
      </c>
      <c r="BM193" s="230">
        <v>1819</v>
      </c>
      <c r="BN193" s="230">
        <v>3212</v>
      </c>
      <c r="BO193" s="230">
        <v>-1393</v>
      </c>
      <c r="BP193" s="229">
        <v>-0.43359999999999999</v>
      </c>
      <c r="BQ193" s="230">
        <v>6850</v>
      </c>
      <c r="BR193" s="230">
        <v>11522</v>
      </c>
      <c r="BS193" s="230">
        <v>-4671</v>
      </c>
      <c r="BT193" s="229">
        <v>-0.40550000000000003</v>
      </c>
      <c r="BU193" s="230">
        <v>23240360</v>
      </c>
      <c r="BV193" s="230">
        <v>28955046</v>
      </c>
      <c r="BW193" s="230">
        <v>-5714686</v>
      </c>
      <c r="BX193" s="229">
        <v>-0.19739999999999999</v>
      </c>
      <c r="BY193" s="230">
        <v>1712</v>
      </c>
      <c r="BZ193" s="230">
        <v>1555</v>
      </c>
      <c r="CA193" s="228">
        <v>158</v>
      </c>
      <c r="CB193" s="229">
        <v>0.1014</v>
      </c>
      <c r="CC193" s="230">
        <v>1303</v>
      </c>
      <c r="CD193" s="230">
        <v>1212</v>
      </c>
      <c r="CE193" s="228">
        <v>91</v>
      </c>
      <c r="CF193" s="229">
        <v>7.4800000000000005E-2</v>
      </c>
      <c r="CG193" s="228">
        <v>350</v>
      </c>
      <c r="CH193" s="228">
        <v>287</v>
      </c>
      <c r="CI193" s="228">
        <v>64</v>
      </c>
      <c r="CJ193" s="229">
        <v>0.22170000000000001</v>
      </c>
      <c r="CK193" s="228">
        <v>59</v>
      </c>
      <c r="CL193" s="228">
        <v>56</v>
      </c>
      <c r="CM193" s="228">
        <v>3</v>
      </c>
      <c r="CN193" s="229">
        <v>6.2100000000000002E-2</v>
      </c>
      <c r="CO193" s="230">
        <v>1963</v>
      </c>
      <c r="CP193" s="230">
        <v>2003</v>
      </c>
      <c r="CQ193" s="228">
        <v>-40</v>
      </c>
      <c r="CR193" s="229">
        <v>-1.9900000000000001E-2</v>
      </c>
      <c r="CS193" s="228">
        <v>860</v>
      </c>
      <c r="CT193" s="228">
        <v>743</v>
      </c>
      <c r="CU193" s="228">
        <v>117</v>
      </c>
      <c r="CV193" s="229">
        <v>0.15770000000000001</v>
      </c>
      <c r="CW193" s="230">
        <v>4536</v>
      </c>
      <c r="CX193" s="230">
        <v>4301</v>
      </c>
      <c r="CY193" s="228">
        <v>235</v>
      </c>
      <c r="CZ193" s="229">
        <v>5.4600000000000003E-2</v>
      </c>
      <c r="DA193" s="228">
        <v>36.76</v>
      </c>
      <c r="DB193" s="228">
        <v>42.65</v>
      </c>
      <c r="DC193" s="228">
        <v>-5.89</v>
      </c>
      <c r="DD193" s="228">
        <v>-5.89</v>
      </c>
      <c r="DE193" s="228">
        <v>35.74</v>
      </c>
      <c r="DF193" s="228">
        <v>35.78</v>
      </c>
      <c r="DG193" s="228">
        <v>1.02</v>
      </c>
      <c r="DH193" s="228">
        <v>-0.04</v>
      </c>
      <c r="DI193" s="228">
        <v>37.090000000000003</v>
      </c>
      <c r="DJ193" s="228">
        <v>42.9</v>
      </c>
      <c r="DK193" s="228">
        <v>-5.81</v>
      </c>
      <c r="DL193" s="228">
        <v>-5.81</v>
      </c>
      <c r="DM193" s="228">
        <v>36.01</v>
      </c>
      <c r="DN193" s="228">
        <v>42.1</v>
      </c>
      <c r="DO193" s="228">
        <v>-6.09</v>
      </c>
      <c r="DP193" s="228">
        <v>-6.09</v>
      </c>
      <c r="DQ193" s="228">
        <v>0.44</v>
      </c>
      <c r="DR193" s="228">
        <v>0.37</v>
      </c>
      <c r="DS193" s="228">
        <v>7.0000000000000007E-2</v>
      </c>
      <c r="DT193" s="229">
        <v>0.18920000000000001</v>
      </c>
      <c r="DU193" s="228">
        <v>400</v>
      </c>
      <c r="DV193" s="228">
        <v>400</v>
      </c>
      <c r="DW193" s="228">
        <v>0.44</v>
      </c>
      <c r="DX193" s="228">
        <v>0.47</v>
      </c>
      <c r="DY193" s="228">
        <v>-0.03</v>
      </c>
      <c r="DZ193" s="229">
        <v>-6.3799999999999996E-2</v>
      </c>
      <c r="EA193" s="229">
        <v>0.23899999999999999</v>
      </c>
      <c r="EB193" s="230">
        <v>8631200</v>
      </c>
      <c r="EC193" s="229">
        <v>6.3E-3</v>
      </c>
      <c r="ED193" s="229">
        <v>0.23899999999999999</v>
      </c>
      <c r="EE193" s="228">
        <v>2.39</v>
      </c>
      <c r="EF193" s="229">
        <v>6.0000000000000001E-3</v>
      </c>
      <c r="EG193" s="230">
        <v>8452648</v>
      </c>
      <c r="EH193" s="230">
        <v>11361018</v>
      </c>
      <c r="EI193" s="229">
        <v>-0.25600000000000001</v>
      </c>
      <c r="EJ193" s="229">
        <v>0.36370000000000002</v>
      </c>
      <c r="EK193" s="231">
        <v>4406.01</v>
      </c>
      <c r="EL193" s="231">
        <v>1760.6</v>
      </c>
      <c r="EM193" s="228">
        <v>914.83</v>
      </c>
      <c r="EN193" s="228">
        <v>437</v>
      </c>
      <c r="EO193" s="231">
        <v>7081.44</v>
      </c>
      <c r="EP193" s="231">
        <v>11974.12</v>
      </c>
      <c r="EQ193" s="231">
        <v>-4892.68</v>
      </c>
      <c r="ER193" s="229">
        <v>-0.40860000000000002</v>
      </c>
      <c r="ES193" s="231">
        <v>2124.5500000000002</v>
      </c>
      <c r="ET193" s="228">
        <v>808.3</v>
      </c>
      <c r="EU193" s="231">
        <v>1715.46</v>
      </c>
      <c r="EV193" s="231">
        <v>284575867</v>
      </c>
      <c r="EW193" s="231">
        <v>4648.3100000000004</v>
      </c>
      <c r="EX193" s="231">
        <v>4393.3999999999996</v>
      </c>
      <c r="EY193" s="228">
        <v>254.91</v>
      </c>
      <c r="EZ193" s="229">
        <v>5.8000000000000003E-2</v>
      </c>
      <c r="FA193" s="229">
        <v>0.40189999999999998</v>
      </c>
      <c r="FB193" s="227" t="s">
        <v>555</v>
      </c>
      <c r="FC193">
        <f t="shared" si="3"/>
        <v>0</v>
      </c>
    </row>
    <row r="194" spans="1:159" ht="17.25" thickBot="1" x14ac:dyDescent="0.3">
      <c r="A194" s="226">
        <v>45946</v>
      </c>
      <c r="B194" s="227" t="s">
        <v>161</v>
      </c>
      <c r="C194" s="227" t="s">
        <v>293</v>
      </c>
      <c r="D194" s="228">
        <v>1450</v>
      </c>
      <c r="E194" s="228">
        <v>12</v>
      </c>
      <c r="F194" s="228">
        <v>400.5</v>
      </c>
      <c r="G194" s="228">
        <v>397.7</v>
      </c>
      <c r="H194" s="228">
        <v>2.8</v>
      </c>
      <c r="I194" s="229">
        <v>7.0000000000000001E-3</v>
      </c>
      <c r="J194" s="228">
        <v>399</v>
      </c>
      <c r="K194" s="228">
        <v>396.5</v>
      </c>
      <c r="L194" s="228">
        <v>2.5</v>
      </c>
      <c r="M194" s="229">
        <v>6.3E-3</v>
      </c>
      <c r="N194" s="228">
        <v>400.5</v>
      </c>
      <c r="O194" s="228">
        <v>397.7</v>
      </c>
      <c r="P194" s="228">
        <v>2.8</v>
      </c>
      <c r="Q194" s="229">
        <v>7.0000000000000001E-3</v>
      </c>
      <c r="R194" s="228">
        <v>402.65</v>
      </c>
      <c r="S194" s="228">
        <v>399.8</v>
      </c>
      <c r="T194" s="228">
        <v>2.85</v>
      </c>
      <c r="U194" s="229">
        <v>7.1000000000000004E-3</v>
      </c>
      <c r="V194" s="228">
        <v>405.05</v>
      </c>
      <c r="W194" s="228">
        <v>402.2</v>
      </c>
      <c r="X194" s="228">
        <v>2.85</v>
      </c>
      <c r="Y194" s="229">
        <v>7.1000000000000004E-3</v>
      </c>
      <c r="Z194" s="228">
        <v>1.5</v>
      </c>
      <c r="AA194" s="228">
        <v>1.2</v>
      </c>
      <c r="AB194" s="228">
        <v>0.3</v>
      </c>
      <c r="AC194" s="229">
        <v>3.8E-3</v>
      </c>
      <c r="AD194" s="228">
        <v>1.5</v>
      </c>
      <c r="AE194" s="228">
        <v>1.2</v>
      </c>
      <c r="AF194" s="228">
        <v>0.3</v>
      </c>
      <c r="AG194" s="229">
        <v>3.8E-3</v>
      </c>
      <c r="AH194" s="228">
        <v>3.65</v>
      </c>
      <c r="AI194" s="228">
        <v>3.3</v>
      </c>
      <c r="AJ194" s="228">
        <v>0.35</v>
      </c>
      <c r="AK194" s="229">
        <v>9.1000000000000004E-3</v>
      </c>
      <c r="AL194" s="228">
        <v>6.05</v>
      </c>
      <c r="AM194" s="228">
        <v>5.7</v>
      </c>
      <c r="AN194" s="228">
        <v>0.35</v>
      </c>
      <c r="AO194" s="229">
        <v>1.52E-2</v>
      </c>
      <c r="AP194" s="228">
        <v>401.64</v>
      </c>
      <c r="AQ194" s="228">
        <v>403.73</v>
      </c>
      <c r="AR194" s="228">
        <v>0</v>
      </c>
      <c r="AS194" s="228">
        <v>400</v>
      </c>
      <c r="AT194" s="228">
        <v>307</v>
      </c>
      <c r="AU194" s="228">
        <v>93</v>
      </c>
      <c r="AV194" s="229">
        <v>0.30370000000000003</v>
      </c>
      <c r="AW194" s="228">
        <v>335</v>
      </c>
      <c r="AX194" s="228">
        <v>272</v>
      </c>
      <c r="AY194" s="228">
        <v>62</v>
      </c>
      <c r="AZ194" s="229">
        <v>0.22800000000000001</v>
      </c>
      <c r="BA194" s="228">
        <v>61</v>
      </c>
      <c r="BB194" s="228">
        <v>30</v>
      </c>
      <c r="BC194" s="228">
        <v>30</v>
      </c>
      <c r="BD194" s="229">
        <v>0.99809999999999999</v>
      </c>
      <c r="BE194" s="228">
        <v>5</v>
      </c>
      <c r="BF194" s="228">
        <v>4</v>
      </c>
      <c r="BG194" s="228">
        <v>1</v>
      </c>
      <c r="BH194" s="229">
        <v>0.16420000000000001</v>
      </c>
      <c r="BI194" s="230">
        <v>1836</v>
      </c>
      <c r="BJ194" s="230">
        <v>1134</v>
      </c>
      <c r="BK194" s="228">
        <v>702</v>
      </c>
      <c r="BL194" s="229">
        <v>0.61929999999999996</v>
      </c>
      <c r="BM194" s="228">
        <v>945</v>
      </c>
      <c r="BN194" s="228">
        <v>745</v>
      </c>
      <c r="BO194" s="228">
        <v>200</v>
      </c>
      <c r="BP194" s="229">
        <v>0.26819999999999999</v>
      </c>
      <c r="BQ194" s="230">
        <v>3181</v>
      </c>
      <c r="BR194" s="230">
        <v>2186</v>
      </c>
      <c r="BS194" s="228">
        <v>995</v>
      </c>
      <c r="BT194" s="229">
        <v>0.45529999999999998</v>
      </c>
      <c r="BU194" s="230">
        <v>5861343</v>
      </c>
      <c r="BV194" s="230">
        <v>4450113</v>
      </c>
      <c r="BW194" s="230">
        <v>1411230</v>
      </c>
      <c r="BX194" s="229">
        <v>0.31709999999999999</v>
      </c>
      <c r="BY194" s="230">
        <v>2458</v>
      </c>
      <c r="BZ194" s="230">
        <v>2435</v>
      </c>
      <c r="CA194" s="228">
        <v>24</v>
      </c>
      <c r="CB194" s="229">
        <v>9.7000000000000003E-3</v>
      </c>
      <c r="CC194" s="230">
        <v>2348</v>
      </c>
      <c r="CD194" s="230">
        <v>2349</v>
      </c>
      <c r="CE194" s="228">
        <v>0</v>
      </c>
      <c r="CF194" s="229">
        <v>-2.0000000000000001E-4</v>
      </c>
      <c r="CG194" s="228">
        <v>102</v>
      </c>
      <c r="CH194" s="228">
        <v>80</v>
      </c>
      <c r="CI194" s="228">
        <v>22</v>
      </c>
      <c r="CJ194" s="229">
        <v>0.28060000000000002</v>
      </c>
      <c r="CK194" s="228">
        <v>8</v>
      </c>
      <c r="CL194" s="228">
        <v>6</v>
      </c>
      <c r="CM194" s="228">
        <v>2</v>
      </c>
      <c r="CN194" s="229">
        <v>0.2752</v>
      </c>
      <c r="CO194" s="230">
        <v>1118</v>
      </c>
      <c r="CP194" s="230">
        <v>1093</v>
      </c>
      <c r="CQ194" s="228">
        <v>25</v>
      </c>
      <c r="CR194" s="229">
        <v>2.3199999999999998E-2</v>
      </c>
      <c r="CS194" s="228">
        <v>941</v>
      </c>
      <c r="CT194" s="228">
        <v>898</v>
      </c>
      <c r="CU194" s="228">
        <v>43</v>
      </c>
      <c r="CV194" s="229">
        <v>4.8099999999999997E-2</v>
      </c>
      <c r="CW194" s="230">
        <v>4518</v>
      </c>
      <c r="CX194" s="230">
        <v>4426</v>
      </c>
      <c r="CY194" s="228">
        <v>92</v>
      </c>
      <c r="CZ194" s="229">
        <v>2.0799999999999999E-2</v>
      </c>
      <c r="DA194" s="228">
        <v>20.329999999999998</v>
      </c>
      <c r="DB194" s="228">
        <v>20.84</v>
      </c>
      <c r="DC194" s="228">
        <v>-0.51</v>
      </c>
      <c r="DD194" s="228">
        <v>-0.51</v>
      </c>
      <c r="DE194" s="228">
        <v>33.25</v>
      </c>
      <c r="DF194" s="228">
        <v>33.32</v>
      </c>
      <c r="DG194" s="228">
        <v>-12.92</v>
      </c>
      <c r="DH194" s="228">
        <v>-7.0000000000000007E-2</v>
      </c>
      <c r="DI194" s="228">
        <v>20.16</v>
      </c>
      <c r="DJ194" s="228">
        <v>20.350000000000001</v>
      </c>
      <c r="DK194" s="228">
        <v>-0.19</v>
      </c>
      <c r="DL194" s="228">
        <v>-0.19</v>
      </c>
      <c r="DM194" s="228">
        <v>20.66</v>
      </c>
      <c r="DN194" s="228">
        <v>21.58</v>
      </c>
      <c r="DO194" s="228">
        <v>-0.92</v>
      </c>
      <c r="DP194" s="228">
        <v>-0.92</v>
      </c>
      <c r="DQ194" s="228">
        <v>0.84</v>
      </c>
      <c r="DR194" s="228">
        <v>0.82</v>
      </c>
      <c r="DS194" s="228">
        <v>0.02</v>
      </c>
      <c r="DT194" s="229">
        <v>2.4400000000000002E-2</v>
      </c>
      <c r="DU194" s="228">
        <v>400</v>
      </c>
      <c r="DV194" s="228">
        <v>390</v>
      </c>
      <c r="DW194" s="228">
        <v>0.51</v>
      </c>
      <c r="DX194" s="228">
        <v>0.66</v>
      </c>
      <c r="DY194" s="228">
        <v>-0.15</v>
      </c>
      <c r="DZ194" s="229">
        <v>-0.2273</v>
      </c>
      <c r="EA194" s="229">
        <v>4.48E-2</v>
      </c>
      <c r="EB194" s="230">
        <v>2147450</v>
      </c>
      <c r="EC194" s="229">
        <v>5.4000000000000003E-3</v>
      </c>
      <c r="ED194" s="229">
        <v>4.48E-2</v>
      </c>
      <c r="EE194" s="228">
        <v>2.09</v>
      </c>
      <c r="EF194" s="229">
        <v>5.1999999999999998E-3</v>
      </c>
      <c r="EG194" s="230">
        <v>2672374</v>
      </c>
      <c r="EH194" s="230">
        <v>2561555</v>
      </c>
      <c r="EI194" s="229">
        <v>4.3299999999999998E-2</v>
      </c>
      <c r="EJ194" s="229">
        <v>0.45590000000000003</v>
      </c>
      <c r="EK194" s="231">
        <v>1884.84</v>
      </c>
      <c r="EL194" s="228">
        <v>940.51</v>
      </c>
      <c r="EM194" s="228">
        <v>401.57</v>
      </c>
      <c r="EN194" s="228">
        <v>57.27</v>
      </c>
      <c r="EO194" s="231">
        <v>3226.92</v>
      </c>
      <c r="EP194" s="231">
        <v>2182.66</v>
      </c>
      <c r="EQ194" s="231">
        <v>1044.26</v>
      </c>
      <c r="ER194" s="229">
        <v>0.47839999999999999</v>
      </c>
      <c r="ES194" s="231">
        <v>1137.5</v>
      </c>
      <c r="ET194" s="228">
        <v>928.1</v>
      </c>
      <c r="EU194" s="231">
        <v>2458.96</v>
      </c>
      <c r="EV194" s="231">
        <v>169808198</v>
      </c>
      <c r="EW194" s="231">
        <v>4524.57</v>
      </c>
      <c r="EX194" s="231">
        <v>4410.6400000000003</v>
      </c>
      <c r="EY194" s="228">
        <v>113.93</v>
      </c>
      <c r="EZ194" s="229">
        <v>2.58E-2</v>
      </c>
      <c r="FA194" s="229">
        <v>0.6643</v>
      </c>
      <c r="FB194" s="227" t="s">
        <v>555</v>
      </c>
      <c r="FC194">
        <f t="shared" si="3"/>
        <v>0</v>
      </c>
    </row>
    <row r="195" spans="1:159" ht="17.25" thickBot="1" x14ac:dyDescent="0.3">
      <c r="A195" s="226">
        <v>45946</v>
      </c>
      <c r="B195" s="227" t="s">
        <v>227</v>
      </c>
      <c r="C195" s="227" t="s">
        <v>294</v>
      </c>
      <c r="D195" s="228">
        <v>5500</v>
      </c>
      <c r="E195" s="228">
        <v>12</v>
      </c>
      <c r="F195" s="228">
        <v>174.39</v>
      </c>
      <c r="G195" s="228">
        <v>173.91</v>
      </c>
      <c r="H195" s="228">
        <v>0.48</v>
      </c>
      <c r="I195" s="229">
        <v>2.8E-3</v>
      </c>
      <c r="J195" s="228">
        <v>174</v>
      </c>
      <c r="K195" s="228">
        <v>173.24</v>
      </c>
      <c r="L195" s="228">
        <v>0.76</v>
      </c>
      <c r="M195" s="229">
        <v>4.4000000000000003E-3</v>
      </c>
      <c r="N195" s="228">
        <v>174.39</v>
      </c>
      <c r="O195" s="228">
        <v>173.91</v>
      </c>
      <c r="P195" s="228">
        <v>0.48</v>
      </c>
      <c r="Q195" s="229">
        <v>2.8E-3</v>
      </c>
      <c r="R195" s="228">
        <v>175.38</v>
      </c>
      <c r="S195" s="228">
        <v>174.82</v>
      </c>
      <c r="T195" s="228">
        <v>0.56000000000000005</v>
      </c>
      <c r="U195" s="229">
        <v>3.2000000000000002E-3</v>
      </c>
      <c r="V195" s="228">
        <v>176.43</v>
      </c>
      <c r="W195" s="228">
        <v>175.95</v>
      </c>
      <c r="X195" s="228">
        <v>0.48</v>
      </c>
      <c r="Y195" s="229">
        <v>2.7000000000000001E-3</v>
      </c>
      <c r="Z195" s="228">
        <v>0.39</v>
      </c>
      <c r="AA195" s="228">
        <v>0.67</v>
      </c>
      <c r="AB195" s="228">
        <v>-0.28000000000000003</v>
      </c>
      <c r="AC195" s="229">
        <v>2.2000000000000001E-3</v>
      </c>
      <c r="AD195" s="228">
        <v>0.39</v>
      </c>
      <c r="AE195" s="228">
        <v>0.67</v>
      </c>
      <c r="AF195" s="228">
        <v>-0.28000000000000003</v>
      </c>
      <c r="AG195" s="229">
        <v>2.2000000000000001E-3</v>
      </c>
      <c r="AH195" s="228">
        <v>1.38</v>
      </c>
      <c r="AI195" s="228">
        <v>1.58</v>
      </c>
      <c r="AJ195" s="228">
        <v>-0.2</v>
      </c>
      <c r="AK195" s="229">
        <v>7.9000000000000008E-3</v>
      </c>
      <c r="AL195" s="228">
        <v>2.4300000000000002</v>
      </c>
      <c r="AM195" s="228">
        <v>2.71</v>
      </c>
      <c r="AN195" s="228">
        <v>-0.28000000000000003</v>
      </c>
      <c r="AO195" s="229">
        <v>1.4E-2</v>
      </c>
      <c r="AP195" s="228">
        <v>174.1</v>
      </c>
      <c r="AQ195" s="228">
        <v>174.97</v>
      </c>
      <c r="AR195" s="228">
        <v>0</v>
      </c>
      <c r="AS195" s="228">
        <v>388</v>
      </c>
      <c r="AT195" s="228">
        <v>670</v>
      </c>
      <c r="AU195" s="228">
        <v>-282</v>
      </c>
      <c r="AV195" s="229">
        <v>-0.4209</v>
      </c>
      <c r="AW195" s="228">
        <v>333</v>
      </c>
      <c r="AX195" s="228">
        <v>579</v>
      </c>
      <c r="AY195" s="228">
        <v>-246</v>
      </c>
      <c r="AZ195" s="229">
        <v>-0.42480000000000001</v>
      </c>
      <c r="BA195" s="228">
        <v>51</v>
      </c>
      <c r="BB195" s="228">
        <v>82</v>
      </c>
      <c r="BC195" s="228">
        <v>-31</v>
      </c>
      <c r="BD195" s="229">
        <v>-0.37790000000000001</v>
      </c>
      <c r="BE195" s="228">
        <v>3</v>
      </c>
      <c r="BF195" s="228">
        <v>8</v>
      </c>
      <c r="BG195" s="228">
        <v>-5</v>
      </c>
      <c r="BH195" s="229">
        <v>-0.59260000000000002</v>
      </c>
      <c r="BI195" s="230">
        <v>1741</v>
      </c>
      <c r="BJ195" s="230">
        <v>2898</v>
      </c>
      <c r="BK195" s="230">
        <v>-1157</v>
      </c>
      <c r="BL195" s="229">
        <v>-0.39929999999999999</v>
      </c>
      <c r="BM195" s="228">
        <v>920</v>
      </c>
      <c r="BN195" s="230">
        <v>1878</v>
      </c>
      <c r="BO195" s="228">
        <v>-958</v>
      </c>
      <c r="BP195" s="229">
        <v>-0.5101</v>
      </c>
      <c r="BQ195" s="230">
        <v>3049</v>
      </c>
      <c r="BR195" s="230">
        <v>5446</v>
      </c>
      <c r="BS195" s="230">
        <v>-2397</v>
      </c>
      <c r="BT195" s="229">
        <v>-0.44019999999999998</v>
      </c>
      <c r="BU195" s="230">
        <v>12937930</v>
      </c>
      <c r="BV195" s="230">
        <v>15599127</v>
      </c>
      <c r="BW195" s="230">
        <v>-2661197</v>
      </c>
      <c r="BX195" s="229">
        <v>-0.1706</v>
      </c>
      <c r="BY195" s="230">
        <v>3462</v>
      </c>
      <c r="BZ195" s="230">
        <v>3459</v>
      </c>
      <c r="CA195" s="228">
        <v>3</v>
      </c>
      <c r="CB195" s="229">
        <v>8.9999999999999998E-4</v>
      </c>
      <c r="CC195" s="230">
        <v>3250</v>
      </c>
      <c r="CD195" s="230">
        <v>3264</v>
      </c>
      <c r="CE195" s="228">
        <v>-14</v>
      </c>
      <c r="CF195" s="229">
        <v>-4.4000000000000003E-3</v>
      </c>
      <c r="CG195" s="228">
        <v>193</v>
      </c>
      <c r="CH195" s="228">
        <v>176</v>
      </c>
      <c r="CI195" s="228">
        <v>17</v>
      </c>
      <c r="CJ195" s="229">
        <v>9.4200000000000006E-2</v>
      </c>
      <c r="CK195" s="228">
        <v>20</v>
      </c>
      <c r="CL195" s="228">
        <v>19</v>
      </c>
      <c r="CM195" s="228">
        <v>1</v>
      </c>
      <c r="CN195" s="229">
        <v>4.6199999999999998E-2</v>
      </c>
      <c r="CO195" s="230">
        <v>2401</v>
      </c>
      <c r="CP195" s="230">
        <v>2461</v>
      </c>
      <c r="CQ195" s="228">
        <v>-60</v>
      </c>
      <c r="CR195" s="229">
        <v>-2.4400000000000002E-2</v>
      </c>
      <c r="CS195" s="230">
        <v>1562</v>
      </c>
      <c r="CT195" s="230">
        <v>1557</v>
      </c>
      <c r="CU195" s="228">
        <v>5</v>
      </c>
      <c r="CV195" s="229">
        <v>3.3999999999999998E-3</v>
      </c>
      <c r="CW195" s="230">
        <v>7425</v>
      </c>
      <c r="CX195" s="230">
        <v>7477</v>
      </c>
      <c r="CY195" s="228">
        <v>-52</v>
      </c>
      <c r="CZ195" s="229">
        <v>-6.8999999999999999E-3</v>
      </c>
      <c r="DA195" s="228">
        <v>24.58</v>
      </c>
      <c r="DB195" s="228">
        <v>25.12</v>
      </c>
      <c r="DC195" s="228">
        <v>-0.54</v>
      </c>
      <c r="DD195" s="228">
        <v>-0.54</v>
      </c>
      <c r="DE195" s="228">
        <v>34.32</v>
      </c>
      <c r="DF195" s="228">
        <v>34.4</v>
      </c>
      <c r="DG195" s="228">
        <v>-9.74</v>
      </c>
      <c r="DH195" s="228">
        <v>-0.08</v>
      </c>
      <c r="DI195" s="228">
        <v>24.35</v>
      </c>
      <c r="DJ195" s="228">
        <v>24.44</v>
      </c>
      <c r="DK195" s="228">
        <v>-0.09</v>
      </c>
      <c r="DL195" s="228">
        <v>-0.09</v>
      </c>
      <c r="DM195" s="228">
        <v>25.02</v>
      </c>
      <c r="DN195" s="228">
        <v>26.17</v>
      </c>
      <c r="DO195" s="228">
        <v>-1.1499999999999999</v>
      </c>
      <c r="DP195" s="228">
        <v>-1.1499999999999999</v>
      </c>
      <c r="DQ195" s="228">
        <v>0.65</v>
      </c>
      <c r="DR195" s="228">
        <v>0.63</v>
      </c>
      <c r="DS195" s="228">
        <v>0.02</v>
      </c>
      <c r="DT195" s="229">
        <v>3.1699999999999999E-2</v>
      </c>
      <c r="DU195" s="228">
        <v>180</v>
      </c>
      <c r="DV195" s="228">
        <v>165</v>
      </c>
      <c r="DW195" s="228">
        <v>0.53</v>
      </c>
      <c r="DX195" s="228">
        <v>0.65</v>
      </c>
      <c r="DY195" s="228">
        <v>-0.12</v>
      </c>
      <c r="DZ195" s="229">
        <v>-0.18459999999999999</v>
      </c>
      <c r="EA195" s="229">
        <v>6.13E-2</v>
      </c>
      <c r="EB195" s="230">
        <v>11170500</v>
      </c>
      <c r="EC195" s="229">
        <v>5.7000000000000002E-3</v>
      </c>
      <c r="ED195" s="229">
        <v>6.13E-2</v>
      </c>
      <c r="EE195" s="228">
        <v>0.87</v>
      </c>
      <c r="EF195" s="229">
        <v>5.0000000000000001E-3</v>
      </c>
      <c r="EG195" s="230">
        <v>6127548</v>
      </c>
      <c r="EH195" s="230">
        <v>7124281</v>
      </c>
      <c r="EI195" s="229">
        <v>-0.1399</v>
      </c>
      <c r="EJ195" s="229">
        <v>0.47360000000000002</v>
      </c>
      <c r="EK195" s="231">
        <v>1810.24</v>
      </c>
      <c r="EL195" s="228">
        <v>899.93</v>
      </c>
      <c r="EM195" s="228">
        <v>387.43</v>
      </c>
      <c r="EN195" s="228">
        <v>84.59</v>
      </c>
      <c r="EO195" s="231">
        <v>3097.6</v>
      </c>
      <c r="EP195" s="231">
        <v>5480.29</v>
      </c>
      <c r="EQ195" s="231">
        <v>-2382.69</v>
      </c>
      <c r="ER195" s="229">
        <v>-0.43480000000000002</v>
      </c>
      <c r="ES195" s="231">
        <v>2477.8000000000002</v>
      </c>
      <c r="ET195" s="231">
        <v>1479.7</v>
      </c>
      <c r="EU195" s="231">
        <v>3463.26</v>
      </c>
      <c r="EV195" s="231">
        <v>833987639</v>
      </c>
      <c r="EW195" s="231">
        <v>7420.76</v>
      </c>
      <c r="EX195" s="231">
        <v>7466.46</v>
      </c>
      <c r="EY195" s="228">
        <v>-45.7</v>
      </c>
      <c r="EZ195" s="229">
        <v>-6.1000000000000004E-3</v>
      </c>
      <c r="FA195" s="229">
        <v>0.51049999999999995</v>
      </c>
      <c r="FB195" s="227" t="s">
        <v>555</v>
      </c>
      <c r="FC195">
        <f t="shared" ref="FC195:FC258" si="4">BY262-CC262</f>
        <v>0</v>
      </c>
    </row>
    <row r="196" spans="1:159" ht="17.25" thickBot="1" x14ac:dyDescent="0.3">
      <c r="A196" s="226">
        <v>45946</v>
      </c>
      <c r="B196" s="227" t="s">
        <v>221</v>
      </c>
      <c r="C196" s="227" t="s">
        <v>664</v>
      </c>
      <c r="D196" s="228">
        <v>800</v>
      </c>
      <c r="E196" s="228">
        <v>12</v>
      </c>
      <c r="F196" s="228">
        <v>694.4</v>
      </c>
      <c r="G196" s="228">
        <v>695.7</v>
      </c>
      <c r="H196" s="228">
        <v>-1.3</v>
      </c>
      <c r="I196" s="229">
        <v>-1.9E-3</v>
      </c>
      <c r="J196" s="228">
        <v>692.1</v>
      </c>
      <c r="K196" s="228">
        <v>695.3</v>
      </c>
      <c r="L196" s="228">
        <v>-3.2</v>
      </c>
      <c r="M196" s="229">
        <v>-4.5999999999999999E-3</v>
      </c>
      <c r="N196" s="228">
        <v>694.4</v>
      </c>
      <c r="O196" s="228">
        <v>695.7</v>
      </c>
      <c r="P196" s="228">
        <v>-1.3</v>
      </c>
      <c r="Q196" s="229">
        <v>-1.9E-3</v>
      </c>
      <c r="R196" s="228">
        <v>696.45</v>
      </c>
      <c r="S196" s="228">
        <v>698.2</v>
      </c>
      <c r="T196" s="228">
        <v>-1.75</v>
      </c>
      <c r="U196" s="229">
        <v>-2.5000000000000001E-3</v>
      </c>
      <c r="V196" s="228">
        <v>699.45</v>
      </c>
      <c r="W196" s="228">
        <v>699.45</v>
      </c>
      <c r="X196" s="228">
        <v>0</v>
      </c>
      <c r="Y196" s="229">
        <v>0</v>
      </c>
      <c r="Z196" s="228">
        <v>2.2999999999999998</v>
      </c>
      <c r="AA196" s="228">
        <v>0.4</v>
      </c>
      <c r="AB196" s="228">
        <v>1.9</v>
      </c>
      <c r="AC196" s="229">
        <v>3.3E-3</v>
      </c>
      <c r="AD196" s="228">
        <v>2.2999999999999998</v>
      </c>
      <c r="AE196" s="228">
        <v>0.4</v>
      </c>
      <c r="AF196" s="228">
        <v>1.9</v>
      </c>
      <c r="AG196" s="229">
        <v>3.3E-3</v>
      </c>
      <c r="AH196" s="228">
        <v>4.3499999999999996</v>
      </c>
      <c r="AI196" s="228">
        <v>2.9</v>
      </c>
      <c r="AJ196" s="228">
        <v>1.45</v>
      </c>
      <c r="AK196" s="229">
        <v>6.3E-3</v>
      </c>
      <c r="AL196" s="228">
        <v>7.35</v>
      </c>
      <c r="AM196" s="228">
        <v>4.1500000000000004</v>
      </c>
      <c r="AN196" s="228">
        <v>3.2</v>
      </c>
      <c r="AO196" s="229">
        <v>1.06E-2</v>
      </c>
      <c r="AP196" s="228">
        <v>693.02</v>
      </c>
      <c r="AQ196" s="228">
        <v>695.22</v>
      </c>
      <c r="AR196" s="228">
        <v>0</v>
      </c>
      <c r="AS196" s="228">
        <v>116</v>
      </c>
      <c r="AT196" s="228">
        <v>82</v>
      </c>
      <c r="AU196" s="228">
        <v>34</v>
      </c>
      <c r="AV196" s="229">
        <v>0.40889999999999999</v>
      </c>
      <c r="AW196" s="228">
        <v>88</v>
      </c>
      <c r="AX196" s="228">
        <v>69</v>
      </c>
      <c r="AY196" s="228">
        <v>18</v>
      </c>
      <c r="AZ196" s="229">
        <v>0.26590000000000003</v>
      </c>
      <c r="BA196" s="228">
        <v>27</v>
      </c>
      <c r="BB196" s="228">
        <v>12</v>
      </c>
      <c r="BC196" s="228">
        <v>15</v>
      </c>
      <c r="BD196" s="229">
        <v>1.2353000000000001</v>
      </c>
      <c r="BE196" s="228">
        <v>1</v>
      </c>
      <c r="BF196" s="228">
        <v>1</v>
      </c>
      <c r="BG196" s="228">
        <v>0</v>
      </c>
      <c r="BH196" s="229">
        <v>0</v>
      </c>
      <c r="BI196" s="228">
        <v>166</v>
      </c>
      <c r="BJ196" s="228">
        <v>201</v>
      </c>
      <c r="BK196" s="228">
        <v>-34</v>
      </c>
      <c r="BL196" s="229">
        <v>-0.17130000000000001</v>
      </c>
      <c r="BM196" s="228">
        <v>61</v>
      </c>
      <c r="BN196" s="228">
        <v>75</v>
      </c>
      <c r="BO196" s="228">
        <v>-14</v>
      </c>
      <c r="BP196" s="229">
        <v>-0.19020000000000001</v>
      </c>
      <c r="BQ196" s="228">
        <v>343</v>
      </c>
      <c r="BR196" s="228">
        <v>358</v>
      </c>
      <c r="BS196" s="228">
        <v>-15</v>
      </c>
      <c r="BT196" s="229">
        <v>-4.2099999999999999E-2</v>
      </c>
      <c r="BU196" s="230">
        <v>444203</v>
      </c>
      <c r="BV196" s="230">
        <v>617029</v>
      </c>
      <c r="BW196" s="230">
        <v>-172826</v>
      </c>
      <c r="BX196" s="229">
        <v>-0.28010000000000002</v>
      </c>
      <c r="BY196" s="228">
        <v>721</v>
      </c>
      <c r="BZ196" s="228">
        <v>695</v>
      </c>
      <c r="CA196" s="228">
        <v>26</v>
      </c>
      <c r="CB196" s="229">
        <v>3.6799999999999999E-2</v>
      </c>
      <c r="CC196" s="228">
        <v>633</v>
      </c>
      <c r="CD196" s="228">
        <v>622</v>
      </c>
      <c r="CE196" s="228">
        <v>11</v>
      </c>
      <c r="CF196" s="229">
        <v>1.7299999999999999E-2</v>
      </c>
      <c r="CG196" s="228">
        <v>82</v>
      </c>
      <c r="CH196" s="228">
        <v>67</v>
      </c>
      <c r="CI196" s="228">
        <v>14</v>
      </c>
      <c r="CJ196" s="229">
        <v>0.215</v>
      </c>
      <c r="CK196" s="228">
        <v>6</v>
      </c>
      <c r="CL196" s="228">
        <v>6</v>
      </c>
      <c r="CM196" s="228">
        <v>0</v>
      </c>
      <c r="CN196" s="229">
        <v>5.7099999999999998E-2</v>
      </c>
      <c r="CO196" s="228">
        <v>324</v>
      </c>
      <c r="CP196" s="228">
        <v>317</v>
      </c>
      <c r="CQ196" s="228">
        <v>6</v>
      </c>
      <c r="CR196" s="229">
        <v>1.9800000000000002E-2</v>
      </c>
      <c r="CS196" s="228">
        <v>215</v>
      </c>
      <c r="CT196" s="228">
        <v>215</v>
      </c>
      <c r="CU196" s="228">
        <v>0</v>
      </c>
      <c r="CV196" s="229">
        <v>5.0000000000000001E-4</v>
      </c>
      <c r="CW196" s="230">
        <v>1260</v>
      </c>
      <c r="CX196" s="230">
        <v>1228</v>
      </c>
      <c r="CY196" s="228">
        <v>32</v>
      </c>
      <c r="CZ196" s="229">
        <v>2.6100000000000002E-2</v>
      </c>
      <c r="DA196" s="228">
        <v>30.47</v>
      </c>
      <c r="DB196" s="228">
        <v>29.88</v>
      </c>
      <c r="DC196" s="228">
        <v>0.59</v>
      </c>
      <c r="DD196" s="228">
        <v>0.59</v>
      </c>
      <c r="DE196" s="228">
        <v>31.54</v>
      </c>
      <c r="DF196" s="228">
        <v>31.62</v>
      </c>
      <c r="DG196" s="228">
        <v>-1.07</v>
      </c>
      <c r="DH196" s="228">
        <v>-0.08</v>
      </c>
      <c r="DI196" s="228">
        <v>30.62</v>
      </c>
      <c r="DJ196" s="228">
        <v>30</v>
      </c>
      <c r="DK196" s="228">
        <v>0.62</v>
      </c>
      <c r="DL196" s="228">
        <v>0.62</v>
      </c>
      <c r="DM196" s="228">
        <v>30.06</v>
      </c>
      <c r="DN196" s="228">
        <v>29.56</v>
      </c>
      <c r="DO196" s="228">
        <v>0.5</v>
      </c>
      <c r="DP196" s="228">
        <v>0.5</v>
      </c>
      <c r="DQ196" s="228">
        <v>0.66</v>
      </c>
      <c r="DR196" s="228">
        <v>0.68</v>
      </c>
      <c r="DS196" s="228">
        <v>-0.02</v>
      </c>
      <c r="DT196" s="229">
        <v>-2.9399999999999999E-2</v>
      </c>
      <c r="DU196" s="228">
        <v>700</v>
      </c>
      <c r="DV196" s="228">
        <v>700</v>
      </c>
      <c r="DW196" s="228">
        <v>0.36</v>
      </c>
      <c r="DX196" s="228">
        <v>0.37</v>
      </c>
      <c r="DY196" s="228">
        <v>-0.01</v>
      </c>
      <c r="DZ196" s="229">
        <v>-2.7E-2</v>
      </c>
      <c r="EA196" s="229">
        <v>0.1222</v>
      </c>
      <c r="EB196" s="230">
        <v>1055200</v>
      </c>
      <c r="EC196" s="229">
        <v>3.0000000000000001E-3</v>
      </c>
      <c r="ED196" s="229">
        <v>0.1222</v>
      </c>
      <c r="EE196" s="228">
        <v>2.2000000000000002</v>
      </c>
      <c r="EF196" s="229">
        <v>3.2000000000000002E-3</v>
      </c>
      <c r="EG196" s="230">
        <v>197594</v>
      </c>
      <c r="EH196" s="230">
        <v>315245</v>
      </c>
      <c r="EI196" s="229">
        <v>-0.37319999999999998</v>
      </c>
      <c r="EJ196" s="229">
        <v>0.44479999999999997</v>
      </c>
      <c r="EK196" s="228">
        <v>174.83</v>
      </c>
      <c r="EL196" s="228">
        <v>60.44</v>
      </c>
      <c r="EM196" s="228">
        <v>115.47</v>
      </c>
      <c r="EN196" s="228">
        <v>18.77</v>
      </c>
      <c r="EO196" s="228">
        <v>350.73</v>
      </c>
      <c r="EP196" s="228">
        <v>368.67</v>
      </c>
      <c r="EQ196" s="228">
        <v>-17.940000000000001</v>
      </c>
      <c r="ER196" s="229">
        <v>-4.87E-2</v>
      </c>
      <c r="ES196" s="228">
        <v>340.34</v>
      </c>
      <c r="ET196" s="228">
        <v>211.13</v>
      </c>
      <c r="EU196" s="228">
        <v>721.35</v>
      </c>
      <c r="EV196" s="231">
        <v>27246569</v>
      </c>
      <c r="EW196" s="231">
        <v>1272.82</v>
      </c>
      <c r="EX196" s="231">
        <v>1241.78</v>
      </c>
      <c r="EY196" s="228">
        <v>31.04</v>
      </c>
      <c r="EZ196" s="229">
        <v>2.5000000000000001E-2</v>
      </c>
      <c r="FA196" s="229">
        <v>0.66590000000000005</v>
      </c>
      <c r="FB196" s="227" t="s">
        <v>567</v>
      </c>
      <c r="FC196">
        <f t="shared" si="4"/>
        <v>0</v>
      </c>
    </row>
    <row r="197" spans="1:159" ht="17.25" thickBot="1" x14ac:dyDescent="0.3">
      <c r="A197" s="226">
        <v>45946</v>
      </c>
      <c r="B197" s="227" t="s">
        <v>221</v>
      </c>
      <c r="C197" s="227" t="s">
        <v>295</v>
      </c>
      <c r="D197" s="228">
        <v>175</v>
      </c>
      <c r="E197" s="228">
        <v>12</v>
      </c>
      <c r="F197" s="231">
        <v>2982</v>
      </c>
      <c r="G197" s="231">
        <v>2974.4</v>
      </c>
      <c r="H197" s="228">
        <v>7.6</v>
      </c>
      <c r="I197" s="229">
        <v>2.5999999999999999E-3</v>
      </c>
      <c r="J197" s="231">
        <v>2970.7</v>
      </c>
      <c r="K197" s="231">
        <v>2969.8</v>
      </c>
      <c r="L197" s="228">
        <v>0.9</v>
      </c>
      <c r="M197" s="229">
        <v>2.9999999999999997E-4</v>
      </c>
      <c r="N197" s="231">
        <v>2982</v>
      </c>
      <c r="O197" s="231">
        <v>2974.4</v>
      </c>
      <c r="P197" s="228">
        <v>7.6</v>
      </c>
      <c r="Q197" s="229">
        <v>2.5999999999999999E-3</v>
      </c>
      <c r="R197" s="231">
        <v>2998</v>
      </c>
      <c r="S197" s="231">
        <v>2990.7</v>
      </c>
      <c r="T197" s="228">
        <v>7.3</v>
      </c>
      <c r="U197" s="229">
        <v>2.3999999999999998E-3</v>
      </c>
      <c r="V197" s="231">
        <v>3016.4</v>
      </c>
      <c r="W197" s="231">
        <v>3009.7</v>
      </c>
      <c r="X197" s="228">
        <v>6.7</v>
      </c>
      <c r="Y197" s="229">
        <v>2.2000000000000001E-3</v>
      </c>
      <c r="Z197" s="228">
        <v>11.3</v>
      </c>
      <c r="AA197" s="228">
        <v>4.5999999999999996</v>
      </c>
      <c r="AB197" s="228">
        <v>6.7</v>
      </c>
      <c r="AC197" s="229">
        <v>3.8E-3</v>
      </c>
      <c r="AD197" s="228">
        <v>11.3</v>
      </c>
      <c r="AE197" s="228">
        <v>4.5999999999999996</v>
      </c>
      <c r="AF197" s="228">
        <v>6.7</v>
      </c>
      <c r="AG197" s="229">
        <v>3.8E-3</v>
      </c>
      <c r="AH197" s="228">
        <v>27.3</v>
      </c>
      <c r="AI197" s="228">
        <v>20.9</v>
      </c>
      <c r="AJ197" s="228">
        <v>6.4</v>
      </c>
      <c r="AK197" s="229">
        <v>9.1999999999999998E-3</v>
      </c>
      <c r="AL197" s="228">
        <v>45.7</v>
      </c>
      <c r="AM197" s="228">
        <v>39.9</v>
      </c>
      <c r="AN197" s="228">
        <v>5.8</v>
      </c>
      <c r="AO197" s="229">
        <v>1.54E-2</v>
      </c>
      <c r="AP197" s="231">
        <v>2970.92</v>
      </c>
      <c r="AQ197" s="231">
        <v>2988.96</v>
      </c>
      <c r="AR197" s="228">
        <v>0</v>
      </c>
      <c r="AS197" s="230">
        <v>1348</v>
      </c>
      <c r="AT197" s="230">
        <v>1206</v>
      </c>
      <c r="AU197" s="228">
        <v>142</v>
      </c>
      <c r="AV197" s="229">
        <v>0.1176</v>
      </c>
      <c r="AW197" s="230">
        <v>1010</v>
      </c>
      <c r="AX197" s="230">
        <v>1049</v>
      </c>
      <c r="AY197" s="228">
        <v>-39</v>
      </c>
      <c r="AZ197" s="229">
        <v>-3.7199999999999997E-2</v>
      </c>
      <c r="BA197" s="228">
        <v>317</v>
      </c>
      <c r="BB197" s="228">
        <v>138</v>
      </c>
      <c r="BC197" s="228">
        <v>180</v>
      </c>
      <c r="BD197" s="229">
        <v>1.3065</v>
      </c>
      <c r="BE197" s="228">
        <v>20</v>
      </c>
      <c r="BF197" s="228">
        <v>19</v>
      </c>
      <c r="BG197" s="228">
        <v>1</v>
      </c>
      <c r="BH197" s="229">
        <v>6.2700000000000006E-2</v>
      </c>
      <c r="BI197" s="230">
        <v>7118</v>
      </c>
      <c r="BJ197" s="230">
        <v>6587</v>
      </c>
      <c r="BK197" s="228">
        <v>530</v>
      </c>
      <c r="BL197" s="229">
        <v>8.0500000000000002E-2</v>
      </c>
      <c r="BM197" s="230">
        <v>2987</v>
      </c>
      <c r="BN197" s="230">
        <v>3643</v>
      </c>
      <c r="BO197" s="228">
        <v>-656</v>
      </c>
      <c r="BP197" s="229">
        <v>-0.18</v>
      </c>
      <c r="BQ197" s="230">
        <v>11452</v>
      </c>
      <c r="BR197" s="230">
        <v>11436</v>
      </c>
      <c r="BS197" s="228">
        <v>17</v>
      </c>
      <c r="BT197" s="229">
        <v>1.5E-3</v>
      </c>
      <c r="BU197" s="230">
        <v>3786250</v>
      </c>
      <c r="BV197" s="230">
        <v>4511403</v>
      </c>
      <c r="BW197" s="230">
        <v>-725153</v>
      </c>
      <c r="BX197" s="229">
        <v>-0.16070000000000001</v>
      </c>
      <c r="BY197" s="230">
        <v>9692</v>
      </c>
      <c r="BZ197" s="230">
        <v>9520</v>
      </c>
      <c r="CA197" s="228">
        <v>172</v>
      </c>
      <c r="CB197" s="229">
        <v>1.8100000000000002E-2</v>
      </c>
      <c r="CC197" s="230">
        <v>8480</v>
      </c>
      <c r="CD197" s="230">
        <v>8533</v>
      </c>
      <c r="CE197" s="228">
        <v>-53</v>
      </c>
      <c r="CF197" s="229">
        <v>-6.1999999999999998E-3</v>
      </c>
      <c r="CG197" s="230">
        <v>1109</v>
      </c>
      <c r="CH197" s="228">
        <v>892</v>
      </c>
      <c r="CI197" s="228">
        <v>216</v>
      </c>
      <c r="CJ197" s="229">
        <v>0.24249999999999999</v>
      </c>
      <c r="CK197" s="228">
        <v>104</v>
      </c>
      <c r="CL197" s="228">
        <v>95</v>
      </c>
      <c r="CM197" s="228">
        <v>9</v>
      </c>
      <c r="CN197" s="229">
        <v>9.1899999999999996E-2</v>
      </c>
      <c r="CO197" s="230">
        <v>7405</v>
      </c>
      <c r="CP197" s="230">
        <v>7532</v>
      </c>
      <c r="CQ197" s="228">
        <v>-128</v>
      </c>
      <c r="CR197" s="229">
        <v>-1.6899999999999998E-2</v>
      </c>
      <c r="CS197" s="230">
        <v>4251</v>
      </c>
      <c r="CT197" s="230">
        <v>4196</v>
      </c>
      <c r="CU197" s="228">
        <v>55</v>
      </c>
      <c r="CV197" s="229">
        <v>1.32E-2</v>
      </c>
      <c r="CW197" s="230">
        <v>21348</v>
      </c>
      <c r="CX197" s="230">
        <v>21248</v>
      </c>
      <c r="CY197" s="228">
        <v>100</v>
      </c>
      <c r="CZ197" s="229">
        <v>4.7000000000000002E-3</v>
      </c>
      <c r="DA197" s="228">
        <v>21.26</v>
      </c>
      <c r="DB197" s="228">
        <v>20.79</v>
      </c>
      <c r="DC197" s="228">
        <v>0.47</v>
      </c>
      <c r="DD197" s="228">
        <v>0.47</v>
      </c>
      <c r="DE197" s="228">
        <v>24.53</v>
      </c>
      <c r="DF197" s="228">
        <v>24.59</v>
      </c>
      <c r="DG197" s="228">
        <v>-3.27</v>
      </c>
      <c r="DH197" s="228">
        <v>-0.06</v>
      </c>
      <c r="DI197" s="228">
        <v>21.24</v>
      </c>
      <c r="DJ197" s="228">
        <v>20.89</v>
      </c>
      <c r="DK197" s="228">
        <v>0.35</v>
      </c>
      <c r="DL197" s="228">
        <v>0.35</v>
      </c>
      <c r="DM197" s="228">
        <v>21.29</v>
      </c>
      <c r="DN197" s="228">
        <v>20.62</v>
      </c>
      <c r="DO197" s="228">
        <v>0.67</v>
      </c>
      <c r="DP197" s="228">
        <v>0.67</v>
      </c>
      <c r="DQ197" s="228">
        <v>0.56999999999999995</v>
      </c>
      <c r="DR197" s="228">
        <v>0.56000000000000005</v>
      </c>
      <c r="DS197" s="228">
        <v>0.01</v>
      </c>
      <c r="DT197" s="229">
        <v>1.7899999999999999E-2</v>
      </c>
      <c r="DU197" s="231">
        <v>3100</v>
      </c>
      <c r="DV197" s="231">
        <v>3000</v>
      </c>
      <c r="DW197" s="228">
        <v>0.42</v>
      </c>
      <c r="DX197" s="228">
        <v>0.55000000000000004</v>
      </c>
      <c r="DY197" s="228">
        <v>-0.13</v>
      </c>
      <c r="DZ197" s="229">
        <v>-0.2364</v>
      </c>
      <c r="EA197" s="229">
        <v>0.12509999999999999</v>
      </c>
      <c r="EB197" s="230">
        <v>3311000</v>
      </c>
      <c r="EC197" s="229">
        <v>5.4000000000000003E-3</v>
      </c>
      <c r="ED197" s="229">
        <v>0.12509999999999999</v>
      </c>
      <c r="EE197" s="228">
        <v>18.04</v>
      </c>
      <c r="EF197" s="229">
        <v>6.1000000000000004E-3</v>
      </c>
      <c r="EG197" s="230">
        <v>2020330</v>
      </c>
      <c r="EH197" s="230">
        <v>3015332</v>
      </c>
      <c r="EI197" s="229">
        <v>-0.33</v>
      </c>
      <c r="EJ197" s="229">
        <v>0.53359999999999996</v>
      </c>
      <c r="EK197" s="231">
        <v>7377.89</v>
      </c>
      <c r="EL197" s="231">
        <v>2932.01</v>
      </c>
      <c r="EM197" s="231">
        <v>1345.03</v>
      </c>
      <c r="EN197" s="228">
        <v>393.43</v>
      </c>
      <c r="EO197" s="231">
        <v>11654.92</v>
      </c>
      <c r="EP197" s="231">
        <v>11600.7</v>
      </c>
      <c r="EQ197" s="228">
        <v>54.22</v>
      </c>
      <c r="ER197" s="229">
        <v>4.7000000000000002E-3</v>
      </c>
      <c r="ES197" s="231">
        <v>7741.57</v>
      </c>
      <c r="ET197" s="231">
        <v>4209.07</v>
      </c>
      <c r="EU197" s="231">
        <v>9699.26</v>
      </c>
      <c r="EV197" s="231">
        <v>123298271</v>
      </c>
      <c r="EW197" s="231">
        <v>21649.9</v>
      </c>
      <c r="EX197" s="231">
        <v>21537.51</v>
      </c>
      <c r="EY197" s="228">
        <v>112.39</v>
      </c>
      <c r="EZ197" s="229">
        <v>5.1999999999999998E-3</v>
      </c>
      <c r="FA197" s="229">
        <v>0.5806</v>
      </c>
      <c r="FB197" s="227" t="s">
        <v>555</v>
      </c>
      <c r="FC197">
        <f t="shared" si="4"/>
        <v>0</v>
      </c>
    </row>
    <row r="198" spans="1:159" ht="17.25" thickBot="1" x14ac:dyDescent="0.3">
      <c r="A198" s="226">
        <v>45946</v>
      </c>
      <c r="B198" s="227" t="s">
        <v>221</v>
      </c>
      <c r="C198" s="227" t="s">
        <v>296</v>
      </c>
      <c r="D198" s="228">
        <v>600</v>
      </c>
      <c r="E198" s="228">
        <v>12</v>
      </c>
      <c r="F198" s="231">
        <v>1453.5</v>
      </c>
      <c r="G198" s="231">
        <v>1445.9</v>
      </c>
      <c r="H198" s="228">
        <v>7.6</v>
      </c>
      <c r="I198" s="229">
        <v>5.3E-3</v>
      </c>
      <c r="J198" s="231">
        <v>1463.8</v>
      </c>
      <c r="K198" s="231">
        <v>1459</v>
      </c>
      <c r="L198" s="228">
        <v>4.8</v>
      </c>
      <c r="M198" s="229">
        <v>3.3E-3</v>
      </c>
      <c r="N198" s="231">
        <v>1453.5</v>
      </c>
      <c r="O198" s="231">
        <v>1445.9</v>
      </c>
      <c r="P198" s="228">
        <v>7.6</v>
      </c>
      <c r="Q198" s="229">
        <v>5.3E-3</v>
      </c>
      <c r="R198" s="231">
        <v>1461.8</v>
      </c>
      <c r="S198" s="231">
        <v>1453.8</v>
      </c>
      <c r="T198" s="228">
        <v>8</v>
      </c>
      <c r="U198" s="229">
        <v>5.4999999999999997E-3</v>
      </c>
      <c r="V198" s="231">
        <v>1469.2</v>
      </c>
      <c r="W198" s="231">
        <v>1463.2</v>
      </c>
      <c r="X198" s="228">
        <v>6</v>
      </c>
      <c r="Y198" s="229">
        <v>4.1000000000000003E-3</v>
      </c>
      <c r="Z198" s="228">
        <v>-10.3</v>
      </c>
      <c r="AA198" s="228">
        <v>-13.1</v>
      </c>
      <c r="AB198" s="228">
        <v>2.8</v>
      </c>
      <c r="AC198" s="229">
        <v>-7.0000000000000001E-3</v>
      </c>
      <c r="AD198" s="228">
        <v>-10.3</v>
      </c>
      <c r="AE198" s="228">
        <v>-13.1</v>
      </c>
      <c r="AF198" s="228">
        <v>2.8</v>
      </c>
      <c r="AG198" s="229">
        <v>-7.0000000000000001E-3</v>
      </c>
      <c r="AH198" s="228">
        <v>-2</v>
      </c>
      <c r="AI198" s="228">
        <v>-5.2</v>
      </c>
      <c r="AJ198" s="228">
        <v>3.2</v>
      </c>
      <c r="AK198" s="229">
        <v>-1.4E-3</v>
      </c>
      <c r="AL198" s="228">
        <v>5.4</v>
      </c>
      <c r="AM198" s="228">
        <v>4.2</v>
      </c>
      <c r="AN198" s="228">
        <v>1.2</v>
      </c>
      <c r="AO198" s="229">
        <v>3.7000000000000002E-3</v>
      </c>
      <c r="AP198" s="231">
        <v>1448.27</v>
      </c>
      <c r="AQ198" s="231">
        <v>1456.87</v>
      </c>
      <c r="AR198" s="228">
        <v>0</v>
      </c>
      <c r="AS198" s="228">
        <v>410</v>
      </c>
      <c r="AT198" s="230">
        <v>1067</v>
      </c>
      <c r="AU198" s="228">
        <v>-657</v>
      </c>
      <c r="AV198" s="229">
        <v>-0.61570000000000003</v>
      </c>
      <c r="AW198" s="228">
        <v>348</v>
      </c>
      <c r="AX198" s="228">
        <v>976</v>
      </c>
      <c r="AY198" s="228">
        <v>-628</v>
      </c>
      <c r="AZ198" s="229">
        <v>-0.64359999999999995</v>
      </c>
      <c r="BA198" s="228">
        <v>59</v>
      </c>
      <c r="BB198" s="228">
        <v>82</v>
      </c>
      <c r="BC198" s="228">
        <v>-23</v>
      </c>
      <c r="BD198" s="229">
        <v>-0.28360000000000002</v>
      </c>
      <c r="BE198" s="228">
        <v>3</v>
      </c>
      <c r="BF198" s="228">
        <v>8</v>
      </c>
      <c r="BG198" s="228">
        <v>-5</v>
      </c>
      <c r="BH198" s="229">
        <v>-0.625</v>
      </c>
      <c r="BI198" s="230">
        <v>2039</v>
      </c>
      <c r="BJ198" s="230">
        <v>4723</v>
      </c>
      <c r="BK198" s="230">
        <v>-2684</v>
      </c>
      <c r="BL198" s="229">
        <v>-0.56830000000000003</v>
      </c>
      <c r="BM198" s="230">
        <v>1019</v>
      </c>
      <c r="BN198" s="230">
        <v>2513</v>
      </c>
      <c r="BO198" s="230">
        <v>-1494</v>
      </c>
      <c r="BP198" s="229">
        <v>-0.59460000000000002</v>
      </c>
      <c r="BQ198" s="230">
        <v>3468</v>
      </c>
      <c r="BR198" s="230">
        <v>8304</v>
      </c>
      <c r="BS198" s="230">
        <v>-4836</v>
      </c>
      <c r="BT198" s="229">
        <v>-0.58230000000000004</v>
      </c>
      <c r="BU198" s="230">
        <v>1649162</v>
      </c>
      <c r="BV198" s="230">
        <v>2970825</v>
      </c>
      <c r="BW198" s="230">
        <v>-1321663</v>
      </c>
      <c r="BX198" s="229">
        <v>-0.44490000000000002</v>
      </c>
      <c r="BY198" s="230">
        <v>2540</v>
      </c>
      <c r="BZ198" s="230">
        <v>2479</v>
      </c>
      <c r="CA198" s="228">
        <v>61</v>
      </c>
      <c r="CB198" s="229">
        <v>2.46E-2</v>
      </c>
      <c r="CC198" s="230">
        <v>2250</v>
      </c>
      <c r="CD198" s="230">
        <v>2210</v>
      </c>
      <c r="CE198" s="228">
        <v>39</v>
      </c>
      <c r="CF198" s="229">
        <v>1.78E-2</v>
      </c>
      <c r="CG198" s="228">
        <v>278</v>
      </c>
      <c r="CH198" s="228">
        <v>258</v>
      </c>
      <c r="CI198" s="228">
        <v>20</v>
      </c>
      <c r="CJ198" s="229">
        <v>7.9200000000000007E-2</v>
      </c>
      <c r="CK198" s="228">
        <v>12</v>
      </c>
      <c r="CL198" s="228">
        <v>11</v>
      </c>
      <c r="CM198" s="228">
        <v>1</v>
      </c>
      <c r="CN198" s="229">
        <v>0.1129</v>
      </c>
      <c r="CO198" s="230">
        <v>1058</v>
      </c>
      <c r="CP198" s="230">
        <v>1214</v>
      </c>
      <c r="CQ198" s="228">
        <v>-156</v>
      </c>
      <c r="CR198" s="229">
        <v>-0.1285</v>
      </c>
      <c r="CS198" s="228">
        <v>848</v>
      </c>
      <c r="CT198" s="228">
        <v>901</v>
      </c>
      <c r="CU198" s="228">
        <v>-53</v>
      </c>
      <c r="CV198" s="229">
        <v>-5.8700000000000002E-2</v>
      </c>
      <c r="CW198" s="230">
        <v>4446</v>
      </c>
      <c r="CX198" s="230">
        <v>4594</v>
      </c>
      <c r="CY198" s="228">
        <v>-148</v>
      </c>
      <c r="CZ198" s="229">
        <v>-3.2199999999999999E-2</v>
      </c>
      <c r="DA198" s="228">
        <v>23.63</v>
      </c>
      <c r="DB198" s="228">
        <v>24.12</v>
      </c>
      <c r="DC198" s="228">
        <v>-0.49</v>
      </c>
      <c r="DD198" s="228">
        <v>-0.49</v>
      </c>
      <c r="DE198" s="228">
        <v>29.96</v>
      </c>
      <c r="DF198" s="228">
        <v>30.03</v>
      </c>
      <c r="DG198" s="228">
        <v>-6.33</v>
      </c>
      <c r="DH198" s="228">
        <v>-7.0000000000000007E-2</v>
      </c>
      <c r="DI198" s="228">
        <v>23.36</v>
      </c>
      <c r="DJ198" s="228">
        <v>24.01</v>
      </c>
      <c r="DK198" s="228">
        <v>-0.65</v>
      </c>
      <c r="DL198" s="228">
        <v>-0.65</v>
      </c>
      <c r="DM198" s="228">
        <v>24.15</v>
      </c>
      <c r="DN198" s="228">
        <v>24.32</v>
      </c>
      <c r="DO198" s="228">
        <v>-0.17</v>
      </c>
      <c r="DP198" s="228">
        <v>-0.17</v>
      </c>
      <c r="DQ198" s="228">
        <v>0.8</v>
      </c>
      <c r="DR198" s="228">
        <v>0.74</v>
      </c>
      <c r="DS198" s="228">
        <v>0.06</v>
      </c>
      <c r="DT198" s="229">
        <v>8.1100000000000005E-2</v>
      </c>
      <c r="DU198" s="231">
        <v>1500</v>
      </c>
      <c r="DV198" s="231">
        <v>1400</v>
      </c>
      <c r="DW198" s="228">
        <v>0.5</v>
      </c>
      <c r="DX198" s="228">
        <v>0.53</v>
      </c>
      <c r="DY198" s="228">
        <v>-0.03</v>
      </c>
      <c r="DZ198" s="229">
        <v>-5.6599999999999998E-2</v>
      </c>
      <c r="EA198" s="229">
        <v>0.1142</v>
      </c>
      <c r="EB198" s="230">
        <v>1846800</v>
      </c>
      <c r="EC198" s="229">
        <v>5.7000000000000002E-3</v>
      </c>
      <c r="ED198" s="229">
        <v>0.1142</v>
      </c>
      <c r="EE198" s="228">
        <v>8.6</v>
      </c>
      <c r="EF198" s="229">
        <v>5.8999999999999999E-3</v>
      </c>
      <c r="EG198" s="230">
        <v>953715</v>
      </c>
      <c r="EH198" s="230">
        <v>1265178</v>
      </c>
      <c r="EI198" s="229">
        <v>-0.2462</v>
      </c>
      <c r="EJ198" s="229">
        <v>0.57830000000000004</v>
      </c>
      <c r="EK198" s="231">
        <v>2102.89</v>
      </c>
      <c r="EL198" s="231">
        <v>1004.31</v>
      </c>
      <c r="EM198" s="228">
        <v>409.06</v>
      </c>
      <c r="EN198" s="228">
        <v>68.510000000000005</v>
      </c>
      <c r="EO198" s="231">
        <v>3516.25</v>
      </c>
      <c r="EP198" s="231">
        <v>8421.18</v>
      </c>
      <c r="EQ198" s="231">
        <v>-4904.93</v>
      </c>
      <c r="ER198" s="229">
        <v>-0.58250000000000002</v>
      </c>
      <c r="ES198" s="231">
        <v>1108.53</v>
      </c>
      <c r="ET198" s="228">
        <v>815.98</v>
      </c>
      <c r="EU198" s="231">
        <v>2541.4499999999998</v>
      </c>
      <c r="EV198" s="231">
        <v>76137451</v>
      </c>
      <c r="EW198" s="231">
        <v>4465.96</v>
      </c>
      <c r="EX198" s="231">
        <v>4601.46</v>
      </c>
      <c r="EY198" s="228">
        <v>-135.5</v>
      </c>
      <c r="EZ198" s="229">
        <v>-2.9399999999999999E-2</v>
      </c>
      <c r="FA198" s="229">
        <v>0.4017</v>
      </c>
      <c r="FB198" s="227" t="s">
        <v>555</v>
      </c>
      <c r="FC198">
        <f t="shared" si="4"/>
        <v>0</v>
      </c>
    </row>
    <row r="199" spans="1:159" ht="17.25" thickBot="1" x14ac:dyDescent="0.3">
      <c r="A199" s="226">
        <v>45946</v>
      </c>
      <c r="B199" s="227" t="s">
        <v>184</v>
      </c>
      <c r="C199" s="227" t="s">
        <v>595</v>
      </c>
      <c r="D199" s="228">
        <v>200</v>
      </c>
      <c r="E199" s="228">
        <v>12</v>
      </c>
      <c r="F199" s="231">
        <v>3190.7</v>
      </c>
      <c r="G199" s="231">
        <v>3164.1</v>
      </c>
      <c r="H199" s="228">
        <v>26.6</v>
      </c>
      <c r="I199" s="229">
        <v>8.3999999999999995E-3</v>
      </c>
      <c r="J199" s="231">
        <v>3179</v>
      </c>
      <c r="K199" s="231">
        <v>3150.2</v>
      </c>
      <c r="L199" s="228">
        <v>28.8</v>
      </c>
      <c r="M199" s="229">
        <v>9.1000000000000004E-3</v>
      </c>
      <c r="N199" s="231">
        <v>3190.7</v>
      </c>
      <c r="O199" s="231">
        <v>3164.1</v>
      </c>
      <c r="P199" s="228">
        <v>26.6</v>
      </c>
      <c r="Q199" s="229">
        <v>8.3999999999999995E-3</v>
      </c>
      <c r="R199" s="231">
        <v>3206.6</v>
      </c>
      <c r="S199" s="231">
        <v>3179.5</v>
      </c>
      <c r="T199" s="228">
        <v>27.1</v>
      </c>
      <c r="U199" s="229">
        <v>8.5000000000000006E-3</v>
      </c>
      <c r="V199" s="231">
        <v>3220</v>
      </c>
      <c r="W199" s="231">
        <v>3150</v>
      </c>
      <c r="X199" s="228">
        <v>70</v>
      </c>
      <c r="Y199" s="229">
        <v>2.2200000000000001E-2</v>
      </c>
      <c r="Z199" s="228">
        <v>11.7</v>
      </c>
      <c r="AA199" s="228">
        <v>13.9</v>
      </c>
      <c r="AB199" s="228">
        <v>-2.2000000000000002</v>
      </c>
      <c r="AC199" s="229">
        <v>3.7000000000000002E-3</v>
      </c>
      <c r="AD199" s="228">
        <v>11.7</v>
      </c>
      <c r="AE199" s="228">
        <v>13.9</v>
      </c>
      <c r="AF199" s="228">
        <v>-2.2000000000000002</v>
      </c>
      <c r="AG199" s="229">
        <v>3.7000000000000002E-3</v>
      </c>
      <c r="AH199" s="228">
        <v>27.6</v>
      </c>
      <c r="AI199" s="228">
        <v>29.3</v>
      </c>
      <c r="AJ199" s="228">
        <v>-1.7</v>
      </c>
      <c r="AK199" s="229">
        <v>8.6999999999999994E-3</v>
      </c>
      <c r="AL199" s="228">
        <v>41</v>
      </c>
      <c r="AM199" s="228">
        <v>-0.2</v>
      </c>
      <c r="AN199" s="228">
        <v>41.2</v>
      </c>
      <c r="AO199" s="229">
        <v>1.29E-2</v>
      </c>
      <c r="AP199" s="231">
        <v>3199.25</v>
      </c>
      <c r="AQ199" s="231">
        <v>3213.18</v>
      </c>
      <c r="AR199" s="228">
        <v>0</v>
      </c>
      <c r="AS199" s="228">
        <v>81</v>
      </c>
      <c r="AT199" s="228">
        <v>83</v>
      </c>
      <c r="AU199" s="228">
        <v>-2</v>
      </c>
      <c r="AV199" s="229">
        <v>-2.24E-2</v>
      </c>
      <c r="AW199" s="228">
        <v>70</v>
      </c>
      <c r="AX199" s="228">
        <v>71</v>
      </c>
      <c r="AY199" s="228">
        <v>-1</v>
      </c>
      <c r="AZ199" s="229">
        <v>-1.0800000000000001E-2</v>
      </c>
      <c r="BA199" s="228">
        <v>10</v>
      </c>
      <c r="BB199" s="228">
        <v>12</v>
      </c>
      <c r="BC199" s="228">
        <v>-1</v>
      </c>
      <c r="BD199" s="229">
        <v>-0.1148</v>
      </c>
      <c r="BE199" s="228">
        <v>0</v>
      </c>
      <c r="BF199" s="228">
        <v>0</v>
      </c>
      <c r="BG199" s="228">
        <v>0</v>
      </c>
      <c r="BH199" s="229">
        <v>2</v>
      </c>
      <c r="BI199" s="228">
        <v>248</v>
      </c>
      <c r="BJ199" s="228">
        <v>154</v>
      </c>
      <c r="BK199" s="228">
        <v>94</v>
      </c>
      <c r="BL199" s="229">
        <v>0.61360000000000003</v>
      </c>
      <c r="BM199" s="228">
        <v>65</v>
      </c>
      <c r="BN199" s="228">
        <v>38</v>
      </c>
      <c r="BO199" s="228">
        <v>27</v>
      </c>
      <c r="BP199" s="229">
        <v>0.71930000000000005</v>
      </c>
      <c r="BQ199" s="228">
        <v>394</v>
      </c>
      <c r="BR199" s="228">
        <v>274</v>
      </c>
      <c r="BS199" s="228">
        <v>120</v>
      </c>
      <c r="BT199" s="229">
        <v>0.43669999999999998</v>
      </c>
      <c r="BU199" s="230">
        <v>134528</v>
      </c>
      <c r="BV199" s="230">
        <v>147858</v>
      </c>
      <c r="BW199" s="230">
        <v>-13330</v>
      </c>
      <c r="BX199" s="229">
        <v>-9.0200000000000002E-2</v>
      </c>
      <c r="BY199" s="228">
        <v>620</v>
      </c>
      <c r="BZ199" s="228">
        <v>634</v>
      </c>
      <c r="CA199" s="228">
        <v>-14</v>
      </c>
      <c r="CB199" s="229">
        <v>-2.2599999999999999E-2</v>
      </c>
      <c r="CC199" s="228">
        <v>607</v>
      </c>
      <c r="CD199" s="228">
        <v>623</v>
      </c>
      <c r="CE199" s="228">
        <v>-16</v>
      </c>
      <c r="CF199" s="229">
        <v>-2.6100000000000002E-2</v>
      </c>
      <c r="CG199" s="228">
        <v>12</v>
      </c>
      <c r="CH199" s="228">
        <v>10</v>
      </c>
      <c r="CI199" s="228">
        <v>2</v>
      </c>
      <c r="CJ199" s="229">
        <v>0.183</v>
      </c>
      <c r="CK199" s="228">
        <v>1</v>
      </c>
      <c r="CL199" s="228">
        <v>1</v>
      </c>
      <c r="CM199" s="228">
        <v>0</v>
      </c>
      <c r="CN199" s="229">
        <v>0.1</v>
      </c>
      <c r="CO199" s="228">
        <v>178</v>
      </c>
      <c r="CP199" s="228">
        <v>169</v>
      </c>
      <c r="CQ199" s="228">
        <v>9</v>
      </c>
      <c r="CR199" s="229">
        <v>5.1299999999999998E-2</v>
      </c>
      <c r="CS199" s="228">
        <v>89</v>
      </c>
      <c r="CT199" s="228">
        <v>87</v>
      </c>
      <c r="CU199" s="228">
        <v>2</v>
      </c>
      <c r="CV199" s="229">
        <v>2.7199999999999998E-2</v>
      </c>
      <c r="CW199" s="228">
        <v>887</v>
      </c>
      <c r="CX199" s="228">
        <v>890</v>
      </c>
      <c r="CY199" s="228">
        <v>-3</v>
      </c>
      <c r="CZ199" s="229">
        <v>-3.7000000000000002E-3</v>
      </c>
      <c r="DA199" s="228">
        <v>26.41</v>
      </c>
      <c r="DB199" s="228">
        <v>28.14</v>
      </c>
      <c r="DC199" s="228">
        <v>-1.73</v>
      </c>
      <c r="DD199" s="228">
        <v>-1.73</v>
      </c>
      <c r="DE199" s="228">
        <v>42.84</v>
      </c>
      <c r="DF199" s="228">
        <v>42.93</v>
      </c>
      <c r="DG199" s="228">
        <v>-16.43</v>
      </c>
      <c r="DH199" s="228">
        <v>-0.09</v>
      </c>
      <c r="DI199" s="228">
        <v>26.5</v>
      </c>
      <c r="DJ199" s="228">
        <v>28.39</v>
      </c>
      <c r="DK199" s="228">
        <v>-1.89</v>
      </c>
      <c r="DL199" s="228">
        <v>-1.89</v>
      </c>
      <c r="DM199" s="228">
        <v>26.04</v>
      </c>
      <c r="DN199" s="228">
        <v>27.13</v>
      </c>
      <c r="DO199" s="228">
        <v>-1.0900000000000001</v>
      </c>
      <c r="DP199" s="228">
        <v>-1.0900000000000001</v>
      </c>
      <c r="DQ199" s="228">
        <v>0.5</v>
      </c>
      <c r="DR199" s="228">
        <v>0.51</v>
      </c>
      <c r="DS199" s="228">
        <v>-0.01</v>
      </c>
      <c r="DT199" s="229">
        <v>-1.9599999999999999E-2</v>
      </c>
      <c r="DU199" s="231">
        <v>3200</v>
      </c>
      <c r="DV199" s="231">
        <v>3000</v>
      </c>
      <c r="DW199" s="228">
        <v>0.26</v>
      </c>
      <c r="DX199" s="228">
        <v>0.25</v>
      </c>
      <c r="DY199" s="228">
        <v>0.01</v>
      </c>
      <c r="DZ199" s="229">
        <v>0.04</v>
      </c>
      <c r="EA199" s="229">
        <v>2.0899999999999998E-2</v>
      </c>
      <c r="EB199" s="230">
        <v>34600</v>
      </c>
      <c r="EC199" s="229">
        <v>5.0000000000000001E-3</v>
      </c>
      <c r="ED199" s="229">
        <v>2.0899999999999998E-2</v>
      </c>
      <c r="EE199" s="228">
        <v>13.93</v>
      </c>
      <c r="EF199" s="229">
        <v>4.4000000000000003E-3</v>
      </c>
      <c r="EG199" s="230">
        <v>66487</v>
      </c>
      <c r="EH199" s="230">
        <v>76164</v>
      </c>
      <c r="EI199" s="229">
        <v>-0.12709999999999999</v>
      </c>
      <c r="EJ199" s="229">
        <v>0.49419999999999997</v>
      </c>
      <c r="EK199" s="228">
        <v>256.33</v>
      </c>
      <c r="EL199" s="228">
        <v>64.44</v>
      </c>
      <c r="EM199" s="228">
        <v>80.989999999999995</v>
      </c>
      <c r="EN199" s="228">
        <v>9.11</v>
      </c>
      <c r="EO199" s="228">
        <v>401.76</v>
      </c>
      <c r="EP199" s="228">
        <v>276.82</v>
      </c>
      <c r="EQ199" s="228">
        <v>124.94</v>
      </c>
      <c r="ER199" s="229">
        <v>0.45129999999999998</v>
      </c>
      <c r="ES199" s="228">
        <v>184.67</v>
      </c>
      <c r="ET199" s="228">
        <v>85.84</v>
      </c>
      <c r="EU199" s="228">
        <v>619.9</v>
      </c>
      <c r="EV199" s="231">
        <v>14039249</v>
      </c>
      <c r="EW199" s="228">
        <v>890.4</v>
      </c>
      <c r="EX199" s="228">
        <v>887.77</v>
      </c>
      <c r="EY199" s="228">
        <v>2.63</v>
      </c>
      <c r="EZ199" s="229">
        <v>3.0000000000000001E-3</v>
      </c>
      <c r="FA199" s="229">
        <v>0.19800000000000001</v>
      </c>
      <c r="FB199" s="227" t="s">
        <v>556</v>
      </c>
      <c r="FC199">
        <f t="shared" si="4"/>
        <v>0</v>
      </c>
    </row>
    <row r="200" spans="1:159" ht="17.25" thickBot="1" x14ac:dyDescent="0.3">
      <c r="A200" s="226">
        <v>45946</v>
      </c>
      <c r="B200" s="227" t="s">
        <v>184</v>
      </c>
      <c r="C200" s="227" t="s">
        <v>663</v>
      </c>
      <c r="D200" s="228">
        <v>725</v>
      </c>
      <c r="E200" s="228">
        <v>12</v>
      </c>
      <c r="F200" s="228">
        <v>884.55</v>
      </c>
      <c r="G200" s="228">
        <v>893.85</v>
      </c>
      <c r="H200" s="228">
        <v>-9.3000000000000007</v>
      </c>
      <c r="I200" s="229">
        <v>-1.04E-2</v>
      </c>
      <c r="J200" s="228">
        <v>880.95</v>
      </c>
      <c r="K200" s="228">
        <v>890.25</v>
      </c>
      <c r="L200" s="228">
        <v>-9.3000000000000007</v>
      </c>
      <c r="M200" s="229">
        <v>-1.04E-2</v>
      </c>
      <c r="N200" s="228">
        <v>884.55</v>
      </c>
      <c r="O200" s="228">
        <v>893.85</v>
      </c>
      <c r="P200" s="228">
        <v>-9.3000000000000007</v>
      </c>
      <c r="Q200" s="229">
        <v>-1.04E-2</v>
      </c>
      <c r="R200" s="228">
        <v>888.55</v>
      </c>
      <c r="S200" s="228">
        <v>896.75</v>
      </c>
      <c r="T200" s="228">
        <v>-8.1999999999999993</v>
      </c>
      <c r="U200" s="229">
        <v>-9.1000000000000004E-3</v>
      </c>
      <c r="V200" s="228">
        <v>894.75</v>
      </c>
      <c r="W200" s="228">
        <v>900.2</v>
      </c>
      <c r="X200" s="228">
        <v>-5.45</v>
      </c>
      <c r="Y200" s="229">
        <v>-6.1000000000000004E-3</v>
      </c>
      <c r="Z200" s="228">
        <v>3.6</v>
      </c>
      <c r="AA200" s="228">
        <v>3.6</v>
      </c>
      <c r="AB200" s="228">
        <v>0</v>
      </c>
      <c r="AC200" s="229">
        <v>4.1000000000000003E-3</v>
      </c>
      <c r="AD200" s="228">
        <v>3.6</v>
      </c>
      <c r="AE200" s="228">
        <v>3.6</v>
      </c>
      <c r="AF200" s="228">
        <v>0</v>
      </c>
      <c r="AG200" s="229">
        <v>4.1000000000000003E-3</v>
      </c>
      <c r="AH200" s="228">
        <v>7.6</v>
      </c>
      <c r="AI200" s="228">
        <v>6.5</v>
      </c>
      <c r="AJ200" s="228">
        <v>1.1000000000000001</v>
      </c>
      <c r="AK200" s="229">
        <v>8.6E-3</v>
      </c>
      <c r="AL200" s="228">
        <v>13.8</v>
      </c>
      <c r="AM200" s="228">
        <v>9.9499999999999993</v>
      </c>
      <c r="AN200" s="228">
        <v>3.85</v>
      </c>
      <c r="AO200" s="229">
        <v>1.5699999999999999E-2</v>
      </c>
      <c r="AP200" s="228">
        <v>887.94</v>
      </c>
      <c r="AQ200" s="228">
        <v>891.01</v>
      </c>
      <c r="AR200" s="228">
        <v>0</v>
      </c>
      <c r="AS200" s="228">
        <v>85</v>
      </c>
      <c r="AT200" s="228">
        <v>102</v>
      </c>
      <c r="AU200" s="228">
        <v>-17</v>
      </c>
      <c r="AV200" s="229">
        <v>-0.16470000000000001</v>
      </c>
      <c r="AW200" s="228">
        <v>63</v>
      </c>
      <c r="AX200" s="228">
        <v>90</v>
      </c>
      <c r="AY200" s="228">
        <v>-27</v>
      </c>
      <c r="AZ200" s="229">
        <v>-0.29799999999999999</v>
      </c>
      <c r="BA200" s="228">
        <v>22</v>
      </c>
      <c r="BB200" s="228">
        <v>12</v>
      </c>
      <c r="BC200" s="228">
        <v>10</v>
      </c>
      <c r="BD200" s="229">
        <v>0.78420000000000001</v>
      </c>
      <c r="BE200" s="228">
        <v>1</v>
      </c>
      <c r="BF200" s="228">
        <v>0</v>
      </c>
      <c r="BG200" s="228">
        <v>0</v>
      </c>
      <c r="BH200" s="229">
        <v>1</v>
      </c>
      <c r="BI200" s="228">
        <v>244</v>
      </c>
      <c r="BJ200" s="228">
        <v>440</v>
      </c>
      <c r="BK200" s="228">
        <v>-197</v>
      </c>
      <c r="BL200" s="229">
        <v>-0.44669999999999999</v>
      </c>
      <c r="BM200" s="228">
        <v>45</v>
      </c>
      <c r="BN200" s="228">
        <v>134</v>
      </c>
      <c r="BO200" s="228">
        <v>-89</v>
      </c>
      <c r="BP200" s="229">
        <v>-0.66239999999999999</v>
      </c>
      <c r="BQ200" s="228">
        <v>374</v>
      </c>
      <c r="BR200" s="228">
        <v>676</v>
      </c>
      <c r="BS200" s="228">
        <v>-302</v>
      </c>
      <c r="BT200" s="229">
        <v>-0.44700000000000001</v>
      </c>
      <c r="BU200" s="230">
        <v>629492</v>
      </c>
      <c r="BV200" s="230">
        <v>605402</v>
      </c>
      <c r="BW200" s="230">
        <v>24090</v>
      </c>
      <c r="BX200" s="229">
        <v>3.9800000000000002E-2</v>
      </c>
      <c r="BY200" s="228">
        <v>646</v>
      </c>
      <c r="BZ200" s="228">
        <v>634</v>
      </c>
      <c r="CA200" s="228">
        <v>12</v>
      </c>
      <c r="CB200" s="229">
        <v>1.8800000000000001E-2</v>
      </c>
      <c r="CC200" s="228">
        <v>595</v>
      </c>
      <c r="CD200" s="228">
        <v>593</v>
      </c>
      <c r="CE200" s="228">
        <v>2</v>
      </c>
      <c r="CF200" s="229">
        <v>3.7000000000000002E-3</v>
      </c>
      <c r="CG200" s="228">
        <v>47</v>
      </c>
      <c r="CH200" s="228">
        <v>38</v>
      </c>
      <c r="CI200" s="228">
        <v>9</v>
      </c>
      <c r="CJ200" s="229">
        <v>0.25130000000000002</v>
      </c>
      <c r="CK200" s="228">
        <v>4</v>
      </c>
      <c r="CL200" s="228">
        <v>4</v>
      </c>
      <c r="CM200" s="228">
        <v>0</v>
      </c>
      <c r="CN200" s="229">
        <v>8.0600000000000005E-2</v>
      </c>
      <c r="CO200" s="228">
        <v>363</v>
      </c>
      <c r="CP200" s="228">
        <v>345</v>
      </c>
      <c r="CQ200" s="228">
        <v>18</v>
      </c>
      <c r="CR200" s="229">
        <v>5.28E-2</v>
      </c>
      <c r="CS200" s="228">
        <v>158</v>
      </c>
      <c r="CT200" s="228">
        <v>154</v>
      </c>
      <c r="CU200" s="228">
        <v>4</v>
      </c>
      <c r="CV200" s="229">
        <v>2.92E-2</v>
      </c>
      <c r="CW200" s="230">
        <v>1167</v>
      </c>
      <c r="CX200" s="230">
        <v>1132</v>
      </c>
      <c r="CY200" s="228">
        <v>35</v>
      </c>
      <c r="CZ200" s="229">
        <v>3.0599999999999999E-2</v>
      </c>
      <c r="DA200" s="228">
        <v>37.1</v>
      </c>
      <c r="DB200" s="228">
        <v>35.85</v>
      </c>
      <c r="DC200" s="228">
        <v>1.25</v>
      </c>
      <c r="DD200" s="228">
        <v>1.25</v>
      </c>
      <c r="DE200" s="228">
        <v>55.66</v>
      </c>
      <c r="DF200" s="228">
        <v>55.78</v>
      </c>
      <c r="DG200" s="228">
        <v>-18.559999999999999</v>
      </c>
      <c r="DH200" s="228">
        <v>-0.12</v>
      </c>
      <c r="DI200" s="228">
        <v>37.369999999999997</v>
      </c>
      <c r="DJ200" s="228">
        <v>36.1</v>
      </c>
      <c r="DK200" s="228">
        <v>1.27</v>
      </c>
      <c r="DL200" s="228">
        <v>1.27</v>
      </c>
      <c r="DM200" s="228">
        <v>35.65</v>
      </c>
      <c r="DN200" s="228">
        <v>35.04</v>
      </c>
      <c r="DO200" s="228">
        <v>0.61</v>
      </c>
      <c r="DP200" s="228">
        <v>0.61</v>
      </c>
      <c r="DQ200" s="228">
        <v>0.44</v>
      </c>
      <c r="DR200" s="228">
        <v>0.45</v>
      </c>
      <c r="DS200" s="228">
        <v>-0.01</v>
      </c>
      <c r="DT200" s="229">
        <v>-2.2200000000000001E-2</v>
      </c>
      <c r="DU200" s="228">
        <v>900</v>
      </c>
      <c r="DV200" s="228">
        <v>900</v>
      </c>
      <c r="DW200" s="228">
        <v>0.19</v>
      </c>
      <c r="DX200" s="228">
        <v>0.31</v>
      </c>
      <c r="DY200" s="228">
        <v>-0.12</v>
      </c>
      <c r="DZ200" s="229">
        <v>-0.3871</v>
      </c>
      <c r="EA200" s="229">
        <v>7.9299999999999995E-2</v>
      </c>
      <c r="EB200" s="230">
        <v>469075</v>
      </c>
      <c r="EC200" s="229">
        <v>4.4999999999999997E-3</v>
      </c>
      <c r="ED200" s="229">
        <v>7.9299999999999995E-2</v>
      </c>
      <c r="EE200" s="228">
        <v>3.07</v>
      </c>
      <c r="EF200" s="229">
        <v>3.5000000000000001E-3</v>
      </c>
      <c r="EG200" s="230">
        <v>300428</v>
      </c>
      <c r="EH200" s="230">
        <v>177919</v>
      </c>
      <c r="EI200" s="229">
        <v>0.68859999999999999</v>
      </c>
      <c r="EJ200" s="229">
        <v>0.4773</v>
      </c>
      <c r="EK200" s="228">
        <v>259.37</v>
      </c>
      <c r="EL200" s="228">
        <v>43.96</v>
      </c>
      <c r="EM200" s="228">
        <v>85.64</v>
      </c>
      <c r="EN200" s="228">
        <v>16.760000000000002</v>
      </c>
      <c r="EO200" s="228">
        <v>388.97</v>
      </c>
      <c r="EP200" s="228">
        <v>710.78</v>
      </c>
      <c r="EQ200" s="228">
        <v>-321.8</v>
      </c>
      <c r="ER200" s="229">
        <v>-0.45269999999999999</v>
      </c>
      <c r="ES200" s="228">
        <v>388.07</v>
      </c>
      <c r="ET200" s="228">
        <v>153.59</v>
      </c>
      <c r="EU200" s="228">
        <v>646.24</v>
      </c>
      <c r="EV200" s="231">
        <v>12028036</v>
      </c>
      <c r="EW200" s="231">
        <v>1187.9100000000001</v>
      </c>
      <c r="EX200" s="231">
        <v>1160.19</v>
      </c>
      <c r="EY200" s="228">
        <v>27.72</v>
      </c>
      <c r="EZ200" s="229">
        <v>2.3900000000000001E-2</v>
      </c>
      <c r="FA200" s="229">
        <v>1.0968</v>
      </c>
      <c r="FB200" s="227" t="s">
        <v>567</v>
      </c>
      <c r="FC200">
        <f t="shared" si="4"/>
        <v>0</v>
      </c>
    </row>
    <row r="201" spans="1:159" ht="17.25" thickBot="1" x14ac:dyDescent="0.3">
      <c r="A201" s="226">
        <v>45946</v>
      </c>
      <c r="B201" s="227" t="s">
        <v>168</v>
      </c>
      <c r="C201" s="227" t="s">
        <v>297</v>
      </c>
      <c r="D201" s="228">
        <v>175</v>
      </c>
      <c r="E201" s="228">
        <v>12</v>
      </c>
      <c r="F201" s="231">
        <v>3653.3</v>
      </c>
      <c r="G201" s="231">
        <v>3553.9</v>
      </c>
      <c r="H201" s="228">
        <v>99.4</v>
      </c>
      <c r="I201" s="229">
        <v>2.8000000000000001E-2</v>
      </c>
      <c r="J201" s="231">
        <v>3640.3</v>
      </c>
      <c r="K201" s="231">
        <v>3549</v>
      </c>
      <c r="L201" s="228">
        <v>91.3</v>
      </c>
      <c r="M201" s="229">
        <v>2.5700000000000001E-2</v>
      </c>
      <c r="N201" s="231">
        <v>3653.3</v>
      </c>
      <c r="O201" s="231">
        <v>3553.9</v>
      </c>
      <c r="P201" s="228">
        <v>99.4</v>
      </c>
      <c r="Q201" s="229">
        <v>2.8000000000000001E-2</v>
      </c>
      <c r="R201" s="231">
        <v>3672.2</v>
      </c>
      <c r="S201" s="231">
        <v>3573.7</v>
      </c>
      <c r="T201" s="228">
        <v>98.5</v>
      </c>
      <c r="U201" s="229">
        <v>2.76E-2</v>
      </c>
      <c r="V201" s="231">
        <v>3694.1</v>
      </c>
      <c r="W201" s="231">
        <v>3596.6</v>
      </c>
      <c r="X201" s="228">
        <v>97.5</v>
      </c>
      <c r="Y201" s="229">
        <v>2.7099999999999999E-2</v>
      </c>
      <c r="Z201" s="228">
        <v>13</v>
      </c>
      <c r="AA201" s="228">
        <v>4.9000000000000004</v>
      </c>
      <c r="AB201" s="228">
        <v>8.1</v>
      </c>
      <c r="AC201" s="229">
        <v>3.5999999999999999E-3</v>
      </c>
      <c r="AD201" s="228">
        <v>13</v>
      </c>
      <c r="AE201" s="228">
        <v>4.9000000000000004</v>
      </c>
      <c r="AF201" s="228">
        <v>8.1</v>
      </c>
      <c r="AG201" s="229">
        <v>3.5999999999999999E-3</v>
      </c>
      <c r="AH201" s="228">
        <v>31.9</v>
      </c>
      <c r="AI201" s="228">
        <v>24.7</v>
      </c>
      <c r="AJ201" s="228">
        <v>7.2</v>
      </c>
      <c r="AK201" s="229">
        <v>8.8000000000000005E-3</v>
      </c>
      <c r="AL201" s="228">
        <v>53.8</v>
      </c>
      <c r="AM201" s="228">
        <v>47.6</v>
      </c>
      <c r="AN201" s="228">
        <v>6.2</v>
      </c>
      <c r="AO201" s="229">
        <v>1.4800000000000001E-2</v>
      </c>
      <c r="AP201" s="231">
        <v>3636.54</v>
      </c>
      <c r="AQ201" s="231">
        <v>3653.77</v>
      </c>
      <c r="AR201" s="228">
        <v>0</v>
      </c>
      <c r="AS201" s="228">
        <v>710</v>
      </c>
      <c r="AT201" s="228">
        <v>458</v>
      </c>
      <c r="AU201" s="228">
        <v>252</v>
      </c>
      <c r="AV201" s="229">
        <v>0.55020000000000002</v>
      </c>
      <c r="AW201" s="228">
        <v>612</v>
      </c>
      <c r="AX201" s="228">
        <v>389</v>
      </c>
      <c r="AY201" s="228">
        <v>223</v>
      </c>
      <c r="AZ201" s="229">
        <v>0.57420000000000004</v>
      </c>
      <c r="BA201" s="228">
        <v>89</v>
      </c>
      <c r="BB201" s="228">
        <v>64</v>
      </c>
      <c r="BC201" s="228">
        <v>25</v>
      </c>
      <c r="BD201" s="229">
        <v>0.38479999999999998</v>
      </c>
      <c r="BE201" s="228">
        <v>9</v>
      </c>
      <c r="BF201" s="228">
        <v>5</v>
      </c>
      <c r="BG201" s="228">
        <v>4</v>
      </c>
      <c r="BH201" s="229">
        <v>0.79749999999999999</v>
      </c>
      <c r="BI201" s="230">
        <v>6350</v>
      </c>
      <c r="BJ201" s="230">
        <v>2247</v>
      </c>
      <c r="BK201" s="230">
        <v>4103</v>
      </c>
      <c r="BL201" s="229">
        <v>1.8255999999999999</v>
      </c>
      <c r="BM201" s="230">
        <v>2534</v>
      </c>
      <c r="BN201" s="230">
        <v>1407</v>
      </c>
      <c r="BO201" s="230">
        <v>1127</v>
      </c>
      <c r="BP201" s="229">
        <v>0.80110000000000003</v>
      </c>
      <c r="BQ201" s="230">
        <v>9594</v>
      </c>
      <c r="BR201" s="230">
        <v>4113</v>
      </c>
      <c r="BS201" s="230">
        <v>5482</v>
      </c>
      <c r="BT201" s="229">
        <v>1.333</v>
      </c>
      <c r="BU201" s="230">
        <v>1584561</v>
      </c>
      <c r="BV201" s="230">
        <v>1047532</v>
      </c>
      <c r="BW201" s="230">
        <v>537029</v>
      </c>
      <c r="BX201" s="229">
        <v>0.51270000000000004</v>
      </c>
      <c r="BY201" s="230">
        <v>4095</v>
      </c>
      <c r="BZ201" s="230">
        <v>3967</v>
      </c>
      <c r="CA201" s="228">
        <v>128</v>
      </c>
      <c r="CB201" s="229">
        <v>3.2300000000000002E-2</v>
      </c>
      <c r="CC201" s="230">
        <v>3955</v>
      </c>
      <c r="CD201" s="230">
        <v>3848</v>
      </c>
      <c r="CE201" s="228">
        <v>107</v>
      </c>
      <c r="CF201" s="229">
        <v>2.7799999999999998E-2</v>
      </c>
      <c r="CG201" s="228">
        <v>128</v>
      </c>
      <c r="CH201" s="228">
        <v>104</v>
      </c>
      <c r="CI201" s="228">
        <v>23</v>
      </c>
      <c r="CJ201" s="229">
        <v>0.22170000000000001</v>
      </c>
      <c r="CK201" s="228">
        <v>12</v>
      </c>
      <c r="CL201" s="228">
        <v>14</v>
      </c>
      <c r="CM201" s="228">
        <v>-2</v>
      </c>
      <c r="CN201" s="229">
        <v>-0.13120000000000001</v>
      </c>
      <c r="CO201" s="230">
        <v>1783</v>
      </c>
      <c r="CP201" s="230">
        <v>1840</v>
      </c>
      <c r="CQ201" s="228">
        <v>-56</v>
      </c>
      <c r="CR201" s="229">
        <v>-3.0700000000000002E-2</v>
      </c>
      <c r="CS201" s="230">
        <v>1201</v>
      </c>
      <c r="CT201" s="228">
        <v>990</v>
      </c>
      <c r="CU201" s="228">
        <v>211</v>
      </c>
      <c r="CV201" s="229">
        <v>0.21329999999999999</v>
      </c>
      <c r="CW201" s="230">
        <v>7079</v>
      </c>
      <c r="CX201" s="230">
        <v>6796</v>
      </c>
      <c r="CY201" s="228">
        <v>283</v>
      </c>
      <c r="CZ201" s="229">
        <v>4.1599999999999998E-2</v>
      </c>
      <c r="DA201" s="228">
        <v>18.71</v>
      </c>
      <c r="DB201" s="228">
        <v>18.309999999999999</v>
      </c>
      <c r="DC201" s="228">
        <v>0.4</v>
      </c>
      <c r="DD201" s="228">
        <v>0.4</v>
      </c>
      <c r="DE201" s="228">
        <v>26.15</v>
      </c>
      <c r="DF201" s="228">
        <v>25.99</v>
      </c>
      <c r="DG201" s="228">
        <v>-7.44</v>
      </c>
      <c r="DH201" s="228">
        <v>0.16</v>
      </c>
      <c r="DI201" s="228">
        <v>18.309999999999999</v>
      </c>
      <c r="DJ201" s="228">
        <v>18.38</v>
      </c>
      <c r="DK201" s="228">
        <v>-7.0000000000000007E-2</v>
      </c>
      <c r="DL201" s="228">
        <v>-7.0000000000000007E-2</v>
      </c>
      <c r="DM201" s="228">
        <v>19.7</v>
      </c>
      <c r="DN201" s="228">
        <v>18.190000000000001</v>
      </c>
      <c r="DO201" s="228">
        <v>1.51</v>
      </c>
      <c r="DP201" s="228">
        <v>1.51</v>
      </c>
      <c r="DQ201" s="228">
        <v>0.67</v>
      </c>
      <c r="DR201" s="228">
        <v>0.54</v>
      </c>
      <c r="DS201" s="228">
        <v>0.13</v>
      </c>
      <c r="DT201" s="229">
        <v>0.2407</v>
      </c>
      <c r="DU201" s="231">
        <v>3400</v>
      </c>
      <c r="DV201" s="231">
        <v>3500</v>
      </c>
      <c r="DW201" s="228">
        <v>0.4</v>
      </c>
      <c r="DX201" s="228">
        <v>0.63</v>
      </c>
      <c r="DY201" s="228">
        <v>-0.23</v>
      </c>
      <c r="DZ201" s="229">
        <v>-0.36509999999999998</v>
      </c>
      <c r="EA201" s="229">
        <v>3.4099999999999998E-2</v>
      </c>
      <c r="EB201" s="230">
        <v>324450</v>
      </c>
      <c r="EC201" s="229">
        <v>5.1999999999999998E-3</v>
      </c>
      <c r="ED201" s="229">
        <v>3.4099999999999998E-2</v>
      </c>
      <c r="EE201" s="228">
        <v>17.23</v>
      </c>
      <c r="EF201" s="229">
        <v>4.7000000000000002E-3</v>
      </c>
      <c r="EG201" s="230">
        <v>746186</v>
      </c>
      <c r="EH201" s="230">
        <v>610902</v>
      </c>
      <c r="EI201" s="229">
        <v>0.22140000000000001</v>
      </c>
      <c r="EJ201" s="229">
        <v>0.47089999999999999</v>
      </c>
      <c r="EK201" s="231">
        <v>6457.28</v>
      </c>
      <c r="EL201" s="231">
        <v>2472.64</v>
      </c>
      <c r="EM201" s="228">
        <v>707.55</v>
      </c>
      <c r="EN201" s="228">
        <v>58.68</v>
      </c>
      <c r="EO201" s="231">
        <v>9637.48</v>
      </c>
      <c r="EP201" s="231">
        <v>4040.66</v>
      </c>
      <c r="EQ201" s="231">
        <v>5596.82</v>
      </c>
      <c r="ER201" s="229">
        <v>1.3851</v>
      </c>
      <c r="ES201" s="231">
        <v>1776.32</v>
      </c>
      <c r="ET201" s="231">
        <v>1137.33</v>
      </c>
      <c r="EU201" s="231">
        <v>4095.63</v>
      </c>
      <c r="EV201" s="231">
        <v>41744334</v>
      </c>
      <c r="EW201" s="231">
        <v>7009.27</v>
      </c>
      <c r="EX201" s="231">
        <v>6606.43</v>
      </c>
      <c r="EY201" s="228">
        <v>402.84</v>
      </c>
      <c r="EZ201" s="229">
        <v>6.0999999999999999E-2</v>
      </c>
      <c r="FA201" s="229">
        <v>0.4642</v>
      </c>
      <c r="FB201" s="227" t="s">
        <v>555</v>
      </c>
      <c r="FC201">
        <f t="shared" si="4"/>
        <v>0</v>
      </c>
    </row>
    <row r="202" spans="1:159" ht="17.25" thickBot="1" x14ac:dyDescent="0.3">
      <c r="A202" s="226">
        <v>45946</v>
      </c>
      <c r="B202" s="227" t="s">
        <v>170</v>
      </c>
      <c r="C202" s="227" t="s">
        <v>298</v>
      </c>
      <c r="D202" s="228">
        <v>250</v>
      </c>
      <c r="E202" s="228">
        <v>12</v>
      </c>
      <c r="F202" s="231">
        <v>3539.2</v>
      </c>
      <c r="G202" s="231">
        <v>3545.2</v>
      </c>
      <c r="H202" s="228">
        <v>-6</v>
      </c>
      <c r="I202" s="229">
        <v>-1.6999999999999999E-3</v>
      </c>
      <c r="J202" s="231">
        <v>3533.8</v>
      </c>
      <c r="K202" s="231">
        <v>3532.8</v>
      </c>
      <c r="L202" s="228">
        <v>1</v>
      </c>
      <c r="M202" s="229">
        <v>2.9999999999999997E-4</v>
      </c>
      <c r="N202" s="231">
        <v>3539.2</v>
      </c>
      <c r="O202" s="231">
        <v>3545.2</v>
      </c>
      <c r="P202" s="228">
        <v>-6</v>
      </c>
      <c r="Q202" s="229">
        <v>-1.6999999999999999E-3</v>
      </c>
      <c r="R202" s="231">
        <v>3557</v>
      </c>
      <c r="S202" s="231">
        <v>3564.7</v>
      </c>
      <c r="T202" s="228">
        <v>-7.7</v>
      </c>
      <c r="U202" s="229">
        <v>-2.2000000000000001E-3</v>
      </c>
      <c r="V202" s="231">
        <v>3570.5</v>
      </c>
      <c r="W202" s="231">
        <v>3579</v>
      </c>
      <c r="X202" s="228">
        <v>-8.5</v>
      </c>
      <c r="Y202" s="229">
        <v>-2.3999999999999998E-3</v>
      </c>
      <c r="Z202" s="228">
        <v>5.4</v>
      </c>
      <c r="AA202" s="228">
        <v>12.4</v>
      </c>
      <c r="AB202" s="228">
        <v>-7</v>
      </c>
      <c r="AC202" s="229">
        <v>1.5E-3</v>
      </c>
      <c r="AD202" s="228">
        <v>5.4</v>
      </c>
      <c r="AE202" s="228">
        <v>12.4</v>
      </c>
      <c r="AF202" s="228">
        <v>-7</v>
      </c>
      <c r="AG202" s="229">
        <v>1.5E-3</v>
      </c>
      <c r="AH202" s="228">
        <v>23.2</v>
      </c>
      <c r="AI202" s="228">
        <v>31.9</v>
      </c>
      <c r="AJ202" s="228">
        <v>-8.6999999999999993</v>
      </c>
      <c r="AK202" s="229">
        <v>6.6E-3</v>
      </c>
      <c r="AL202" s="228">
        <v>36.700000000000003</v>
      </c>
      <c r="AM202" s="228">
        <v>46.2</v>
      </c>
      <c r="AN202" s="228">
        <v>-9.5</v>
      </c>
      <c r="AO202" s="229">
        <v>1.04E-2</v>
      </c>
      <c r="AP202" s="231">
        <v>3543.66</v>
      </c>
      <c r="AQ202" s="231">
        <v>3562.61</v>
      </c>
      <c r="AR202" s="228">
        <v>0</v>
      </c>
      <c r="AS202" s="228">
        <v>53</v>
      </c>
      <c r="AT202" s="228">
        <v>84</v>
      </c>
      <c r="AU202" s="228">
        <v>-31</v>
      </c>
      <c r="AV202" s="229">
        <v>-0.3679</v>
      </c>
      <c r="AW202" s="228">
        <v>51</v>
      </c>
      <c r="AX202" s="228">
        <v>80</v>
      </c>
      <c r="AY202" s="228">
        <v>-29</v>
      </c>
      <c r="AZ202" s="229">
        <v>-0.36359999999999998</v>
      </c>
      <c r="BA202" s="228">
        <v>2</v>
      </c>
      <c r="BB202" s="228">
        <v>4</v>
      </c>
      <c r="BC202" s="228">
        <v>-2</v>
      </c>
      <c r="BD202" s="229">
        <v>-0.4773</v>
      </c>
      <c r="BE202" s="228">
        <v>0</v>
      </c>
      <c r="BF202" s="228">
        <v>0</v>
      </c>
      <c r="BG202" s="228">
        <v>0</v>
      </c>
      <c r="BH202" s="229">
        <v>0</v>
      </c>
      <c r="BI202" s="228">
        <v>191</v>
      </c>
      <c r="BJ202" s="228">
        <v>258</v>
      </c>
      <c r="BK202" s="228">
        <v>-67</v>
      </c>
      <c r="BL202" s="229">
        <v>-0.26050000000000001</v>
      </c>
      <c r="BM202" s="228">
        <v>70</v>
      </c>
      <c r="BN202" s="228">
        <v>109</v>
      </c>
      <c r="BO202" s="228">
        <v>-39</v>
      </c>
      <c r="BP202" s="229">
        <v>-0.35709999999999997</v>
      </c>
      <c r="BQ202" s="228">
        <v>314</v>
      </c>
      <c r="BR202" s="228">
        <v>451</v>
      </c>
      <c r="BS202" s="228">
        <v>-137</v>
      </c>
      <c r="BT202" s="229">
        <v>-0.30380000000000001</v>
      </c>
      <c r="BU202" s="230">
        <v>209216</v>
      </c>
      <c r="BV202" s="230">
        <v>133779</v>
      </c>
      <c r="BW202" s="230">
        <v>75437</v>
      </c>
      <c r="BX202" s="229">
        <v>0.56389999999999996</v>
      </c>
      <c r="BY202" s="228">
        <v>831</v>
      </c>
      <c r="BZ202" s="228">
        <v>832</v>
      </c>
      <c r="CA202" s="228">
        <v>-1</v>
      </c>
      <c r="CB202" s="229">
        <v>-1.1000000000000001E-3</v>
      </c>
      <c r="CC202" s="228">
        <v>825</v>
      </c>
      <c r="CD202" s="228">
        <v>827</v>
      </c>
      <c r="CE202" s="228">
        <v>-2</v>
      </c>
      <c r="CF202" s="229">
        <v>-2.2000000000000001E-3</v>
      </c>
      <c r="CG202" s="228">
        <v>6</v>
      </c>
      <c r="CH202" s="228">
        <v>6</v>
      </c>
      <c r="CI202" s="228">
        <v>1</v>
      </c>
      <c r="CJ202" s="229">
        <v>0.15870000000000001</v>
      </c>
      <c r="CK202" s="228">
        <v>0</v>
      </c>
      <c r="CL202" s="228">
        <v>0</v>
      </c>
      <c r="CM202" s="228">
        <v>0</v>
      </c>
      <c r="CN202" s="229">
        <v>0.5</v>
      </c>
      <c r="CO202" s="228">
        <v>272</v>
      </c>
      <c r="CP202" s="228">
        <v>259</v>
      </c>
      <c r="CQ202" s="228">
        <v>13</v>
      </c>
      <c r="CR202" s="229">
        <v>5.1200000000000002E-2</v>
      </c>
      <c r="CS202" s="228">
        <v>126</v>
      </c>
      <c r="CT202" s="228">
        <v>123</v>
      </c>
      <c r="CU202" s="228">
        <v>2</v>
      </c>
      <c r="CV202" s="229">
        <v>2.01E-2</v>
      </c>
      <c r="CW202" s="230">
        <v>1229</v>
      </c>
      <c r="CX202" s="230">
        <v>1215</v>
      </c>
      <c r="CY202" s="228">
        <v>15</v>
      </c>
      <c r="CZ202" s="229">
        <v>1.2200000000000001E-2</v>
      </c>
      <c r="DA202" s="228">
        <v>22.23</v>
      </c>
      <c r="DB202" s="228">
        <v>20.65</v>
      </c>
      <c r="DC202" s="228">
        <v>1.58</v>
      </c>
      <c r="DD202" s="228">
        <v>1.58</v>
      </c>
      <c r="DE202" s="228">
        <v>25.73</v>
      </c>
      <c r="DF202" s="228">
        <v>25.8</v>
      </c>
      <c r="DG202" s="228">
        <v>-3.5</v>
      </c>
      <c r="DH202" s="228">
        <v>-7.0000000000000007E-2</v>
      </c>
      <c r="DI202" s="228">
        <v>22.65</v>
      </c>
      <c r="DJ202" s="228">
        <v>21.14</v>
      </c>
      <c r="DK202" s="228">
        <v>1.51</v>
      </c>
      <c r="DL202" s="228">
        <v>1.51</v>
      </c>
      <c r="DM202" s="228">
        <v>21.1</v>
      </c>
      <c r="DN202" s="228">
        <v>19.47</v>
      </c>
      <c r="DO202" s="228">
        <v>1.63</v>
      </c>
      <c r="DP202" s="228">
        <v>1.63</v>
      </c>
      <c r="DQ202" s="228">
        <v>0.46</v>
      </c>
      <c r="DR202" s="228">
        <v>0.48</v>
      </c>
      <c r="DS202" s="228">
        <v>-0.02</v>
      </c>
      <c r="DT202" s="229">
        <v>-4.1700000000000001E-2</v>
      </c>
      <c r="DU202" s="231">
        <v>3600</v>
      </c>
      <c r="DV202" s="231">
        <v>3500</v>
      </c>
      <c r="DW202" s="228">
        <v>0.37</v>
      </c>
      <c r="DX202" s="228">
        <v>0.42</v>
      </c>
      <c r="DY202" s="228">
        <v>-0.05</v>
      </c>
      <c r="DZ202" s="229">
        <v>-0.11899999999999999</v>
      </c>
      <c r="EA202" s="229">
        <v>8.0999999999999996E-3</v>
      </c>
      <c r="EB202" s="230">
        <v>16250</v>
      </c>
      <c r="EC202" s="229">
        <v>5.0000000000000001E-3</v>
      </c>
      <c r="ED202" s="229">
        <v>8.0999999999999996E-3</v>
      </c>
      <c r="EE202" s="228">
        <v>18.95</v>
      </c>
      <c r="EF202" s="229">
        <v>5.3E-3</v>
      </c>
      <c r="EG202" s="230">
        <v>157970</v>
      </c>
      <c r="EH202" s="230">
        <v>69890</v>
      </c>
      <c r="EI202" s="229">
        <v>1.2603</v>
      </c>
      <c r="EJ202" s="229">
        <v>0.75509999999999999</v>
      </c>
      <c r="EK202" s="228">
        <v>199.38</v>
      </c>
      <c r="EL202" s="228">
        <v>69.34</v>
      </c>
      <c r="EM202" s="228">
        <v>52.99</v>
      </c>
      <c r="EN202" s="228">
        <v>12.5</v>
      </c>
      <c r="EO202" s="228">
        <v>321.72000000000003</v>
      </c>
      <c r="EP202" s="228">
        <v>461.96</v>
      </c>
      <c r="EQ202" s="228">
        <v>-140.24</v>
      </c>
      <c r="ER202" s="229">
        <v>-0.30359999999999998</v>
      </c>
      <c r="ES202" s="228">
        <v>282.29000000000002</v>
      </c>
      <c r="ET202" s="228">
        <v>125.36</v>
      </c>
      <c r="EU202" s="228">
        <v>831.48</v>
      </c>
      <c r="EV202" s="231">
        <v>16072672</v>
      </c>
      <c r="EW202" s="231">
        <v>1239.1300000000001</v>
      </c>
      <c r="EX202" s="231">
        <v>1225.8800000000001</v>
      </c>
      <c r="EY202" s="228">
        <v>13.25</v>
      </c>
      <c r="EZ202" s="229">
        <v>1.0800000000000001E-2</v>
      </c>
      <c r="FA202" s="229">
        <v>0.21609999999999999</v>
      </c>
      <c r="FB202" s="227" t="s">
        <v>568</v>
      </c>
      <c r="FC202">
        <f t="shared" si="4"/>
        <v>0</v>
      </c>
    </row>
    <row r="203" spans="1:159" ht="17.25" thickBot="1" x14ac:dyDescent="0.3">
      <c r="A203" s="226">
        <v>45946</v>
      </c>
      <c r="B203" s="227" t="s">
        <v>161</v>
      </c>
      <c r="C203" s="227" t="s">
        <v>299</v>
      </c>
      <c r="D203" s="228">
        <v>375</v>
      </c>
      <c r="E203" s="228">
        <v>12</v>
      </c>
      <c r="F203" s="231">
        <v>1338.2</v>
      </c>
      <c r="G203" s="231">
        <v>1311.3</v>
      </c>
      <c r="H203" s="228">
        <v>26.9</v>
      </c>
      <c r="I203" s="229">
        <v>2.0500000000000001E-2</v>
      </c>
      <c r="J203" s="231">
        <v>1337.6</v>
      </c>
      <c r="K203" s="231">
        <v>1309.7</v>
      </c>
      <c r="L203" s="228">
        <v>27.9</v>
      </c>
      <c r="M203" s="229">
        <v>2.1299999999999999E-2</v>
      </c>
      <c r="N203" s="231">
        <v>1338.2</v>
      </c>
      <c r="O203" s="231">
        <v>1311.3</v>
      </c>
      <c r="P203" s="228">
        <v>26.9</v>
      </c>
      <c r="Q203" s="229">
        <v>2.0500000000000001E-2</v>
      </c>
      <c r="R203" s="231">
        <v>1343.5</v>
      </c>
      <c r="S203" s="231">
        <v>1317.8</v>
      </c>
      <c r="T203" s="228">
        <v>25.7</v>
      </c>
      <c r="U203" s="229">
        <v>1.95E-2</v>
      </c>
      <c r="V203" s="231">
        <v>1352.9</v>
      </c>
      <c r="W203" s="231">
        <v>1325.6</v>
      </c>
      <c r="X203" s="228">
        <v>27.3</v>
      </c>
      <c r="Y203" s="229">
        <v>2.06E-2</v>
      </c>
      <c r="Z203" s="228">
        <v>0.6</v>
      </c>
      <c r="AA203" s="228">
        <v>1.6</v>
      </c>
      <c r="AB203" s="228">
        <v>-1</v>
      </c>
      <c r="AC203" s="229">
        <v>4.0000000000000002E-4</v>
      </c>
      <c r="AD203" s="228">
        <v>0.6</v>
      </c>
      <c r="AE203" s="228">
        <v>1.6</v>
      </c>
      <c r="AF203" s="228">
        <v>-1</v>
      </c>
      <c r="AG203" s="229">
        <v>4.0000000000000002E-4</v>
      </c>
      <c r="AH203" s="228">
        <v>5.9</v>
      </c>
      <c r="AI203" s="228">
        <v>8.1</v>
      </c>
      <c r="AJ203" s="228">
        <v>-2.2000000000000002</v>
      </c>
      <c r="AK203" s="229">
        <v>4.4000000000000003E-3</v>
      </c>
      <c r="AL203" s="228">
        <v>15.3</v>
      </c>
      <c r="AM203" s="228">
        <v>15.9</v>
      </c>
      <c r="AN203" s="228">
        <v>-0.6</v>
      </c>
      <c r="AO203" s="229">
        <v>1.14E-2</v>
      </c>
      <c r="AP203" s="231">
        <v>1326.14</v>
      </c>
      <c r="AQ203" s="231">
        <v>1329.82</v>
      </c>
      <c r="AR203" s="228">
        <v>0</v>
      </c>
      <c r="AS203" s="228">
        <v>156</v>
      </c>
      <c r="AT203" s="228">
        <v>119</v>
      </c>
      <c r="AU203" s="228">
        <v>38</v>
      </c>
      <c r="AV203" s="229">
        <v>0.31730000000000003</v>
      </c>
      <c r="AW203" s="228">
        <v>143</v>
      </c>
      <c r="AX203" s="228">
        <v>106</v>
      </c>
      <c r="AY203" s="228">
        <v>37</v>
      </c>
      <c r="AZ203" s="229">
        <v>0.35149999999999998</v>
      </c>
      <c r="BA203" s="228">
        <v>13</v>
      </c>
      <c r="BB203" s="228">
        <v>12</v>
      </c>
      <c r="BC203" s="228">
        <v>2</v>
      </c>
      <c r="BD203" s="229">
        <v>0.13039999999999999</v>
      </c>
      <c r="BE203" s="228">
        <v>0</v>
      </c>
      <c r="BF203" s="228">
        <v>1</v>
      </c>
      <c r="BG203" s="228">
        <v>-1</v>
      </c>
      <c r="BH203" s="229">
        <v>-0.68969999999999998</v>
      </c>
      <c r="BI203" s="228">
        <v>416</v>
      </c>
      <c r="BJ203" s="228">
        <v>440</v>
      </c>
      <c r="BK203" s="228">
        <v>-24</v>
      </c>
      <c r="BL203" s="229">
        <v>-5.4100000000000002E-2</v>
      </c>
      <c r="BM203" s="228">
        <v>240</v>
      </c>
      <c r="BN203" s="228">
        <v>137</v>
      </c>
      <c r="BO203" s="228">
        <v>102</v>
      </c>
      <c r="BP203" s="229">
        <v>0.74490000000000001</v>
      </c>
      <c r="BQ203" s="228">
        <v>812</v>
      </c>
      <c r="BR203" s="228">
        <v>696</v>
      </c>
      <c r="BS203" s="228">
        <v>116</v>
      </c>
      <c r="BT203" s="229">
        <v>0.16689999999999999</v>
      </c>
      <c r="BU203" s="230">
        <v>1006637</v>
      </c>
      <c r="BV203" s="230">
        <v>842530</v>
      </c>
      <c r="BW203" s="230">
        <v>164107</v>
      </c>
      <c r="BX203" s="229">
        <v>0.1948</v>
      </c>
      <c r="BY203" s="228">
        <v>476</v>
      </c>
      <c r="BZ203" s="228">
        <v>509</v>
      </c>
      <c r="CA203" s="228">
        <v>-33</v>
      </c>
      <c r="CB203" s="229">
        <v>-6.5100000000000005E-2</v>
      </c>
      <c r="CC203" s="228">
        <v>459</v>
      </c>
      <c r="CD203" s="228">
        <v>493</v>
      </c>
      <c r="CE203" s="228">
        <v>-34</v>
      </c>
      <c r="CF203" s="229">
        <v>-6.8900000000000003E-2</v>
      </c>
      <c r="CG203" s="228">
        <v>15</v>
      </c>
      <c r="CH203" s="228">
        <v>14</v>
      </c>
      <c r="CI203" s="228">
        <v>1</v>
      </c>
      <c r="CJ203" s="229">
        <v>5.3999999999999999E-2</v>
      </c>
      <c r="CK203" s="228">
        <v>2</v>
      </c>
      <c r="CL203" s="228">
        <v>2</v>
      </c>
      <c r="CM203" s="228">
        <v>0</v>
      </c>
      <c r="CN203" s="229">
        <v>2.1299999999999999E-2</v>
      </c>
      <c r="CO203" s="228">
        <v>162</v>
      </c>
      <c r="CP203" s="228">
        <v>174</v>
      </c>
      <c r="CQ203" s="228">
        <v>-11</v>
      </c>
      <c r="CR203" s="229">
        <v>-6.6199999999999995E-2</v>
      </c>
      <c r="CS203" s="228">
        <v>134</v>
      </c>
      <c r="CT203" s="228">
        <v>113</v>
      </c>
      <c r="CU203" s="228">
        <v>21</v>
      </c>
      <c r="CV203" s="229">
        <v>0.18779999999999999</v>
      </c>
      <c r="CW203" s="228">
        <v>772</v>
      </c>
      <c r="CX203" s="228">
        <v>795</v>
      </c>
      <c r="CY203" s="228">
        <v>-23</v>
      </c>
      <c r="CZ203" s="229">
        <v>-2.9499999999999998E-2</v>
      </c>
      <c r="DA203" s="228">
        <v>25.02</v>
      </c>
      <c r="DB203" s="228">
        <v>27.53</v>
      </c>
      <c r="DC203" s="228">
        <v>-2.5099999999999998</v>
      </c>
      <c r="DD203" s="228">
        <v>-2.5099999999999998</v>
      </c>
      <c r="DE203" s="228">
        <v>42.13</v>
      </c>
      <c r="DF203" s="228">
        <v>42.14</v>
      </c>
      <c r="DG203" s="228">
        <v>-17.11</v>
      </c>
      <c r="DH203" s="228">
        <v>-0.01</v>
      </c>
      <c r="DI203" s="228">
        <v>24.66</v>
      </c>
      <c r="DJ203" s="228">
        <v>27.13</v>
      </c>
      <c r="DK203" s="228">
        <v>-2.4700000000000002</v>
      </c>
      <c r="DL203" s="228">
        <v>-2.4700000000000002</v>
      </c>
      <c r="DM203" s="228">
        <v>25.66</v>
      </c>
      <c r="DN203" s="228">
        <v>28.81</v>
      </c>
      <c r="DO203" s="228">
        <v>-3.15</v>
      </c>
      <c r="DP203" s="228">
        <v>-3.15</v>
      </c>
      <c r="DQ203" s="228">
        <v>0.82</v>
      </c>
      <c r="DR203" s="228">
        <v>0.65</v>
      </c>
      <c r="DS203" s="228">
        <v>0.17</v>
      </c>
      <c r="DT203" s="229">
        <v>0.26150000000000001</v>
      </c>
      <c r="DU203" s="231">
        <v>1400</v>
      </c>
      <c r="DV203" s="231">
        <v>1300</v>
      </c>
      <c r="DW203" s="228">
        <v>0.57999999999999996</v>
      </c>
      <c r="DX203" s="228">
        <v>0.31</v>
      </c>
      <c r="DY203" s="228">
        <v>0.27</v>
      </c>
      <c r="DZ203" s="229">
        <v>0.871</v>
      </c>
      <c r="EA203" s="229">
        <v>3.5999999999999997E-2</v>
      </c>
      <c r="EB203" s="230">
        <v>121875</v>
      </c>
      <c r="EC203" s="229">
        <v>4.0000000000000001E-3</v>
      </c>
      <c r="ED203" s="229">
        <v>3.5999999999999997E-2</v>
      </c>
      <c r="EE203" s="228">
        <v>3.68</v>
      </c>
      <c r="EF203" s="229">
        <v>2.8E-3</v>
      </c>
      <c r="EG203" s="230">
        <v>602282</v>
      </c>
      <c r="EH203" s="230">
        <v>467989</v>
      </c>
      <c r="EI203" s="229">
        <v>0.28699999999999998</v>
      </c>
      <c r="EJ203" s="229">
        <v>0.59830000000000005</v>
      </c>
      <c r="EK203" s="228">
        <v>423.32</v>
      </c>
      <c r="EL203" s="228">
        <v>234.16</v>
      </c>
      <c r="EM203" s="228">
        <v>155.1</v>
      </c>
      <c r="EN203" s="228">
        <v>24.85</v>
      </c>
      <c r="EO203" s="228">
        <v>812.58</v>
      </c>
      <c r="EP203" s="228">
        <v>690.53</v>
      </c>
      <c r="EQ203" s="228">
        <v>122.05</v>
      </c>
      <c r="ER203" s="229">
        <v>0.17680000000000001</v>
      </c>
      <c r="ES203" s="228">
        <v>161.12</v>
      </c>
      <c r="ET203" s="228">
        <v>124.97</v>
      </c>
      <c r="EU203" s="228">
        <v>475.81</v>
      </c>
      <c r="EV203" s="231">
        <v>24646022</v>
      </c>
      <c r="EW203" s="228">
        <v>761.91</v>
      </c>
      <c r="EX203" s="228">
        <v>774.62</v>
      </c>
      <c r="EY203" s="228">
        <v>-12.71</v>
      </c>
      <c r="EZ203" s="229">
        <v>-1.6400000000000001E-2</v>
      </c>
      <c r="FA203" s="229">
        <v>0.2339</v>
      </c>
      <c r="FB203" s="227" t="s">
        <v>556</v>
      </c>
      <c r="FC203">
        <f t="shared" si="4"/>
        <v>0</v>
      </c>
    </row>
    <row r="204" spans="1:159" ht="17.25" thickBot="1" x14ac:dyDescent="0.3">
      <c r="A204" s="226">
        <v>45946</v>
      </c>
      <c r="B204" s="227" t="s">
        <v>197</v>
      </c>
      <c r="C204" s="227" t="s">
        <v>482</v>
      </c>
      <c r="D204" s="228">
        <v>100</v>
      </c>
      <c r="E204" s="228">
        <v>12</v>
      </c>
      <c r="F204" s="231">
        <v>4800.5</v>
      </c>
      <c r="G204" s="231">
        <v>4732.3</v>
      </c>
      <c r="H204" s="228">
        <v>68.2</v>
      </c>
      <c r="I204" s="229">
        <v>1.44E-2</v>
      </c>
      <c r="J204" s="231">
        <v>4793.3999999999996</v>
      </c>
      <c r="K204" s="231">
        <v>4724.2</v>
      </c>
      <c r="L204" s="228">
        <v>69.2</v>
      </c>
      <c r="M204" s="229">
        <v>1.46E-2</v>
      </c>
      <c r="N204" s="231">
        <v>4800.5</v>
      </c>
      <c r="O204" s="231">
        <v>4732.3</v>
      </c>
      <c r="P204" s="228">
        <v>68.2</v>
      </c>
      <c r="Q204" s="229">
        <v>1.44E-2</v>
      </c>
      <c r="R204" s="231">
        <v>4824.2</v>
      </c>
      <c r="S204" s="231">
        <v>4750.8</v>
      </c>
      <c r="T204" s="228">
        <v>73.400000000000006</v>
      </c>
      <c r="U204" s="229">
        <v>1.55E-2</v>
      </c>
      <c r="V204" s="231">
        <v>4854.7</v>
      </c>
      <c r="W204" s="231">
        <v>4786.8</v>
      </c>
      <c r="X204" s="228">
        <v>67.900000000000006</v>
      </c>
      <c r="Y204" s="229">
        <v>1.4200000000000001E-2</v>
      </c>
      <c r="Z204" s="228">
        <v>7.1</v>
      </c>
      <c r="AA204" s="228">
        <v>8.1</v>
      </c>
      <c r="AB204" s="228">
        <v>-1</v>
      </c>
      <c r="AC204" s="229">
        <v>1.5E-3</v>
      </c>
      <c r="AD204" s="228">
        <v>7.1</v>
      </c>
      <c r="AE204" s="228">
        <v>8.1</v>
      </c>
      <c r="AF204" s="228">
        <v>-1</v>
      </c>
      <c r="AG204" s="229">
        <v>1.5E-3</v>
      </c>
      <c r="AH204" s="228">
        <v>30.8</v>
      </c>
      <c r="AI204" s="228">
        <v>26.6</v>
      </c>
      <c r="AJ204" s="228">
        <v>4.2</v>
      </c>
      <c r="AK204" s="229">
        <v>6.4000000000000003E-3</v>
      </c>
      <c r="AL204" s="228">
        <v>61.3</v>
      </c>
      <c r="AM204" s="228">
        <v>62.6</v>
      </c>
      <c r="AN204" s="228">
        <v>-1.3</v>
      </c>
      <c r="AO204" s="229">
        <v>1.2800000000000001E-2</v>
      </c>
      <c r="AP204" s="231">
        <v>4785.87</v>
      </c>
      <c r="AQ204" s="231">
        <v>4813.3999999999996</v>
      </c>
      <c r="AR204" s="228">
        <v>0</v>
      </c>
      <c r="AS204" s="228">
        <v>806</v>
      </c>
      <c r="AT204" s="228">
        <v>750</v>
      </c>
      <c r="AU204" s="228">
        <v>56</v>
      </c>
      <c r="AV204" s="229">
        <v>7.5300000000000006E-2</v>
      </c>
      <c r="AW204" s="228">
        <v>649</v>
      </c>
      <c r="AX204" s="228">
        <v>620</v>
      </c>
      <c r="AY204" s="228">
        <v>29</v>
      </c>
      <c r="AZ204" s="229">
        <v>4.65E-2</v>
      </c>
      <c r="BA204" s="228">
        <v>144</v>
      </c>
      <c r="BB204" s="228">
        <v>115</v>
      </c>
      <c r="BC204" s="228">
        <v>30</v>
      </c>
      <c r="BD204" s="229">
        <v>0.2591</v>
      </c>
      <c r="BE204" s="228">
        <v>13</v>
      </c>
      <c r="BF204" s="228">
        <v>15</v>
      </c>
      <c r="BG204" s="228">
        <v>-2</v>
      </c>
      <c r="BH204" s="229">
        <v>-0.1401</v>
      </c>
      <c r="BI204" s="230">
        <v>4727</v>
      </c>
      <c r="BJ204" s="230">
        <v>4525</v>
      </c>
      <c r="BK204" s="228">
        <v>201</v>
      </c>
      <c r="BL204" s="229">
        <v>4.4499999999999998E-2</v>
      </c>
      <c r="BM204" s="230">
        <v>1814</v>
      </c>
      <c r="BN204" s="230">
        <v>1617</v>
      </c>
      <c r="BO204" s="228">
        <v>197</v>
      </c>
      <c r="BP204" s="229">
        <v>0.1215</v>
      </c>
      <c r="BQ204" s="230">
        <v>7347</v>
      </c>
      <c r="BR204" s="230">
        <v>6892</v>
      </c>
      <c r="BS204" s="228">
        <v>454</v>
      </c>
      <c r="BT204" s="229">
        <v>6.59E-2</v>
      </c>
      <c r="BU204" s="230">
        <v>1172592</v>
      </c>
      <c r="BV204" s="230">
        <v>1344895</v>
      </c>
      <c r="BW204" s="230">
        <v>-172303</v>
      </c>
      <c r="BX204" s="229">
        <v>-0.12809999999999999</v>
      </c>
      <c r="BY204" s="230">
        <v>4244</v>
      </c>
      <c r="BZ204" s="230">
        <v>4335</v>
      </c>
      <c r="CA204" s="228">
        <v>-91</v>
      </c>
      <c r="CB204" s="229">
        <v>-2.1000000000000001E-2</v>
      </c>
      <c r="CC204" s="230">
        <v>3858</v>
      </c>
      <c r="CD204" s="230">
        <v>4010</v>
      </c>
      <c r="CE204" s="228">
        <v>-152</v>
      </c>
      <c r="CF204" s="229">
        <v>-3.78E-2</v>
      </c>
      <c r="CG204" s="228">
        <v>357</v>
      </c>
      <c r="CH204" s="228">
        <v>295</v>
      </c>
      <c r="CI204" s="228">
        <v>61</v>
      </c>
      <c r="CJ204" s="229">
        <v>0.20830000000000001</v>
      </c>
      <c r="CK204" s="228">
        <v>30</v>
      </c>
      <c r="CL204" s="228">
        <v>30</v>
      </c>
      <c r="CM204" s="228">
        <v>-1</v>
      </c>
      <c r="CN204" s="229">
        <v>-2.8299999999999999E-2</v>
      </c>
      <c r="CO204" s="230">
        <v>3024</v>
      </c>
      <c r="CP204" s="230">
        <v>3345</v>
      </c>
      <c r="CQ204" s="228">
        <v>-321</v>
      </c>
      <c r="CR204" s="229">
        <v>-9.6000000000000002E-2</v>
      </c>
      <c r="CS204" s="230">
        <v>1463</v>
      </c>
      <c r="CT204" s="230">
        <v>1578</v>
      </c>
      <c r="CU204" s="228">
        <v>-115</v>
      </c>
      <c r="CV204" s="229">
        <v>-7.3099999999999998E-2</v>
      </c>
      <c r="CW204" s="230">
        <v>8731</v>
      </c>
      <c r="CX204" s="230">
        <v>9259</v>
      </c>
      <c r="CY204" s="228">
        <v>-527</v>
      </c>
      <c r="CZ204" s="229">
        <v>-5.7000000000000002E-2</v>
      </c>
      <c r="DA204" s="228">
        <v>29.21</v>
      </c>
      <c r="DB204" s="228">
        <v>31.38</v>
      </c>
      <c r="DC204" s="228">
        <v>-2.17</v>
      </c>
      <c r="DD204" s="228">
        <v>-2.17</v>
      </c>
      <c r="DE204" s="228">
        <v>45.07</v>
      </c>
      <c r="DF204" s="228">
        <v>45.14</v>
      </c>
      <c r="DG204" s="228">
        <v>-15.86</v>
      </c>
      <c r="DH204" s="228">
        <v>-7.0000000000000007E-2</v>
      </c>
      <c r="DI204" s="228">
        <v>29.02</v>
      </c>
      <c r="DJ204" s="228">
        <v>31.27</v>
      </c>
      <c r="DK204" s="228">
        <v>-2.25</v>
      </c>
      <c r="DL204" s="228">
        <v>-2.25</v>
      </c>
      <c r="DM204" s="228">
        <v>29.68</v>
      </c>
      <c r="DN204" s="228">
        <v>31.7</v>
      </c>
      <c r="DO204" s="228">
        <v>-2.02</v>
      </c>
      <c r="DP204" s="228">
        <v>-2.02</v>
      </c>
      <c r="DQ204" s="228">
        <v>0.48</v>
      </c>
      <c r="DR204" s="228">
        <v>0.47</v>
      </c>
      <c r="DS204" s="228">
        <v>0.01</v>
      </c>
      <c r="DT204" s="229">
        <v>2.1299999999999999E-2</v>
      </c>
      <c r="DU204" s="231">
        <v>5000</v>
      </c>
      <c r="DV204" s="231">
        <v>4700</v>
      </c>
      <c r="DW204" s="228">
        <v>0.38</v>
      </c>
      <c r="DX204" s="228">
        <v>0.36</v>
      </c>
      <c r="DY204" s="228">
        <v>0.02</v>
      </c>
      <c r="DZ204" s="229">
        <v>5.5599999999999997E-2</v>
      </c>
      <c r="EA204" s="229">
        <v>9.0999999999999998E-2</v>
      </c>
      <c r="EB204" s="230">
        <v>678400</v>
      </c>
      <c r="EC204" s="229">
        <v>4.8999999999999998E-3</v>
      </c>
      <c r="ED204" s="229">
        <v>9.0999999999999998E-2</v>
      </c>
      <c r="EE204" s="228">
        <v>27.53</v>
      </c>
      <c r="EF204" s="229">
        <v>5.7999999999999996E-3</v>
      </c>
      <c r="EG204" s="230">
        <v>607280</v>
      </c>
      <c r="EH204" s="230">
        <v>813709</v>
      </c>
      <c r="EI204" s="229">
        <v>-0.25369999999999998</v>
      </c>
      <c r="EJ204" s="229">
        <v>0.51790000000000003</v>
      </c>
      <c r="EK204" s="231">
        <v>4940.5200000000004</v>
      </c>
      <c r="EL204" s="231">
        <v>1759.23</v>
      </c>
      <c r="EM204" s="228">
        <v>804.95</v>
      </c>
      <c r="EN204" s="228">
        <v>107.08</v>
      </c>
      <c r="EO204" s="231">
        <v>7504.7</v>
      </c>
      <c r="EP204" s="231">
        <v>6993.67</v>
      </c>
      <c r="EQ204" s="228">
        <v>511.03</v>
      </c>
      <c r="ER204" s="229">
        <v>7.3099999999999998E-2</v>
      </c>
      <c r="ES204" s="231">
        <v>3241.79</v>
      </c>
      <c r="ET204" s="231">
        <v>1429.01</v>
      </c>
      <c r="EU204" s="231">
        <v>4246.55</v>
      </c>
      <c r="EV204" s="231">
        <v>33590487</v>
      </c>
      <c r="EW204" s="231">
        <v>8917.35</v>
      </c>
      <c r="EX204" s="231">
        <v>9382.44</v>
      </c>
      <c r="EY204" s="228">
        <v>-465.09</v>
      </c>
      <c r="EZ204" s="229">
        <v>-4.9599999999999998E-2</v>
      </c>
      <c r="FA204" s="229">
        <v>0.54149999999999998</v>
      </c>
      <c r="FB204" s="227" t="s">
        <v>556</v>
      </c>
      <c r="FC204">
        <f t="shared" si="4"/>
        <v>0</v>
      </c>
    </row>
    <row r="205" spans="1:159" ht="17.25" thickBot="1" x14ac:dyDescent="0.3">
      <c r="A205" s="226">
        <v>45946</v>
      </c>
      <c r="B205" s="227" t="s">
        <v>162</v>
      </c>
      <c r="C205" s="227" t="s">
        <v>300</v>
      </c>
      <c r="D205" s="228">
        <v>350</v>
      </c>
      <c r="E205" s="228">
        <v>12</v>
      </c>
      <c r="F205" s="231">
        <v>3581</v>
      </c>
      <c r="G205" s="231">
        <v>3579.4</v>
      </c>
      <c r="H205" s="228">
        <v>1.6</v>
      </c>
      <c r="I205" s="229">
        <v>4.0000000000000002E-4</v>
      </c>
      <c r="J205" s="231">
        <v>3576.5</v>
      </c>
      <c r="K205" s="231">
        <v>3574.9</v>
      </c>
      <c r="L205" s="228">
        <v>1.6</v>
      </c>
      <c r="M205" s="229">
        <v>4.0000000000000002E-4</v>
      </c>
      <c r="N205" s="231">
        <v>3581</v>
      </c>
      <c r="O205" s="231">
        <v>3579.4</v>
      </c>
      <c r="P205" s="228">
        <v>1.6</v>
      </c>
      <c r="Q205" s="229">
        <v>4.0000000000000002E-4</v>
      </c>
      <c r="R205" s="231">
        <v>3599.6</v>
      </c>
      <c r="S205" s="231">
        <v>3595.8</v>
      </c>
      <c r="T205" s="228">
        <v>3.8</v>
      </c>
      <c r="U205" s="229">
        <v>1.1000000000000001E-3</v>
      </c>
      <c r="V205" s="231">
        <v>3610</v>
      </c>
      <c r="W205" s="231">
        <v>3611.2</v>
      </c>
      <c r="X205" s="228">
        <v>-1.2</v>
      </c>
      <c r="Y205" s="229">
        <v>-2.9999999999999997E-4</v>
      </c>
      <c r="Z205" s="228">
        <v>4.5</v>
      </c>
      <c r="AA205" s="228">
        <v>4.5</v>
      </c>
      <c r="AB205" s="228">
        <v>0</v>
      </c>
      <c r="AC205" s="229">
        <v>1.2999999999999999E-3</v>
      </c>
      <c r="AD205" s="228">
        <v>4.5</v>
      </c>
      <c r="AE205" s="228">
        <v>4.5</v>
      </c>
      <c r="AF205" s="228">
        <v>0</v>
      </c>
      <c r="AG205" s="229">
        <v>1.2999999999999999E-3</v>
      </c>
      <c r="AH205" s="228">
        <v>23.1</v>
      </c>
      <c r="AI205" s="228">
        <v>20.9</v>
      </c>
      <c r="AJ205" s="228">
        <v>2.2000000000000002</v>
      </c>
      <c r="AK205" s="229">
        <v>6.4999999999999997E-3</v>
      </c>
      <c r="AL205" s="228">
        <v>33.5</v>
      </c>
      <c r="AM205" s="228">
        <v>36.299999999999997</v>
      </c>
      <c r="AN205" s="228">
        <v>-2.8</v>
      </c>
      <c r="AO205" s="229">
        <v>9.4000000000000004E-3</v>
      </c>
      <c r="AP205" s="231">
        <v>3595.18</v>
      </c>
      <c r="AQ205" s="231">
        <v>3623.41</v>
      </c>
      <c r="AR205" s="228">
        <v>0</v>
      </c>
      <c r="AS205" s="228">
        <v>611</v>
      </c>
      <c r="AT205" s="228">
        <v>497</v>
      </c>
      <c r="AU205" s="228">
        <v>113</v>
      </c>
      <c r="AV205" s="229">
        <v>0.2276</v>
      </c>
      <c r="AW205" s="228">
        <v>544</v>
      </c>
      <c r="AX205" s="228">
        <v>462</v>
      </c>
      <c r="AY205" s="228">
        <v>82</v>
      </c>
      <c r="AZ205" s="229">
        <v>0.1767</v>
      </c>
      <c r="BA205" s="228">
        <v>62</v>
      </c>
      <c r="BB205" s="228">
        <v>32</v>
      </c>
      <c r="BC205" s="228">
        <v>30</v>
      </c>
      <c r="BD205" s="229">
        <v>0.92249999999999999</v>
      </c>
      <c r="BE205" s="228">
        <v>4</v>
      </c>
      <c r="BF205" s="228">
        <v>3</v>
      </c>
      <c r="BG205" s="228">
        <v>2</v>
      </c>
      <c r="BH205" s="229">
        <v>0.61899999999999999</v>
      </c>
      <c r="BI205" s="230">
        <v>2842</v>
      </c>
      <c r="BJ205" s="230">
        <v>1446</v>
      </c>
      <c r="BK205" s="230">
        <v>1396</v>
      </c>
      <c r="BL205" s="229">
        <v>0.96519999999999995</v>
      </c>
      <c r="BM205" s="230">
        <v>1141</v>
      </c>
      <c r="BN205" s="228">
        <v>891</v>
      </c>
      <c r="BO205" s="228">
        <v>250</v>
      </c>
      <c r="BP205" s="229">
        <v>0.28050000000000003</v>
      </c>
      <c r="BQ205" s="230">
        <v>4593</v>
      </c>
      <c r="BR205" s="230">
        <v>2834</v>
      </c>
      <c r="BS205" s="230">
        <v>1759</v>
      </c>
      <c r="BT205" s="229">
        <v>0.62060000000000004</v>
      </c>
      <c r="BU205" s="230">
        <v>774615</v>
      </c>
      <c r="BV205" s="230">
        <v>1131085</v>
      </c>
      <c r="BW205" s="230">
        <v>-356470</v>
      </c>
      <c r="BX205" s="229">
        <v>-0.31519999999999998</v>
      </c>
      <c r="BY205" s="230">
        <v>3398</v>
      </c>
      <c r="BZ205" s="230">
        <v>3367</v>
      </c>
      <c r="CA205" s="228">
        <v>31</v>
      </c>
      <c r="CB205" s="229">
        <v>9.1999999999999998E-3</v>
      </c>
      <c r="CC205" s="230">
        <v>3333</v>
      </c>
      <c r="CD205" s="230">
        <v>3315</v>
      </c>
      <c r="CE205" s="228">
        <v>19</v>
      </c>
      <c r="CF205" s="229">
        <v>5.5999999999999999E-3</v>
      </c>
      <c r="CG205" s="228">
        <v>59</v>
      </c>
      <c r="CH205" s="228">
        <v>48</v>
      </c>
      <c r="CI205" s="228">
        <v>11</v>
      </c>
      <c r="CJ205" s="229">
        <v>0.22570000000000001</v>
      </c>
      <c r="CK205" s="228">
        <v>6</v>
      </c>
      <c r="CL205" s="228">
        <v>5</v>
      </c>
      <c r="CM205" s="228">
        <v>2</v>
      </c>
      <c r="CN205" s="229">
        <v>0.37840000000000001</v>
      </c>
      <c r="CO205" s="228">
        <v>843</v>
      </c>
      <c r="CP205" s="228">
        <v>751</v>
      </c>
      <c r="CQ205" s="228">
        <v>92</v>
      </c>
      <c r="CR205" s="229">
        <v>0.1227</v>
      </c>
      <c r="CS205" s="228">
        <v>674</v>
      </c>
      <c r="CT205" s="228">
        <v>609</v>
      </c>
      <c r="CU205" s="228">
        <v>65</v>
      </c>
      <c r="CV205" s="229">
        <v>0.10680000000000001</v>
      </c>
      <c r="CW205" s="230">
        <v>4915</v>
      </c>
      <c r="CX205" s="230">
        <v>4727</v>
      </c>
      <c r="CY205" s="228">
        <v>188</v>
      </c>
      <c r="CZ205" s="229">
        <v>3.9800000000000002E-2</v>
      </c>
      <c r="DA205" s="228">
        <v>24.98</v>
      </c>
      <c r="DB205" s="228">
        <v>26.01</v>
      </c>
      <c r="DC205" s="228">
        <v>-1.03</v>
      </c>
      <c r="DD205" s="228">
        <v>-1.03</v>
      </c>
      <c r="DE205" s="228">
        <v>31.15</v>
      </c>
      <c r="DF205" s="228">
        <v>31.22</v>
      </c>
      <c r="DG205" s="228">
        <v>-6.17</v>
      </c>
      <c r="DH205" s="228">
        <v>-7.0000000000000007E-2</v>
      </c>
      <c r="DI205" s="228">
        <v>24.68</v>
      </c>
      <c r="DJ205" s="228">
        <v>25.31</v>
      </c>
      <c r="DK205" s="228">
        <v>-0.63</v>
      </c>
      <c r="DL205" s="228">
        <v>-0.63</v>
      </c>
      <c r="DM205" s="228">
        <v>25.72</v>
      </c>
      <c r="DN205" s="228">
        <v>27.15</v>
      </c>
      <c r="DO205" s="228">
        <v>-1.43</v>
      </c>
      <c r="DP205" s="228">
        <v>-1.43</v>
      </c>
      <c r="DQ205" s="228">
        <v>0.8</v>
      </c>
      <c r="DR205" s="228">
        <v>0.81</v>
      </c>
      <c r="DS205" s="228">
        <v>-0.01</v>
      </c>
      <c r="DT205" s="229">
        <v>-1.23E-2</v>
      </c>
      <c r="DU205" s="231">
        <v>3600</v>
      </c>
      <c r="DV205" s="231">
        <v>3400</v>
      </c>
      <c r="DW205" s="228">
        <v>0.4</v>
      </c>
      <c r="DX205" s="228">
        <v>0.62</v>
      </c>
      <c r="DY205" s="228">
        <v>-0.22</v>
      </c>
      <c r="DZ205" s="229">
        <v>-0.3548</v>
      </c>
      <c r="EA205" s="229">
        <v>1.9099999999999999E-2</v>
      </c>
      <c r="EB205" s="230">
        <v>146300</v>
      </c>
      <c r="EC205" s="229">
        <v>5.1999999999999998E-3</v>
      </c>
      <c r="ED205" s="229">
        <v>1.9099999999999999E-2</v>
      </c>
      <c r="EE205" s="228">
        <v>28.23</v>
      </c>
      <c r="EF205" s="229">
        <v>7.9000000000000008E-3</v>
      </c>
      <c r="EG205" s="230">
        <v>391659</v>
      </c>
      <c r="EH205" s="230">
        <v>708622</v>
      </c>
      <c r="EI205" s="229">
        <v>-0.44729999999999998</v>
      </c>
      <c r="EJ205" s="229">
        <v>0.50560000000000005</v>
      </c>
      <c r="EK205" s="231">
        <v>2938.2</v>
      </c>
      <c r="EL205" s="231">
        <v>1125.22</v>
      </c>
      <c r="EM205" s="228">
        <v>613.46</v>
      </c>
      <c r="EN205" s="228">
        <v>24.35</v>
      </c>
      <c r="EO205" s="231">
        <v>4676.88</v>
      </c>
      <c r="EP205" s="231">
        <v>2841.99</v>
      </c>
      <c r="EQ205" s="231">
        <v>1834.89</v>
      </c>
      <c r="ER205" s="229">
        <v>0.64559999999999995</v>
      </c>
      <c r="ES205" s="228">
        <v>855.65</v>
      </c>
      <c r="ET205" s="228">
        <v>636.66999999999996</v>
      </c>
      <c r="EU205" s="231">
        <v>3398.56</v>
      </c>
      <c r="EV205" s="231">
        <v>35369445</v>
      </c>
      <c r="EW205" s="231">
        <v>4890.8900000000003</v>
      </c>
      <c r="EX205" s="231">
        <v>4697.6499999999996</v>
      </c>
      <c r="EY205" s="228">
        <v>193.24</v>
      </c>
      <c r="EZ205" s="229">
        <v>4.1099999999999998E-2</v>
      </c>
      <c r="FA205" s="229">
        <v>0.3881</v>
      </c>
      <c r="FB205" s="227" t="s">
        <v>555</v>
      </c>
      <c r="FC205">
        <f t="shared" si="4"/>
        <v>0</v>
      </c>
    </row>
    <row r="206" spans="1:159" ht="17.25" thickBot="1" x14ac:dyDescent="0.3">
      <c r="A206" s="226">
        <v>45946</v>
      </c>
      <c r="B206" s="227" t="s">
        <v>157</v>
      </c>
      <c r="C206" s="227" t="s">
        <v>302</v>
      </c>
      <c r="D206" s="228">
        <v>50</v>
      </c>
      <c r="E206" s="228">
        <v>12</v>
      </c>
      <c r="F206" s="231">
        <v>12401</v>
      </c>
      <c r="G206" s="231">
        <v>12326</v>
      </c>
      <c r="H206" s="228">
        <v>75</v>
      </c>
      <c r="I206" s="229">
        <v>6.1000000000000004E-3</v>
      </c>
      <c r="J206" s="231">
        <v>12358</v>
      </c>
      <c r="K206" s="231">
        <v>12311</v>
      </c>
      <c r="L206" s="228">
        <v>47</v>
      </c>
      <c r="M206" s="229">
        <v>3.8E-3</v>
      </c>
      <c r="N206" s="231">
        <v>12401</v>
      </c>
      <c r="O206" s="231">
        <v>12326</v>
      </c>
      <c r="P206" s="228">
        <v>75</v>
      </c>
      <c r="Q206" s="229">
        <v>6.1000000000000004E-3</v>
      </c>
      <c r="R206" s="231">
        <v>12468</v>
      </c>
      <c r="S206" s="231">
        <v>12394</v>
      </c>
      <c r="T206" s="228">
        <v>74</v>
      </c>
      <c r="U206" s="229">
        <v>6.0000000000000001E-3</v>
      </c>
      <c r="V206" s="231">
        <v>12576</v>
      </c>
      <c r="W206" s="231">
        <v>12472</v>
      </c>
      <c r="X206" s="228">
        <v>104</v>
      </c>
      <c r="Y206" s="229">
        <v>8.3000000000000001E-3</v>
      </c>
      <c r="Z206" s="228">
        <v>43</v>
      </c>
      <c r="AA206" s="228">
        <v>15</v>
      </c>
      <c r="AB206" s="228">
        <v>28</v>
      </c>
      <c r="AC206" s="229">
        <v>3.5000000000000001E-3</v>
      </c>
      <c r="AD206" s="228">
        <v>43</v>
      </c>
      <c r="AE206" s="228">
        <v>15</v>
      </c>
      <c r="AF206" s="228">
        <v>28</v>
      </c>
      <c r="AG206" s="229">
        <v>3.5000000000000001E-3</v>
      </c>
      <c r="AH206" s="228">
        <v>110</v>
      </c>
      <c r="AI206" s="228">
        <v>83</v>
      </c>
      <c r="AJ206" s="228">
        <v>27</v>
      </c>
      <c r="AK206" s="229">
        <v>8.8999999999999999E-3</v>
      </c>
      <c r="AL206" s="228">
        <v>218</v>
      </c>
      <c r="AM206" s="228">
        <v>161</v>
      </c>
      <c r="AN206" s="228">
        <v>57</v>
      </c>
      <c r="AO206" s="229">
        <v>1.7600000000000001E-2</v>
      </c>
      <c r="AP206" s="231">
        <v>12397.05</v>
      </c>
      <c r="AQ206" s="231">
        <v>12470.46</v>
      </c>
      <c r="AR206" s="228">
        <v>0</v>
      </c>
      <c r="AS206" s="228">
        <v>268</v>
      </c>
      <c r="AT206" s="228">
        <v>272</v>
      </c>
      <c r="AU206" s="228">
        <v>-4</v>
      </c>
      <c r="AV206" s="229">
        <v>-1.6400000000000001E-2</v>
      </c>
      <c r="AW206" s="228">
        <v>235</v>
      </c>
      <c r="AX206" s="228">
        <v>241</v>
      </c>
      <c r="AY206" s="228">
        <v>-5</v>
      </c>
      <c r="AZ206" s="229">
        <v>-2.0899999999999998E-2</v>
      </c>
      <c r="BA206" s="228">
        <v>31</v>
      </c>
      <c r="BB206" s="228">
        <v>31</v>
      </c>
      <c r="BC206" s="228">
        <v>0</v>
      </c>
      <c r="BD206" s="229">
        <v>1.01E-2</v>
      </c>
      <c r="BE206" s="228">
        <v>1</v>
      </c>
      <c r="BF206" s="228">
        <v>1</v>
      </c>
      <c r="BG206" s="228">
        <v>0</v>
      </c>
      <c r="BH206" s="229">
        <v>0.22220000000000001</v>
      </c>
      <c r="BI206" s="230">
        <v>1002</v>
      </c>
      <c r="BJ206" s="230">
        <v>1061</v>
      </c>
      <c r="BK206" s="228">
        <v>-59</v>
      </c>
      <c r="BL206" s="229">
        <v>-5.5800000000000002E-2</v>
      </c>
      <c r="BM206" s="228">
        <v>439</v>
      </c>
      <c r="BN206" s="228">
        <v>656</v>
      </c>
      <c r="BO206" s="228">
        <v>-218</v>
      </c>
      <c r="BP206" s="229">
        <v>-0.33169999999999999</v>
      </c>
      <c r="BQ206" s="230">
        <v>1708</v>
      </c>
      <c r="BR206" s="230">
        <v>1989</v>
      </c>
      <c r="BS206" s="228">
        <v>-281</v>
      </c>
      <c r="BT206" s="229">
        <v>-0.1414</v>
      </c>
      <c r="BU206" s="230">
        <v>133956</v>
      </c>
      <c r="BV206" s="230">
        <v>146797</v>
      </c>
      <c r="BW206" s="230">
        <v>-12841</v>
      </c>
      <c r="BX206" s="229">
        <v>-8.7499999999999994E-2</v>
      </c>
      <c r="BY206" s="230">
        <v>2850</v>
      </c>
      <c r="BZ206" s="230">
        <v>2867</v>
      </c>
      <c r="CA206" s="228">
        <v>-18</v>
      </c>
      <c r="CB206" s="229">
        <v>-6.1000000000000004E-3</v>
      </c>
      <c r="CC206" s="230">
        <v>2770</v>
      </c>
      <c r="CD206" s="230">
        <v>2800</v>
      </c>
      <c r="CE206" s="228">
        <v>-30</v>
      </c>
      <c r="CF206" s="229">
        <v>-1.0800000000000001E-2</v>
      </c>
      <c r="CG206" s="228">
        <v>71</v>
      </c>
      <c r="CH206" s="228">
        <v>59</v>
      </c>
      <c r="CI206" s="228">
        <v>12</v>
      </c>
      <c r="CJ206" s="229">
        <v>0.19980000000000001</v>
      </c>
      <c r="CK206" s="228">
        <v>8</v>
      </c>
      <c r="CL206" s="228">
        <v>8</v>
      </c>
      <c r="CM206" s="228">
        <v>1</v>
      </c>
      <c r="CN206" s="229">
        <v>8.7300000000000003E-2</v>
      </c>
      <c r="CO206" s="228">
        <v>747</v>
      </c>
      <c r="CP206" s="228">
        <v>805</v>
      </c>
      <c r="CQ206" s="228">
        <v>-59</v>
      </c>
      <c r="CR206" s="229">
        <v>-7.2800000000000004E-2</v>
      </c>
      <c r="CS206" s="228">
        <v>540</v>
      </c>
      <c r="CT206" s="228">
        <v>545</v>
      </c>
      <c r="CU206" s="228">
        <v>-4</v>
      </c>
      <c r="CV206" s="229">
        <v>-7.9000000000000008E-3</v>
      </c>
      <c r="CW206" s="230">
        <v>4137</v>
      </c>
      <c r="CX206" s="230">
        <v>4217</v>
      </c>
      <c r="CY206" s="228">
        <v>-81</v>
      </c>
      <c r="CZ206" s="229">
        <v>-1.9099999999999999E-2</v>
      </c>
      <c r="DA206" s="228">
        <v>22.4</v>
      </c>
      <c r="DB206" s="228">
        <v>23.17</v>
      </c>
      <c r="DC206" s="228">
        <v>-0.77</v>
      </c>
      <c r="DD206" s="228">
        <v>-0.77</v>
      </c>
      <c r="DE206" s="228">
        <v>25.43</v>
      </c>
      <c r="DF206" s="228">
        <v>25.49</v>
      </c>
      <c r="DG206" s="228">
        <v>-3.03</v>
      </c>
      <c r="DH206" s="228">
        <v>-0.06</v>
      </c>
      <c r="DI206" s="228">
        <v>21.89</v>
      </c>
      <c r="DJ206" s="228">
        <v>22.2</v>
      </c>
      <c r="DK206" s="228">
        <v>-0.31</v>
      </c>
      <c r="DL206" s="228">
        <v>-0.31</v>
      </c>
      <c r="DM206" s="228">
        <v>23.58</v>
      </c>
      <c r="DN206" s="228">
        <v>24.73</v>
      </c>
      <c r="DO206" s="228">
        <v>-1.1499999999999999</v>
      </c>
      <c r="DP206" s="228">
        <v>-1.1499999999999999</v>
      </c>
      <c r="DQ206" s="228">
        <v>0.72</v>
      </c>
      <c r="DR206" s="228">
        <v>0.68</v>
      </c>
      <c r="DS206" s="228">
        <v>0.04</v>
      </c>
      <c r="DT206" s="229">
        <v>5.8799999999999998E-2</v>
      </c>
      <c r="DU206" s="231">
        <v>13000</v>
      </c>
      <c r="DV206" s="231">
        <v>12000</v>
      </c>
      <c r="DW206" s="228">
        <v>0.44</v>
      </c>
      <c r="DX206" s="228">
        <v>0.62</v>
      </c>
      <c r="DY206" s="228">
        <v>-0.18</v>
      </c>
      <c r="DZ206" s="229">
        <v>-0.2903</v>
      </c>
      <c r="EA206" s="229">
        <v>2.7900000000000001E-2</v>
      </c>
      <c r="EB206" s="230">
        <v>54100</v>
      </c>
      <c r="EC206" s="229">
        <v>5.4000000000000003E-3</v>
      </c>
      <c r="ED206" s="229">
        <v>2.7900000000000001E-2</v>
      </c>
      <c r="EE206" s="228">
        <v>73.41</v>
      </c>
      <c r="EF206" s="229">
        <v>5.8999999999999999E-3</v>
      </c>
      <c r="EG206" s="230">
        <v>77043</v>
      </c>
      <c r="EH206" s="230">
        <v>83507</v>
      </c>
      <c r="EI206" s="229">
        <v>-7.7399999999999997E-2</v>
      </c>
      <c r="EJ206" s="229">
        <v>0.57509999999999994</v>
      </c>
      <c r="EK206" s="231">
        <v>1027.99</v>
      </c>
      <c r="EL206" s="228">
        <v>425.33</v>
      </c>
      <c r="EM206" s="228">
        <v>268.04000000000002</v>
      </c>
      <c r="EN206" s="228">
        <v>36.020000000000003</v>
      </c>
      <c r="EO206" s="231">
        <v>1721.36</v>
      </c>
      <c r="EP206" s="231">
        <v>1973.96</v>
      </c>
      <c r="EQ206" s="228">
        <v>-252.6</v>
      </c>
      <c r="ER206" s="229">
        <v>-0.128</v>
      </c>
      <c r="ES206" s="228">
        <v>771.37</v>
      </c>
      <c r="ET206" s="228">
        <v>512.32000000000005</v>
      </c>
      <c r="EU206" s="231">
        <v>2850.19</v>
      </c>
      <c r="EV206" s="231">
        <v>11962066</v>
      </c>
      <c r="EW206" s="231">
        <v>4133.88</v>
      </c>
      <c r="EX206" s="231">
        <v>4196.47</v>
      </c>
      <c r="EY206" s="228">
        <v>-62.59</v>
      </c>
      <c r="EZ206" s="229">
        <v>-1.49E-2</v>
      </c>
      <c r="FA206" s="229">
        <v>0.27889999999999998</v>
      </c>
      <c r="FB206" s="227" t="s">
        <v>556</v>
      </c>
      <c r="FC206">
        <f t="shared" si="4"/>
        <v>0</v>
      </c>
    </row>
    <row r="207" spans="1:159" ht="17.25" thickBot="1" x14ac:dyDescent="0.3">
      <c r="A207" s="226">
        <v>45946</v>
      </c>
      <c r="B207" s="227" t="s">
        <v>172</v>
      </c>
      <c r="C207" s="227" t="s">
        <v>593</v>
      </c>
      <c r="D207" s="228">
        <v>4425</v>
      </c>
      <c r="E207" s="228">
        <v>12</v>
      </c>
      <c r="F207" s="228">
        <v>139.18</v>
      </c>
      <c r="G207" s="228">
        <v>139.91</v>
      </c>
      <c r="H207" s="228">
        <v>-0.73</v>
      </c>
      <c r="I207" s="229">
        <v>-5.1999999999999998E-3</v>
      </c>
      <c r="J207" s="228">
        <v>138.81</v>
      </c>
      <c r="K207" s="228">
        <v>139.44</v>
      </c>
      <c r="L207" s="228">
        <v>-0.63</v>
      </c>
      <c r="M207" s="229">
        <v>-4.4999999999999997E-3</v>
      </c>
      <c r="N207" s="228">
        <v>139.18</v>
      </c>
      <c r="O207" s="228">
        <v>139.91</v>
      </c>
      <c r="P207" s="228">
        <v>-0.73</v>
      </c>
      <c r="Q207" s="229">
        <v>-5.1999999999999998E-3</v>
      </c>
      <c r="R207" s="228">
        <v>139.85</v>
      </c>
      <c r="S207" s="228">
        <v>140.69999999999999</v>
      </c>
      <c r="T207" s="228">
        <v>-0.85</v>
      </c>
      <c r="U207" s="229">
        <v>-6.0000000000000001E-3</v>
      </c>
      <c r="V207" s="228">
        <v>140.79</v>
      </c>
      <c r="W207" s="228">
        <v>141.72</v>
      </c>
      <c r="X207" s="228">
        <v>-0.93</v>
      </c>
      <c r="Y207" s="229">
        <v>-6.6E-3</v>
      </c>
      <c r="Z207" s="228">
        <v>0.37</v>
      </c>
      <c r="AA207" s="228">
        <v>0.47</v>
      </c>
      <c r="AB207" s="228">
        <v>-0.1</v>
      </c>
      <c r="AC207" s="229">
        <v>2.7000000000000001E-3</v>
      </c>
      <c r="AD207" s="228">
        <v>0.37</v>
      </c>
      <c r="AE207" s="228">
        <v>0.47</v>
      </c>
      <c r="AF207" s="228">
        <v>-0.1</v>
      </c>
      <c r="AG207" s="229">
        <v>2.7000000000000001E-3</v>
      </c>
      <c r="AH207" s="228">
        <v>1.04</v>
      </c>
      <c r="AI207" s="228">
        <v>1.26</v>
      </c>
      <c r="AJ207" s="228">
        <v>-0.22</v>
      </c>
      <c r="AK207" s="229">
        <v>7.4999999999999997E-3</v>
      </c>
      <c r="AL207" s="228">
        <v>1.98</v>
      </c>
      <c r="AM207" s="228">
        <v>2.2799999999999998</v>
      </c>
      <c r="AN207" s="228">
        <v>-0.3</v>
      </c>
      <c r="AO207" s="229">
        <v>1.43E-2</v>
      </c>
      <c r="AP207" s="228">
        <v>139.43</v>
      </c>
      <c r="AQ207" s="228">
        <v>140.1</v>
      </c>
      <c r="AR207" s="228">
        <v>0</v>
      </c>
      <c r="AS207" s="228">
        <v>184</v>
      </c>
      <c r="AT207" s="228">
        <v>194</v>
      </c>
      <c r="AU207" s="228">
        <v>-10</v>
      </c>
      <c r="AV207" s="229">
        <v>-5.1200000000000002E-2</v>
      </c>
      <c r="AW207" s="228">
        <v>146</v>
      </c>
      <c r="AX207" s="228">
        <v>170</v>
      </c>
      <c r="AY207" s="228">
        <v>-24</v>
      </c>
      <c r="AZ207" s="229">
        <v>-0.13900000000000001</v>
      </c>
      <c r="BA207" s="228">
        <v>37</v>
      </c>
      <c r="BB207" s="228">
        <v>22</v>
      </c>
      <c r="BC207" s="228">
        <v>14</v>
      </c>
      <c r="BD207" s="229">
        <v>0.63009999999999999</v>
      </c>
      <c r="BE207" s="228">
        <v>1</v>
      </c>
      <c r="BF207" s="228">
        <v>1</v>
      </c>
      <c r="BG207" s="228">
        <v>0</v>
      </c>
      <c r="BH207" s="229">
        <v>-0.36359999999999998</v>
      </c>
      <c r="BI207" s="228">
        <v>280</v>
      </c>
      <c r="BJ207" s="228">
        <v>402</v>
      </c>
      <c r="BK207" s="228">
        <v>-122</v>
      </c>
      <c r="BL207" s="229">
        <v>-0.30370000000000003</v>
      </c>
      <c r="BM207" s="228">
        <v>117</v>
      </c>
      <c r="BN207" s="228">
        <v>176</v>
      </c>
      <c r="BO207" s="228">
        <v>-59</v>
      </c>
      <c r="BP207" s="229">
        <v>-0.33560000000000001</v>
      </c>
      <c r="BQ207" s="228">
        <v>580</v>
      </c>
      <c r="BR207" s="228">
        <v>771</v>
      </c>
      <c r="BS207" s="228">
        <v>-191</v>
      </c>
      <c r="BT207" s="229">
        <v>-0.24759999999999999</v>
      </c>
      <c r="BU207" s="230">
        <v>5225189</v>
      </c>
      <c r="BV207" s="230">
        <v>7249817</v>
      </c>
      <c r="BW207" s="230">
        <v>-2024628</v>
      </c>
      <c r="BX207" s="229">
        <v>-0.27929999999999999</v>
      </c>
      <c r="BY207" s="230">
        <v>1164</v>
      </c>
      <c r="BZ207" s="230">
        <v>1168</v>
      </c>
      <c r="CA207" s="228">
        <v>-4</v>
      </c>
      <c r="CB207" s="229">
        <v>-3.5999999999999999E-3</v>
      </c>
      <c r="CC207" s="230">
        <v>1092</v>
      </c>
      <c r="CD207" s="230">
        <v>1105</v>
      </c>
      <c r="CE207" s="228">
        <v>-13</v>
      </c>
      <c r="CF207" s="229">
        <v>-1.17E-2</v>
      </c>
      <c r="CG207" s="228">
        <v>67</v>
      </c>
      <c r="CH207" s="228">
        <v>58</v>
      </c>
      <c r="CI207" s="228">
        <v>9</v>
      </c>
      <c r="CJ207" s="229">
        <v>0.1532</v>
      </c>
      <c r="CK207" s="228">
        <v>6</v>
      </c>
      <c r="CL207" s="228">
        <v>6</v>
      </c>
      <c r="CM207" s="228">
        <v>0</v>
      </c>
      <c r="CN207" s="229">
        <v>-2.1700000000000001E-2</v>
      </c>
      <c r="CO207" s="228">
        <v>441</v>
      </c>
      <c r="CP207" s="228">
        <v>426</v>
      </c>
      <c r="CQ207" s="228">
        <v>15</v>
      </c>
      <c r="CR207" s="229">
        <v>3.5299999999999998E-2</v>
      </c>
      <c r="CS207" s="228">
        <v>274</v>
      </c>
      <c r="CT207" s="228">
        <v>269</v>
      </c>
      <c r="CU207" s="228">
        <v>6</v>
      </c>
      <c r="CV207" s="229">
        <v>2.1100000000000001E-2</v>
      </c>
      <c r="CW207" s="230">
        <v>1880</v>
      </c>
      <c r="CX207" s="230">
        <v>1863</v>
      </c>
      <c r="CY207" s="228">
        <v>17</v>
      </c>
      <c r="CZ207" s="229">
        <v>8.8999999999999999E-3</v>
      </c>
      <c r="DA207" s="228">
        <v>31.6</v>
      </c>
      <c r="DB207" s="228">
        <v>31.21</v>
      </c>
      <c r="DC207" s="228">
        <v>0.39</v>
      </c>
      <c r="DD207" s="228">
        <v>0.39</v>
      </c>
      <c r="DE207" s="228">
        <v>42.54</v>
      </c>
      <c r="DF207" s="228">
        <v>42.64</v>
      </c>
      <c r="DG207" s="228">
        <v>-10.94</v>
      </c>
      <c r="DH207" s="228">
        <v>-0.1</v>
      </c>
      <c r="DI207" s="228">
        <v>31.76</v>
      </c>
      <c r="DJ207" s="228">
        <v>31.1</v>
      </c>
      <c r="DK207" s="228">
        <v>0.66</v>
      </c>
      <c r="DL207" s="228">
        <v>0.66</v>
      </c>
      <c r="DM207" s="228">
        <v>31.2</v>
      </c>
      <c r="DN207" s="228">
        <v>31.47</v>
      </c>
      <c r="DO207" s="228">
        <v>-0.27</v>
      </c>
      <c r="DP207" s="228">
        <v>-0.27</v>
      </c>
      <c r="DQ207" s="228">
        <v>0.62</v>
      </c>
      <c r="DR207" s="228">
        <v>0.63</v>
      </c>
      <c r="DS207" s="228">
        <v>-0.01</v>
      </c>
      <c r="DT207" s="229">
        <v>-1.5900000000000001E-2</v>
      </c>
      <c r="DU207" s="228">
        <v>140</v>
      </c>
      <c r="DV207" s="228">
        <v>140</v>
      </c>
      <c r="DW207" s="228">
        <v>0.42</v>
      </c>
      <c r="DX207" s="228">
        <v>0.44</v>
      </c>
      <c r="DY207" s="228">
        <v>-0.02</v>
      </c>
      <c r="DZ207" s="229">
        <v>-4.5499999999999999E-2</v>
      </c>
      <c r="EA207" s="229">
        <v>6.2100000000000002E-2</v>
      </c>
      <c r="EB207" s="230">
        <v>4566600</v>
      </c>
      <c r="EC207" s="229">
        <v>4.7999999999999996E-3</v>
      </c>
      <c r="ED207" s="229">
        <v>6.2100000000000002E-2</v>
      </c>
      <c r="EE207" s="228">
        <v>0.67</v>
      </c>
      <c r="EF207" s="229">
        <v>4.7999999999999996E-3</v>
      </c>
      <c r="EG207" s="230">
        <v>1897499</v>
      </c>
      <c r="EH207" s="230">
        <v>3053662</v>
      </c>
      <c r="EI207" s="229">
        <v>-0.37859999999999999</v>
      </c>
      <c r="EJ207" s="229">
        <v>0.36309999999999998</v>
      </c>
      <c r="EK207" s="228">
        <v>290.33999999999997</v>
      </c>
      <c r="EL207" s="228">
        <v>116.42</v>
      </c>
      <c r="EM207" s="228">
        <v>184.11</v>
      </c>
      <c r="EN207" s="228">
        <v>33.29</v>
      </c>
      <c r="EO207" s="228">
        <v>590.87</v>
      </c>
      <c r="EP207" s="228">
        <v>786.87</v>
      </c>
      <c r="EQ207" s="228">
        <v>-196</v>
      </c>
      <c r="ER207" s="229">
        <v>-0.24909999999999999</v>
      </c>
      <c r="ES207" s="228">
        <v>457.62</v>
      </c>
      <c r="ET207" s="228">
        <v>267.39999999999998</v>
      </c>
      <c r="EU207" s="231">
        <v>1164.44</v>
      </c>
      <c r="EV207" s="231">
        <v>289041713</v>
      </c>
      <c r="EW207" s="231">
        <v>1889.47</v>
      </c>
      <c r="EX207" s="231">
        <v>1879.17</v>
      </c>
      <c r="EY207" s="228">
        <v>10.3</v>
      </c>
      <c r="EZ207" s="229">
        <v>5.4999999999999997E-3</v>
      </c>
      <c r="FA207" s="229">
        <v>0.4672</v>
      </c>
      <c r="FB207" s="227" t="s">
        <v>568</v>
      </c>
      <c r="FC207">
        <f t="shared" si="4"/>
        <v>0</v>
      </c>
    </row>
    <row r="208" spans="1:159" ht="17.25" thickBot="1" x14ac:dyDescent="0.3">
      <c r="A208" s="226">
        <v>45946</v>
      </c>
      <c r="B208" s="227" t="s">
        <v>168</v>
      </c>
      <c r="C208" s="227" t="s">
        <v>569</v>
      </c>
      <c r="D208" s="228">
        <v>400</v>
      </c>
      <c r="E208" s="228">
        <v>12</v>
      </c>
      <c r="F208" s="231">
        <v>1362.1</v>
      </c>
      <c r="G208" s="231">
        <v>1336.4</v>
      </c>
      <c r="H208" s="228">
        <v>25.7</v>
      </c>
      <c r="I208" s="229">
        <v>1.9199999999999998E-2</v>
      </c>
      <c r="J208" s="231">
        <v>1359.1</v>
      </c>
      <c r="K208" s="231">
        <v>1333.1</v>
      </c>
      <c r="L208" s="228">
        <v>26</v>
      </c>
      <c r="M208" s="229">
        <v>1.95E-2</v>
      </c>
      <c r="N208" s="231">
        <v>1362.1</v>
      </c>
      <c r="O208" s="231">
        <v>1336.4</v>
      </c>
      <c r="P208" s="228">
        <v>25.7</v>
      </c>
      <c r="Q208" s="229">
        <v>1.9199999999999998E-2</v>
      </c>
      <c r="R208" s="231">
        <v>1369.3</v>
      </c>
      <c r="S208" s="231">
        <v>1343.3</v>
      </c>
      <c r="T208" s="228">
        <v>26</v>
      </c>
      <c r="U208" s="229">
        <v>1.9400000000000001E-2</v>
      </c>
      <c r="V208" s="231">
        <v>1379.6</v>
      </c>
      <c r="W208" s="231">
        <v>1350.4</v>
      </c>
      <c r="X208" s="228">
        <v>29.2</v>
      </c>
      <c r="Y208" s="229">
        <v>2.1600000000000001E-2</v>
      </c>
      <c r="Z208" s="228">
        <v>3</v>
      </c>
      <c r="AA208" s="228">
        <v>3.3</v>
      </c>
      <c r="AB208" s="228">
        <v>-0.3</v>
      </c>
      <c r="AC208" s="229">
        <v>2.2000000000000001E-3</v>
      </c>
      <c r="AD208" s="228">
        <v>3</v>
      </c>
      <c r="AE208" s="228">
        <v>3.3</v>
      </c>
      <c r="AF208" s="228">
        <v>-0.3</v>
      </c>
      <c r="AG208" s="229">
        <v>2.2000000000000001E-3</v>
      </c>
      <c r="AH208" s="228">
        <v>10.199999999999999</v>
      </c>
      <c r="AI208" s="228">
        <v>10.199999999999999</v>
      </c>
      <c r="AJ208" s="228">
        <v>0</v>
      </c>
      <c r="AK208" s="229">
        <v>7.4999999999999997E-3</v>
      </c>
      <c r="AL208" s="228">
        <v>20.5</v>
      </c>
      <c r="AM208" s="228">
        <v>17.3</v>
      </c>
      <c r="AN208" s="228">
        <v>3.2</v>
      </c>
      <c r="AO208" s="229">
        <v>1.5100000000000001E-2</v>
      </c>
      <c r="AP208" s="231">
        <v>1357.04</v>
      </c>
      <c r="AQ208" s="231">
        <v>1366.34</v>
      </c>
      <c r="AR208" s="228">
        <v>0</v>
      </c>
      <c r="AS208" s="228">
        <v>283</v>
      </c>
      <c r="AT208" s="228">
        <v>143</v>
      </c>
      <c r="AU208" s="228">
        <v>140</v>
      </c>
      <c r="AV208" s="229">
        <v>0.98360000000000003</v>
      </c>
      <c r="AW208" s="228">
        <v>211</v>
      </c>
      <c r="AX208" s="228">
        <v>122</v>
      </c>
      <c r="AY208" s="228">
        <v>89</v>
      </c>
      <c r="AZ208" s="229">
        <v>0.73040000000000005</v>
      </c>
      <c r="BA208" s="228">
        <v>69</v>
      </c>
      <c r="BB208" s="228">
        <v>19</v>
      </c>
      <c r="BC208" s="228">
        <v>50</v>
      </c>
      <c r="BD208" s="229">
        <v>2.6446999999999998</v>
      </c>
      <c r="BE208" s="228">
        <v>3</v>
      </c>
      <c r="BF208" s="228">
        <v>2</v>
      </c>
      <c r="BG208" s="228">
        <v>1</v>
      </c>
      <c r="BH208" s="229">
        <v>0.56669999999999998</v>
      </c>
      <c r="BI208" s="228">
        <v>780</v>
      </c>
      <c r="BJ208" s="228">
        <v>434</v>
      </c>
      <c r="BK208" s="228">
        <v>346</v>
      </c>
      <c r="BL208" s="229">
        <v>0.79669999999999996</v>
      </c>
      <c r="BM208" s="228">
        <v>409</v>
      </c>
      <c r="BN208" s="228">
        <v>145</v>
      </c>
      <c r="BO208" s="228">
        <v>264</v>
      </c>
      <c r="BP208" s="229">
        <v>1.8130999999999999</v>
      </c>
      <c r="BQ208" s="230">
        <v>1473</v>
      </c>
      <c r="BR208" s="228">
        <v>723</v>
      </c>
      <c r="BS208" s="228">
        <v>750</v>
      </c>
      <c r="BT208" s="229">
        <v>1.0382</v>
      </c>
      <c r="BU208" s="230">
        <v>852782</v>
      </c>
      <c r="BV208" s="230">
        <v>848250</v>
      </c>
      <c r="BW208" s="230">
        <v>4532</v>
      </c>
      <c r="BX208" s="229">
        <v>5.3E-3</v>
      </c>
      <c r="BY208" s="230">
        <v>1808</v>
      </c>
      <c r="BZ208" s="230">
        <v>1885</v>
      </c>
      <c r="CA208" s="228">
        <v>-77</v>
      </c>
      <c r="CB208" s="229">
        <v>-4.0800000000000003E-2</v>
      </c>
      <c r="CC208" s="230">
        <v>1712</v>
      </c>
      <c r="CD208" s="230">
        <v>1810</v>
      </c>
      <c r="CE208" s="228">
        <v>-98</v>
      </c>
      <c r="CF208" s="229">
        <v>-5.4300000000000001E-2</v>
      </c>
      <c r="CG208" s="228">
        <v>91</v>
      </c>
      <c r="CH208" s="228">
        <v>69</v>
      </c>
      <c r="CI208" s="228">
        <v>22</v>
      </c>
      <c r="CJ208" s="229">
        <v>0.31669999999999998</v>
      </c>
      <c r="CK208" s="228">
        <v>6</v>
      </c>
      <c r="CL208" s="228">
        <v>6</v>
      </c>
      <c r="CM208" s="228">
        <v>0</v>
      </c>
      <c r="CN208" s="229">
        <v>-5.3100000000000001E-2</v>
      </c>
      <c r="CO208" s="228">
        <v>566</v>
      </c>
      <c r="CP208" s="228">
        <v>572</v>
      </c>
      <c r="CQ208" s="228">
        <v>-5</v>
      </c>
      <c r="CR208" s="229">
        <v>-9.1000000000000004E-3</v>
      </c>
      <c r="CS208" s="228">
        <v>374</v>
      </c>
      <c r="CT208" s="228">
        <v>353</v>
      </c>
      <c r="CU208" s="228">
        <v>21</v>
      </c>
      <c r="CV208" s="229">
        <v>5.9499999999999997E-2</v>
      </c>
      <c r="CW208" s="230">
        <v>2749</v>
      </c>
      <c r="CX208" s="230">
        <v>2810</v>
      </c>
      <c r="CY208" s="228">
        <v>-61</v>
      </c>
      <c r="CZ208" s="229">
        <v>-2.1700000000000001E-2</v>
      </c>
      <c r="DA208" s="228">
        <v>22.65</v>
      </c>
      <c r="DB208" s="228">
        <v>24.03</v>
      </c>
      <c r="DC208" s="228">
        <v>-1.38</v>
      </c>
      <c r="DD208" s="228">
        <v>-1.38</v>
      </c>
      <c r="DE208" s="228">
        <v>28.31</v>
      </c>
      <c r="DF208" s="228">
        <v>28.26</v>
      </c>
      <c r="DG208" s="228">
        <v>-5.66</v>
      </c>
      <c r="DH208" s="228">
        <v>0.05</v>
      </c>
      <c r="DI208" s="228">
        <v>22.02</v>
      </c>
      <c r="DJ208" s="228">
        <v>24.1</v>
      </c>
      <c r="DK208" s="228">
        <v>-2.08</v>
      </c>
      <c r="DL208" s="228">
        <v>-2.08</v>
      </c>
      <c r="DM208" s="228">
        <v>23.86</v>
      </c>
      <c r="DN208" s="228">
        <v>23.84</v>
      </c>
      <c r="DO208" s="228">
        <v>0.02</v>
      </c>
      <c r="DP208" s="228">
        <v>0.02</v>
      </c>
      <c r="DQ208" s="228">
        <v>0.66</v>
      </c>
      <c r="DR208" s="228">
        <v>0.62</v>
      </c>
      <c r="DS208" s="228">
        <v>0.04</v>
      </c>
      <c r="DT208" s="229">
        <v>6.4500000000000002E-2</v>
      </c>
      <c r="DU208" s="231">
        <v>1400</v>
      </c>
      <c r="DV208" s="231">
        <v>1300</v>
      </c>
      <c r="DW208" s="228">
        <v>0.52</v>
      </c>
      <c r="DX208" s="228">
        <v>0.33</v>
      </c>
      <c r="DY208" s="228">
        <v>0.19</v>
      </c>
      <c r="DZ208" s="229">
        <v>0.57579999999999998</v>
      </c>
      <c r="EA208" s="229">
        <v>5.33E-2</v>
      </c>
      <c r="EB208" s="230">
        <v>550400</v>
      </c>
      <c r="EC208" s="229">
        <v>5.3E-3</v>
      </c>
      <c r="ED208" s="229">
        <v>5.33E-2</v>
      </c>
      <c r="EE208" s="228">
        <v>9.3000000000000007</v>
      </c>
      <c r="EF208" s="229">
        <v>6.8999999999999999E-3</v>
      </c>
      <c r="EG208" s="230">
        <v>486125</v>
      </c>
      <c r="EH208" s="230">
        <v>599046</v>
      </c>
      <c r="EI208" s="229">
        <v>-0.1885</v>
      </c>
      <c r="EJ208" s="229">
        <v>0.56999999999999995</v>
      </c>
      <c r="EK208" s="228">
        <v>799.87</v>
      </c>
      <c r="EL208" s="228">
        <v>418.9</v>
      </c>
      <c r="EM208" s="228">
        <v>282.49</v>
      </c>
      <c r="EN208" s="228">
        <v>25.76</v>
      </c>
      <c r="EO208" s="231">
        <v>1501.27</v>
      </c>
      <c r="EP208" s="228">
        <v>718.84</v>
      </c>
      <c r="EQ208" s="228">
        <v>782.43</v>
      </c>
      <c r="ER208" s="229">
        <v>1.0885</v>
      </c>
      <c r="ES208" s="228">
        <v>584.11</v>
      </c>
      <c r="ET208" s="228">
        <v>374.81</v>
      </c>
      <c r="EU208" s="231">
        <v>1808.5</v>
      </c>
      <c r="EV208" s="231">
        <v>47269416</v>
      </c>
      <c r="EW208" s="231">
        <v>2767.42</v>
      </c>
      <c r="EX208" s="231">
        <v>2787.98</v>
      </c>
      <c r="EY208" s="228">
        <v>-20.56</v>
      </c>
      <c r="EZ208" s="229">
        <v>-7.4000000000000003E-3</v>
      </c>
      <c r="FA208" s="229">
        <v>0.4269</v>
      </c>
      <c r="FB208" s="227" t="s">
        <v>556</v>
      </c>
      <c r="FC208">
        <f t="shared" si="4"/>
        <v>0</v>
      </c>
    </row>
    <row r="209" spans="1:159" ht="17.25" thickBot="1" x14ac:dyDescent="0.3">
      <c r="A209" s="226">
        <v>45946</v>
      </c>
      <c r="B209" s="227" t="s">
        <v>162</v>
      </c>
      <c r="C209" s="227" t="s">
        <v>675</v>
      </c>
      <c r="D209" s="228">
        <v>550</v>
      </c>
      <c r="E209" s="228">
        <v>12</v>
      </c>
      <c r="F209" s="231">
        <v>1234.4000000000001</v>
      </c>
      <c r="G209" s="231">
        <v>1209.5999999999999</v>
      </c>
      <c r="H209" s="228">
        <v>24.8</v>
      </c>
      <c r="I209" s="229">
        <v>2.0500000000000001E-2</v>
      </c>
      <c r="J209" s="231">
        <v>1235.2</v>
      </c>
      <c r="K209" s="231">
        <v>1207.4000000000001</v>
      </c>
      <c r="L209" s="228">
        <v>27.8</v>
      </c>
      <c r="M209" s="229">
        <v>2.3E-2</v>
      </c>
      <c r="N209" s="231">
        <v>1234.4000000000001</v>
      </c>
      <c r="O209" s="231">
        <v>1209.5999999999999</v>
      </c>
      <c r="P209" s="228">
        <v>24.8</v>
      </c>
      <c r="Q209" s="229">
        <v>2.0500000000000001E-2</v>
      </c>
      <c r="R209" s="231">
        <v>1232.4000000000001</v>
      </c>
      <c r="S209" s="231">
        <v>1208</v>
      </c>
      <c r="T209" s="228">
        <v>24.4</v>
      </c>
      <c r="U209" s="229">
        <v>2.0199999999999999E-2</v>
      </c>
      <c r="V209" s="231">
        <v>1231.5999999999999</v>
      </c>
      <c r="W209" s="231">
        <v>1211</v>
      </c>
      <c r="X209" s="228">
        <v>20.6</v>
      </c>
      <c r="Y209" s="229">
        <v>1.7000000000000001E-2</v>
      </c>
      <c r="Z209" s="228">
        <v>-0.8</v>
      </c>
      <c r="AA209" s="228">
        <v>2.2000000000000002</v>
      </c>
      <c r="AB209" s="228">
        <v>-3</v>
      </c>
      <c r="AC209" s="229">
        <v>-5.9999999999999995E-4</v>
      </c>
      <c r="AD209" s="228">
        <v>-0.8</v>
      </c>
      <c r="AE209" s="228">
        <v>2.2000000000000002</v>
      </c>
      <c r="AF209" s="228">
        <v>-3</v>
      </c>
      <c r="AG209" s="229">
        <v>-5.9999999999999995E-4</v>
      </c>
      <c r="AH209" s="228">
        <v>-2.8</v>
      </c>
      <c r="AI209" s="228">
        <v>0.6</v>
      </c>
      <c r="AJ209" s="228">
        <v>-3.4</v>
      </c>
      <c r="AK209" s="229">
        <v>-2.3E-3</v>
      </c>
      <c r="AL209" s="228">
        <v>-3.6</v>
      </c>
      <c r="AM209" s="228">
        <v>3.6</v>
      </c>
      <c r="AN209" s="228">
        <v>-7.2</v>
      </c>
      <c r="AO209" s="229">
        <v>-2.8999999999999998E-3</v>
      </c>
      <c r="AP209" s="231">
        <v>1231.6099999999999</v>
      </c>
      <c r="AQ209" s="231">
        <v>1229.26</v>
      </c>
      <c r="AR209" s="228">
        <v>0</v>
      </c>
      <c r="AS209" s="228">
        <v>187</v>
      </c>
      <c r="AT209" s="228">
        <v>179</v>
      </c>
      <c r="AU209" s="228">
        <v>8</v>
      </c>
      <c r="AV209" s="229">
        <v>4.4299999999999999E-2</v>
      </c>
      <c r="AW209" s="228">
        <v>166</v>
      </c>
      <c r="AX209" s="228">
        <v>161</v>
      </c>
      <c r="AY209" s="228">
        <v>5</v>
      </c>
      <c r="AZ209" s="229">
        <v>2.9000000000000001E-2</v>
      </c>
      <c r="BA209" s="228">
        <v>20</v>
      </c>
      <c r="BB209" s="228">
        <v>17</v>
      </c>
      <c r="BC209" s="228">
        <v>3</v>
      </c>
      <c r="BD209" s="229">
        <v>0.20730000000000001</v>
      </c>
      <c r="BE209" s="228">
        <v>1</v>
      </c>
      <c r="BF209" s="228">
        <v>1</v>
      </c>
      <c r="BG209" s="228">
        <v>0</v>
      </c>
      <c r="BH209" s="229">
        <v>-0.16669999999999999</v>
      </c>
      <c r="BI209" s="228">
        <v>564</v>
      </c>
      <c r="BJ209" s="228">
        <v>556</v>
      </c>
      <c r="BK209" s="228">
        <v>8</v>
      </c>
      <c r="BL209" s="229">
        <v>1.4500000000000001E-2</v>
      </c>
      <c r="BM209" s="228">
        <v>184</v>
      </c>
      <c r="BN209" s="228">
        <v>217</v>
      </c>
      <c r="BO209" s="228">
        <v>-33</v>
      </c>
      <c r="BP209" s="229">
        <v>-0.15129999999999999</v>
      </c>
      <c r="BQ209" s="228">
        <v>935</v>
      </c>
      <c r="BR209" s="228">
        <v>952</v>
      </c>
      <c r="BS209" s="228">
        <v>-17</v>
      </c>
      <c r="BT209" s="229">
        <v>-1.7600000000000001E-2</v>
      </c>
      <c r="BU209" s="230">
        <v>1166822</v>
      </c>
      <c r="BV209" s="230">
        <v>1200478</v>
      </c>
      <c r="BW209" s="230">
        <v>-33656</v>
      </c>
      <c r="BX209" s="229">
        <v>-2.8000000000000001E-2</v>
      </c>
      <c r="BY209" s="228">
        <v>451</v>
      </c>
      <c r="BZ209" s="228">
        <v>469</v>
      </c>
      <c r="CA209" s="228">
        <v>-19</v>
      </c>
      <c r="CB209" s="229">
        <v>-4.02E-2</v>
      </c>
      <c r="CC209" s="228">
        <v>402</v>
      </c>
      <c r="CD209" s="228">
        <v>427</v>
      </c>
      <c r="CE209" s="228">
        <v>-25</v>
      </c>
      <c r="CF209" s="229">
        <v>-5.9299999999999999E-2</v>
      </c>
      <c r="CG209" s="228">
        <v>43</v>
      </c>
      <c r="CH209" s="228">
        <v>36</v>
      </c>
      <c r="CI209" s="228">
        <v>7</v>
      </c>
      <c r="CJ209" s="229">
        <v>0.18870000000000001</v>
      </c>
      <c r="CK209" s="228">
        <v>6</v>
      </c>
      <c r="CL209" s="228">
        <v>6</v>
      </c>
      <c r="CM209" s="228">
        <v>0</v>
      </c>
      <c r="CN209" s="229">
        <v>-5.4300000000000001E-2</v>
      </c>
      <c r="CO209" s="228">
        <v>432</v>
      </c>
      <c r="CP209" s="228">
        <v>471</v>
      </c>
      <c r="CQ209" s="228">
        <v>-39</v>
      </c>
      <c r="CR209" s="229">
        <v>-8.2199999999999995E-2</v>
      </c>
      <c r="CS209" s="228">
        <v>193</v>
      </c>
      <c r="CT209" s="228">
        <v>210</v>
      </c>
      <c r="CU209" s="228">
        <v>-17</v>
      </c>
      <c r="CV209" s="229">
        <v>-8.0500000000000002E-2</v>
      </c>
      <c r="CW209" s="230">
        <v>1076</v>
      </c>
      <c r="CX209" s="230">
        <v>1150</v>
      </c>
      <c r="CY209" s="228">
        <v>-74</v>
      </c>
      <c r="CZ209" s="229">
        <v>-6.4799999999999996E-2</v>
      </c>
      <c r="DA209" s="228">
        <v>33.26</v>
      </c>
      <c r="DB209" s="228">
        <v>34.43</v>
      </c>
      <c r="DC209" s="228">
        <v>-1.17</v>
      </c>
      <c r="DD209" s="228">
        <v>-1.17</v>
      </c>
      <c r="DE209" s="228">
        <v>42.5</v>
      </c>
      <c r="DF209" s="228">
        <v>42.52</v>
      </c>
      <c r="DG209" s="228">
        <v>-9.24</v>
      </c>
      <c r="DH209" s="228">
        <v>-0.02</v>
      </c>
      <c r="DI209" s="228">
        <v>33.340000000000003</v>
      </c>
      <c r="DJ209" s="228">
        <v>34.590000000000003</v>
      </c>
      <c r="DK209" s="228">
        <v>-1.25</v>
      </c>
      <c r="DL209" s="228">
        <v>-1.25</v>
      </c>
      <c r="DM209" s="228">
        <v>33.01</v>
      </c>
      <c r="DN209" s="228">
        <v>34.01</v>
      </c>
      <c r="DO209" s="228">
        <v>-1</v>
      </c>
      <c r="DP209" s="228">
        <v>-1</v>
      </c>
      <c r="DQ209" s="228">
        <v>0.45</v>
      </c>
      <c r="DR209" s="228">
        <v>0.45</v>
      </c>
      <c r="DS209" s="228">
        <v>0</v>
      </c>
      <c r="DT209" s="229">
        <v>0</v>
      </c>
      <c r="DU209" s="231">
        <v>1300</v>
      </c>
      <c r="DV209" s="231">
        <v>1200</v>
      </c>
      <c r="DW209" s="228">
        <v>0.33</v>
      </c>
      <c r="DX209" s="228">
        <v>0.39</v>
      </c>
      <c r="DY209" s="228">
        <v>-0.06</v>
      </c>
      <c r="DZ209" s="229">
        <v>-0.15379999999999999</v>
      </c>
      <c r="EA209" s="229">
        <v>0.108</v>
      </c>
      <c r="EB209" s="230">
        <v>342100</v>
      </c>
      <c r="EC209" s="229">
        <v>-1.6000000000000001E-3</v>
      </c>
      <c r="ED209" s="229">
        <v>0.108</v>
      </c>
      <c r="EE209" s="228">
        <v>-2.35</v>
      </c>
      <c r="EF209" s="229">
        <v>-1.9E-3</v>
      </c>
      <c r="EG209" s="230">
        <v>617317</v>
      </c>
      <c r="EH209" s="230">
        <v>668441</v>
      </c>
      <c r="EI209" s="229">
        <v>-7.6499999999999999E-2</v>
      </c>
      <c r="EJ209" s="229">
        <v>0.52910000000000001</v>
      </c>
      <c r="EK209" s="228">
        <v>590.25</v>
      </c>
      <c r="EL209" s="228">
        <v>178.44</v>
      </c>
      <c r="EM209" s="228">
        <v>186.72</v>
      </c>
      <c r="EN209" s="228">
        <v>31.93</v>
      </c>
      <c r="EO209" s="228">
        <v>955.41</v>
      </c>
      <c r="EP209" s="228">
        <v>957.3</v>
      </c>
      <c r="EQ209" s="228">
        <v>-1.89</v>
      </c>
      <c r="ER209" s="229">
        <v>-2E-3</v>
      </c>
      <c r="ES209" s="228">
        <v>462.58</v>
      </c>
      <c r="ET209" s="228">
        <v>192.56</v>
      </c>
      <c r="EU209" s="228">
        <v>450.52</v>
      </c>
      <c r="EV209" s="231">
        <v>22813802</v>
      </c>
      <c r="EW209" s="231">
        <v>1105.6500000000001</v>
      </c>
      <c r="EX209" s="231">
        <v>1171.45</v>
      </c>
      <c r="EY209" s="228">
        <v>-65.8</v>
      </c>
      <c r="EZ209" s="229">
        <v>-5.62E-2</v>
      </c>
      <c r="FA209" s="229">
        <v>0.38200000000000001</v>
      </c>
      <c r="FB209" s="227" t="s">
        <v>556</v>
      </c>
      <c r="FC209">
        <f t="shared" si="4"/>
        <v>0</v>
      </c>
    </row>
    <row r="210" spans="1:159" ht="17.25" thickBot="1" x14ac:dyDescent="0.3">
      <c r="A210" s="226">
        <v>45946</v>
      </c>
      <c r="B210" s="227" t="s">
        <v>498</v>
      </c>
      <c r="C210" s="227" t="s">
        <v>303</v>
      </c>
      <c r="D210" s="228">
        <v>1355</v>
      </c>
      <c r="E210" s="228">
        <v>12</v>
      </c>
      <c r="F210" s="228">
        <v>681.5</v>
      </c>
      <c r="G210" s="228">
        <v>678.9</v>
      </c>
      <c r="H210" s="228">
        <v>2.6</v>
      </c>
      <c r="I210" s="229">
        <v>3.8E-3</v>
      </c>
      <c r="J210" s="228">
        <v>680.4</v>
      </c>
      <c r="K210" s="228">
        <v>677.65</v>
      </c>
      <c r="L210" s="228">
        <v>2.75</v>
      </c>
      <c r="M210" s="229">
        <v>4.1000000000000003E-3</v>
      </c>
      <c r="N210" s="228">
        <v>681.5</v>
      </c>
      <c r="O210" s="228">
        <v>678.9</v>
      </c>
      <c r="P210" s="228">
        <v>2.6</v>
      </c>
      <c r="Q210" s="229">
        <v>3.8E-3</v>
      </c>
      <c r="R210" s="228">
        <v>685.5</v>
      </c>
      <c r="S210" s="228">
        <v>682.5</v>
      </c>
      <c r="T210" s="228">
        <v>3</v>
      </c>
      <c r="U210" s="229">
        <v>4.4000000000000003E-3</v>
      </c>
      <c r="V210" s="228">
        <v>689</v>
      </c>
      <c r="W210" s="228">
        <v>686.6</v>
      </c>
      <c r="X210" s="228">
        <v>2.4</v>
      </c>
      <c r="Y210" s="229">
        <v>3.5000000000000001E-3</v>
      </c>
      <c r="Z210" s="228">
        <v>1.1000000000000001</v>
      </c>
      <c r="AA210" s="228">
        <v>1.25</v>
      </c>
      <c r="AB210" s="228">
        <v>-0.15</v>
      </c>
      <c r="AC210" s="229">
        <v>1.6000000000000001E-3</v>
      </c>
      <c r="AD210" s="228">
        <v>1.1000000000000001</v>
      </c>
      <c r="AE210" s="228">
        <v>1.25</v>
      </c>
      <c r="AF210" s="228">
        <v>-0.15</v>
      </c>
      <c r="AG210" s="229">
        <v>1.6000000000000001E-3</v>
      </c>
      <c r="AH210" s="228">
        <v>5.0999999999999996</v>
      </c>
      <c r="AI210" s="228">
        <v>4.8499999999999996</v>
      </c>
      <c r="AJ210" s="228">
        <v>0.25</v>
      </c>
      <c r="AK210" s="229">
        <v>7.4999999999999997E-3</v>
      </c>
      <c r="AL210" s="228">
        <v>8.6</v>
      </c>
      <c r="AM210" s="228">
        <v>8.9499999999999993</v>
      </c>
      <c r="AN210" s="228">
        <v>-0.35</v>
      </c>
      <c r="AO210" s="229">
        <v>1.26E-2</v>
      </c>
      <c r="AP210" s="228">
        <v>683.24</v>
      </c>
      <c r="AQ210" s="228">
        <v>686.8</v>
      </c>
      <c r="AR210" s="228">
        <v>0</v>
      </c>
      <c r="AS210" s="228">
        <v>256</v>
      </c>
      <c r="AT210" s="228">
        <v>191</v>
      </c>
      <c r="AU210" s="228">
        <v>65</v>
      </c>
      <c r="AV210" s="229">
        <v>0.3427</v>
      </c>
      <c r="AW210" s="228">
        <v>228</v>
      </c>
      <c r="AX210" s="228">
        <v>163</v>
      </c>
      <c r="AY210" s="228">
        <v>65</v>
      </c>
      <c r="AZ210" s="229">
        <v>0.4002</v>
      </c>
      <c r="BA210" s="228">
        <v>27</v>
      </c>
      <c r="BB210" s="228">
        <v>28</v>
      </c>
      <c r="BC210" s="228">
        <v>-1</v>
      </c>
      <c r="BD210" s="229">
        <v>-3.9899999999999998E-2</v>
      </c>
      <c r="BE210" s="228">
        <v>1</v>
      </c>
      <c r="BF210" s="228">
        <v>0</v>
      </c>
      <c r="BG210" s="228">
        <v>1</v>
      </c>
      <c r="BH210" s="229">
        <v>14</v>
      </c>
      <c r="BI210" s="228">
        <v>517</v>
      </c>
      <c r="BJ210" s="228">
        <v>470</v>
      </c>
      <c r="BK210" s="228">
        <v>47</v>
      </c>
      <c r="BL210" s="229">
        <v>0.1003</v>
      </c>
      <c r="BM210" s="228">
        <v>299</v>
      </c>
      <c r="BN210" s="228">
        <v>212</v>
      </c>
      <c r="BO210" s="228">
        <v>88</v>
      </c>
      <c r="BP210" s="229">
        <v>0.41449999999999998</v>
      </c>
      <c r="BQ210" s="230">
        <v>1073</v>
      </c>
      <c r="BR210" s="228">
        <v>873</v>
      </c>
      <c r="BS210" s="228">
        <v>200</v>
      </c>
      <c r="BT210" s="229">
        <v>0.22950000000000001</v>
      </c>
      <c r="BU210" s="230">
        <v>1297126</v>
      </c>
      <c r="BV210" s="230">
        <v>1762218</v>
      </c>
      <c r="BW210" s="230">
        <v>-465092</v>
      </c>
      <c r="BX210" s="229">
        <v>-0.26390000000000002</v>
      </c>
      <c r="BY210" s="230">
        <v>2301</v>
      </c>
      <c r="BZ210" s="230">
        <v>2316</v>
      </c>
      <c r="CA210" s="228">
        <v>-15</v>
      </c>
      <c r="CB210" s="229">
        <v>-6.6E-3</v>
      </c>
      <c r="CC210" s="230">
        <v>2224</v>
      </c>
      <c r="CD210" s="230">
        <v>2244</v>
      </c>
      <c r="CE210" s="228">
        <v>-20</v>
      </c>
      <c r="CF210" s="229">
        <v>-9.1000000000000004E-3</v>
      </c>
      <c r="CG210" s="228">
        <v>73</v>
      </c>
      <c r="CH210" s="228">
        <v>68</v>
      </c>
      <c r="CI210" s="228">
        <v>6</v>
      </c>
      <c r="CJ210" s="229">
        <v>8.7599999999999997E-2</v>
      </c>
      <c r="CK210" s="228">
        <v>4</v>
      </c>
      <c r="CL210" s="228">
        <v>5</v>
      </c>
      <c r="CM210" s="228">
        <v>-1</v>
      </c>
      <c r="CN210" s="229">
        <v>-0.1633</v>
      </c>
      <c r="CO210" s="228">
        <v>610</v>
      </c>
      <c r="CP210" s="228">
        <v>614</v>
      </c>
      <c r="CQ210" s="228">
        <v>-4</v>
      </c>
      <c r="CR210" s="229">
        <v>-5.7000000000000002E-3</v>
      </c>
      <c r="CS210" s="228">
        <v>380</v>
      </c>
      <c r="CT210" s="228">
        <v>358</v>
      </c>
      <c r="CU210" s="228">
        <v>22</v>
      </c>
      <c r="CV210" s="229">
        <v>6.1400000000000003E-2</v>
      </c>
      <c r="CW210" s="230">
        <v>3291</v>
      </c>
      <c r="CX210" s="230">
        <v>3288</v>
      </c>
      <c r="CY210" s="228">
        <v>3</v>
      </c>
      <c r="CZ210" s="229">
        <v>1E-3</v>
      </c>
      <c r="DA210" s="228">
        <v>23.64</v>
      </c>
      <c r="DB210" s="228">
        <v>23.49</v>
      </c>
      <c r="DC210" s="228">
        <v>0.15</v>
      </c>
      <c r="DD210" s="228">
        <v>0.15</v>
      </c>
      <c r="DE210" s="228">
        <v>33.85</v>
      </c>
      <c r="DF210" s="228">
        <v>33.93</v>
      </c>
      <c r="DG210" s="228">
        <v>-10.210000000000001</v>
      </c>
      <c r="DH210" s="228">
        <v>-0.08</v>
      </c>
      <c r="DI210" s="228">
        <v>23.65</v>
      </c>
      <c r="DJ210" s="228">
        <v>23.47</v>
      </c>
      <c r="DK210" s="228">
        <v>0.18</v>
      </c>
      <c r="DL210" s="228">
        <v>0.18</v>
      </c>
      <c r="DM210" s="228">
        <v>23.63</v>
      </c>
      <c r="DN210" s="228">
        <v>23.54</v>
      </c>
      <c r="DO210" s="228">
        <v>0.09</v>
      </c>
      <c r="DP210" s="228">
        <v>0.09</v>
      </c>
      <c r="DQ210" s="228">
        <v>0.62</v>
      </c>
      <c r="DR210" s="228">
        <v>0.57999999999999996</v>
      </c>
      <c r="DS210" s="228">
        <v>0.04</v>
      </c>
      <c r="DT210" s="229">
        <v>6.9000000000000006E-2</v>
      </c>
      <c r="DU210" s="228">
        <v>700</v>
      </c>
      <c r="DV210" s="228">
        <v>680</v>
      </c>
      <c r="DW210" s="228">
        <v>0.57999999999999996</v>
      </c>
      <c r="DX210" s="228">
        <v>0.45</v>
      </c>
      <c r="DY210" s="228">
        <v>0.13</v>
      </c>
      <c r="DZ210" s="229">
        <v>0.28889999999999999</v>
      </c>
      <c r="EA210" s="229">
        <v>3.3500000000000002E-2</v>
      </c>
      <c r="EB210" s="230">
        <v>1056900</v>
      </c>
      <c r="EC210" s="229">
        <v>5.8999999999999999E-3</v>
      </c>
      <c r="ED210" s="229">
        <v>3.3500000000000002E-2</v>
      </c>
      <c r="EE210" s="228">
        <v>3.56</v>
      </c>
      <c r="EF210" s="229">
        <v>5.1999999999999998E-3</v>
      </c>
      <c r="EG210" s="230">
        <v>831567</v>
      </c>
      <c r="EH210" s="230">
        <v>1162913</v>
      </c>
      <c r="EI210" s="229">
        <v>-0.28489999999999999</v>
      </c>
      <c r="EJ210" s="229">
        <v>0.6411</v>
      </c>
      <c r="EK210" s="228">
        <v>535.21</v>
      </c>
      <c r="EL210" s="228">
        <v>296.54000000000002</v>
      </c>
      <c r="EM210" s="228">
        <v>256.97000000000003</v>
      </c>
      <c r="EN210" s="228">
        <v>18.559999999999999</v>
      </c>
      <c r="EO210" s="231">
        <v>1088.72</v>
      </c>
      <c r="EP210" s="228">
        <v>881.69</v>
      </c>
      <c r="EQ210" s="228">
        <v>207.03</v>
      </c>
      <c r="ER210" s="229">
        <v>0.23480000000000001</v>
      </c>
      <c r="ES210" s="228">
        <v>630.41</v>
      </c>
      <c r="ET210" s="228">
        <v>367.82</v>
      </c>
      <c r="EU210" s="231">
        <v>2301.5700000000002</v>
      </c>
      <c r="EV210" s="231">
        <v>82588393</v>
      </c>
      <c r="EW210" s="231">
        <v>3299.8</v>
      </c>
      <c r="EX210" s="231">
        <v>3287.63</v>
      </c>
      <c r="EY210" s="228">
        <v>12.17</v>
      </c>
      <c r="EZ210" s="229">
        <v>3.7000000000000002E-3</v>
      </c>
      <c r="FA210" s="229">
        <v>0.58479999999999999</v>
      </c>
      <c r="FB210" s="227" t="s">
        <v>556</v>
      </c>
      <c r="FC210">
        <f t="shared" si="4"/>
        <v>0</v>
      </c>
    </row>
    <row r="211" spans="1:159" ht="17.25" thickBot="1" x14ac:dyDescent="0.3">
      <c r="A211" s="226">
        <v>45946</v>
      </c>
      <c r="B211" s="227" t="s">
        <v>168</v>
      </c>
      <c r="C211" s="227" t="s">
        <v>586</v>
      </c>
      <c r="D211" s="228">
        <v>1025</v>
      </c>
      <c r="E211" s="228">
        <v>12</v>
      </c>
      <c r="F211" s="228">
        <v>461.85</v>
      </c>
      <c r="G211" s="228">
        <v>446.05</v>
      </c>
      <c r="H211" s="228">
        <v>15.8</v>
      </c>
      <c r="I211" s="229">
        <v>3.5400000000000001E-2</v>
      </c>
      <c r="J211" s="228">
        <v>461.3</v>
      </c>
      <c r="K211" s="228">
        <v>445.35</v>
      </c>
      <c r="L211" s="228">
        <v>15.95</v>
      </c>
      <c r="M211" s="229">
        <v>3.5799999999999998E-2</v>
      </c>
      <c r="N211" s="228">
        <v>461.85</v>
      </c>
      <c r="O211" s="228">
        <v>446.05</v>
      </c>
      <c r="P211" s="228">
        <v>15.8</v>
      </c>
      <c r="Q211" s="229">
        <v>3.5400000000000001E-2</v>
      </c>
      <c r="R211" s="228">
        <v>464.45</v>
      </c>
      <c r="S211" s="228">
        <v>448.45</v>
      </c>
      <c r="T211" s="228">
        <v>16</v>
      </c>
      <c r="U211" s="229">
        <v>3.5700000000000003E-2</v>
      </c>
      <c r="V211" s="228">
        <v>467.05</v>
      </c>
      <c r="W211" s="228">
        <v>450.5</v>
      </c>
      <c r="X211" s="228">
        <v>16.55</v>
      </c>
      <c r="Y211" s="229">
        <v>3.6700000000000003E-2</v>
      </c>
      <c r="Z211" s="228">
        <v>0.55000000000000004</v>
      </c>
      <c r="AA211" s="228">
        <v>0.7</v>
      </c>
      <c r="AB211" s="228">
        <v>-0.15</v>
      </c>
      <c r="AC211" s="229">
        <v>1.1999999999999999E-3</v>
      </c>
      <c r="AD211" s="228">
        <v>0.55000000000000004</v>
      </c>
      <c r="AE211" s="228">
        <v>0.7</v>
      </c>
      <c r="AF211" s="228">
        <v>-0.15</v>
      </c>
      <c r="AG211" s="229">
        <v>1.1999999999999999E-3</v>
      </c>
      <c r="AH211" s="228">
        <v>3.15</v>
      </c>
      <c r="AI211" s="228">
        <v>3.1</v>
      </c>
      <c r="AJ211" s="228">
        <v>0.05</v>
      </c>
      <c r="AK211" s="229">
        <v>6.7999999999999996E-3</v>
      </c>
      <c r="AL211" s="228">
        <v>5.75</v>
      </c>
      <c r="AM211" s="228">
        <v>5.15</v>
      </c>
      <c r="AN211" s="228">
        <v>0.6</v>
      </c>
      <c r="AO211" s="229">
        <v>1.2500000000000001E-2</v>
      </c>
      <c r="AP211" s="228">
        <v>458.4</v>
      </c>
      <c r="AQ211" s="228">
        <v>461.3</v>
      </c>
      <c r="AR211" s="228">
        <v>0</v>
      </c>
      <c r="AS211" s="228">
        <v>557</v>
      </c>
      <c r="AT211" s="228">
        <v>114</v>
      </c>
      <c r="AU211" s="228">
        <v>443</v>
      </c>
      <c r="AV211" s="229">
        <v>3.8849</v>
      </c>
      <c r="AW211" s="228">
        <v>470</v>
      </c>
      <c r="AX211" s="228">
        <v>104</v>
      </c>
      <c r="AY211" s="228">
        <v>366</v>
      </c>
      <c r="AZ211" s="229">
        <v>3.5244</v>
      </c>
      <c r="BA211" s="228">
        <v>82</v>
      </c>
      <c r="BB211" s="228">
        <v>9</v>
      </c>
      <c r="BC211" s="228">
        <v>73</v>
      </c>
      <c r="BD211" s="229">
        <v>7.7827999999999999</v>
      </c>
      <c r="BE211" s="228">
        <v>5</v>
      </c>
      <c r="BF211" s="228">
        <v>1</v>
      </c>
      <c r="BG211" s="228">
        <v>4</v>
      </c>
      <c r="BH211" s="229">
        <v>5.0625</v>
      </c>
      <c r="BI211" s="230">
        <v>2065</v>
      </c>
      <c r="BJ211" s="228">
        <v>287</v>
      </c>
      <c r="BK211" s="230">
        <v>1778</v>
      </c>
      <c r="BL211" s="229">
        <v>6.1978</v>
      </c>
      <c r="BM211" s="228">
        <v>829</v>
      </c>
      <c r="BN211" s="228">
        <v>107</v>
      </c>
      <c r="BO211" s="228">
        <v>722</v>
      </c>
      <c r="BP211" s="229">
        <v>6.7461000000000002</v>
      </c>
      <c r="BQ211" s="230">
        <v>3451</v>
      </c>
      <c r="BR211" s="228">
        <v>508</v>
      </c>
      <c r="BS211" s="230">
        <v>2943</v>
      </c>
      <c r="BT211" s="229">
        <v>5.7945000000000002</v>
      </c>
      <c r="BU211" s="230">
        <v>8749680</v>
      </c>
      <c r="BV211" s="230">
        <v>2120725</v>
      </c>
      <c r="BW211" s="230">
        <v>6628955</v>
      </c>
      <c r="BX211" s="229">
        <v>3.1257999999999999</v>
      </c>
      <c r="BY211" s="230">
        <v>1900</v>
      </c>
      <c r="BZ211" s="230">
        <v>1959</v>
      </c>
      <c r="CA211" s="228">
        <v>-59</v>
      </c>
      <c r="CB211" s="229">
        <v>-3.0300000000000001E-2</v>
      </c>
      <c r="CC211" s="230">
        <v>1796</v>
      </c>
      <c r="CD211" s="230">
        <v>1882</v>
      </c>
      <c r="CE211" s="228">
        <v>-86</v>
      </c>
      <c r="CF211" s="229">
        <v>-4.5699999999999998E-2</v>
      </c>
      <c r="CG211" s="228">
        <v>96</v>
      </c>
      <c r="CH211" s="228">
        <v>69</v>
      </c>
      <c r="CI211" s="228">
        <v>27</v>
      </c>
      <c r="CJ211" s="229">
        <v>0.3952</v>
      </c>
      <c r="CK211" s="228">
        <v>8</v>
      </c>
      <c r="CL211" s="228">
        <v>8</v>
      </c>
      <c r="CM211" s="228">
        <v>0</v>
      </c>
      <c r="CN211" s="229">
        <v>-5.1400000000000001E-2</v>
      </c>
      <c r="CO211" s="228">
        <v>550</v>
      </c>
      <c r="CP211" s="228">
        <v>574</v>
      </c>
      <c r="CQ211" s="228">
        <v>-24</v>
      </c>
      <c r="CR211" s="229">
        <v>-4.2599999999999999E-2</v>
      </c>
      <c r="CS211" s="228">
        <v>330</v>
      </c>
      <c r="CT211" s="228">
        <v>302</v>
      </c>
      <c r="CU211" s="228">
        <v>28</v>
      </c>
      <c r="CV211" s="229">
        <v>9.3600000000000003E-2</v>
      </c>
      <c r="CW211" s="230">
        <v>2780</v>
      </c>
      <c r="CX211" s="230">
        <v>2836</v>
      </c>
      <c r="CY211" s="228">
        <v>-56</v>
      </c>
      <c r="CZ211" s="229">
        <v>-1.9599999999999999E-2</v>
      </c>
      <c r="DA211" s="228">
        <v>27.84</v>
      </c>
      <c r="DB211" s="228">
        <v>29.63</v>
      </c>
      <c r="DC211" s="228">
        <v>-1.79</v>
      </c>
      <c r="DD211" s="228">
        <v>-1.79</v>
      </c>
      <c r="DE211" s="228">
        <v>38.42</v>
      </c>
      <c r="DF211" s="228">
        <v>38.22</v>
      </c>
      <c r="DG211" s="228">
        <v>-10.58</v>
      </c>
      <c r="DH211" s="228">
        <v>0.2</v>
      </c>
      <c r="DI211" s="228">
        <v>27.71</v>
      </c>
      <c r="DJ211" s="228">
        <v>29.86</v>
      </c>
      <c r="DK211" s="228">
        <v>-2.15</v>
      </c>
      <c r="DL211" s="228">
        <v>-2.15</v>
      </c>
      <c r="DM211" s="228">
        <v>28.14</v>
      </c>
      <c r="DN211" s="228">
        <v>29.02</v>
      </c>
      <c r="DO211" s="228">
        <v>-0.88</v>
      </c>
      <c r="DP211" s="228">
        <v>-0.88</v>
      </c>
      <c r="DQ211" s="228">
        <v>0.6</v>
      </c>
      <c r="DR211" s="228">
        <v>0.53</v>
      </c>
      <c r="DS211" s="228">
        <v>7.0000000000000007E-2</v>
      </c>
      <c r="DT211" s="229">
        <v>0.1321</v>
      </c>
      <c r="DU211" s="228">
        <v>500</v>
      </c>
      <c r="DV211" s="228">
        <v>450</v>
      </c>
      <c r="DW211" s="228">
        <v>0.4</v>
      </c>
      <c r="DX211" s="228">
        <v>0.37</v>
      </c>
      <c r="DY211" s="228">
        <v>0.03</v>
      </c>
      <c r="DZ211" s="229">
        <v>8.1100000000000005E-2</v>
      </c>
      <c r="EA211" s="229">
        <v>5.45E-2</v>
      </c>
      <c r="EB211" s="230">
        <v>1665625</v>
      </c>
      <c r="EC211" s="229">
        <v>5.5999999999999999E-3</v>
      </c>
      <c r="ED211" s="229">
        <v>5.45E-2</v>
      </c>
      <c r="EE211" s="228">
        <v>2.9</v>
      </c>
      <c r="EF211" s="229">
        <v>6.3E-3</v>
      </c>
      <c r="EG211" s="230">
        <v>3691474</v>
      </c>
      <c r="EH211" s="230">
        <v>1210271</v>
      </c>
      <c r="EI211" s="229">
        <v>2.0501</v>
      </c>
      <c r="EJ211" s="229">
        <v>0.4219</v>
      </c>
      <c r="EK211" s="231">
        <v>2118.0500000000002</v>
      </c>
      <c r="EL211" s="228">
        <v>812.85</v>
      </c>
      <c r="EM211" s="228">
        <v>553.02</v>
      </c>
      <c r="EN211" s="228">
        <v>35.25</v>
      </c>
      <c r="EO211" s="231">
        <v>3483.92</v>
      </c>
      <c r="EP211" s="228">
        <v>503.08</v>
      </c>
      <c r="EQ211" s="231">
        <v>2980.83</v>
      </c>
      <c r="ER211" s="229">
        <v>5.9252000000000002</v>
      </c>
      <c r="ES211" s="228">
        <v>569.52</v>
      </c>
      <c r="ET211" s="228">
        <v>314.68</v>
      </c>
      <c r="EU211" s="231">
        <v>1900.6</v>
      </c>
      <c r="EV211" s="231">
        <v>203804339</v>
      </c>
      <c r="EW211" s="231">
        <v>2784.81</v>
      </c>
      <c r="EX211" s="231">
        <v>2770.97</v>
      </c>
      <c r="EY211" s="228">
        <v>13.84</v>
      </c>
      <c r="EZ211" s="229">
        <v>5.0000000000000001E-3</v>
      </c>
      <c r="FA211" s="229">
        <v>0.2954</v>
      </c>
      <c r="FB211" s="227" t="s">
        <v>556</v>
      </c>
      <c r="FC211">
        <f t="shared" si="4"/>
        <v>0</v>
      </c>
    </row>
    <row r="212" spans="1:159" ht="17.25" thickBot="1" x14ac:dyDescent="0.3">
      <c r="A212" s="226">
        <v>45946</v>
      </c>
      <c r="B212" s="227" t="s">
        <v>227</v>
      </c>
      <c r="C212" s="227" t="s">
        <v>304</v>
      </c>
      <c r="D212" s="228">
        <v>1150</v>
      </c>
      <c r="E212" s="228">
        <v>12</v>
      </c>
      <c r="F212" s="228">
        <v>480.25</v>
      </c>
      <c r="G212" s="228">
        <v>483.5</v>
      </c>
      <c r="H212" s="228">
        <v>-3.25</v>
      </c>
      <c r="I212" s="229">
        <v>-6.7000000000000002E-3</v>
      </c>
      <c r="J212" s="228">
        <v>479.1</v>
      </c>
      <c r="K212" s="228">
        <v>483.05</v>
      </c>
      <c r="L212" s="228">
        <v>-3.95</v>
      </c>
      <c r="M212" s="229">
        <v>-8.2000000000000007E-3</v>
      </c>
      <c r="N212" s="228">
        <v>480.25</v>
      </c>
      <c r="O212" s="228">
        <v>483.5</v>
      </c>
      <c r="P212" s="228">
        <v>-3.25</v>
      </c>
      <c r="Q212" s="229">
        <v>-6.7000000000000002E-3</v>
      </c>
      <c r="R212" s="228">
        <v>482.75</v>
      </c>
      <c r="S212" s="228">
        <v>486.05</v>
      </c>
      <c r="T212" s="228">
        <v>-3.3</v>
      </c>
      <c r="U212" s="229">
        <v>-6.7999999999999996E-3</v>
      </c>
      <c r="V212" s="228">
        <v>484.85</v>
      </c>
      <c r="W212" s="228">
        <v>487.65</v>
      </c>
      <c r="X212" s="228">
        <v>-2.8</v>
      </c>
      <c r="Y212" s="229">
        <v>-5.7000000000000002E-3</v>
      </c>
      <c r="Z212" s="228">
        <v>1.1499999999999999</v>
      </c>
      <c r="AA212" s="228">
        <v>0.45</v>
      </c>
      <c r="AB212" s="228">
        <v>0.7</v>
      </c>
      <c r="AC212" s="229">
        <v>2.3999999999999998E-3</v>
      </c>
      <c r="AD212" s="228">
        <v>1.1499999999999999</v>
      </c>
      <c r="AE212" s="228">
        <v>0.45</v>
      </c>
      <c r="AF212" s="228">
        <v>0.7</v>
      </c>
      <c r="AG212" s="229">
        <v>2.3999999999999998E-3</v>
      </c>
      <c r="AH212" s="228">
        <v>3.65</v>
      </c>
      <c r="AI212" s="228">
        <v>3</v>
      </c>
      <c r="AJ212" s="228">
        <v>0.65</v>
      </c>
      <c r="AK212" s="229">
        <v>7.6E-3</v>
      </c>
      <c r="AL212" s="228">
        <v>5.75</v>
      </c>
      <c r="AM212" s="228">
        <v>4.5999999999999996</v>
      </c>
      <c r="AN212" s="228">
        <v>1.1499999999999999</v>
      </c>
      <c r="AO212" s="229">
        <v>1.2E-2</v>
      </c>
      <c r="AP212" s="228">
        <v>479.3</v>
      </c>
      <c r="AQ212" s="228">
        <v>481.74</v>
      </c>
      <c r="AR212" s="228">
        <v>0</v>
      </c>
      <c r="AS212" s="228">
        <v>574</v>
      </c>
      <c r="AT212" s="228">
        <v>558</v>
      </c>
      <c r="AU212" s="228">
        <v>17</v>
      </c>
      <c r="AV212" s="229">
        <v>2.9600000000000001E-2</v>
      </c>
      <c r="AW212" s="228">
        <v>508</v>
      </c>
      <c r="AX212" s="228">
        <v>493</v>
      </c>
      <c r="AY212" s="228">
        <v>15</v>
      </c>
      <c r="AZ212" s="229">
        <v>3.0800000000000001E-2</v>
      </c>
      <c r="BA212" s="228">
        <v>62</v>
      </c>
      <c r="BB212" s="228">
        <v>53</v>
      </c>
      <c r="BC212" s="228">
        <v>9</v>
      </c>
      <c r="BD212" s="229">
        <v>0.16650000000000001</v>
      </c>
      <c r="BE212" s="228">
        <v>5</v>
      </c>
      <c r="BF212" s="228">
        <v>12</v>
      </c>
      <c r="BG212" s="228">
        <v>-7</v>
      </c>
      <c r="BH212" s="229">
        <v>-0.61360000000000003</v>
      </c>
      <c r="BI212" s="230">
        <v>1600</v>
      </c>
      <c r="BJ212" s="230">
        <v>1788</v>
      </c>
      <c r="BK212" s="228">
        <v>-187</v>
      </c>
      <c r="BL212" s="229">
        <v>-0.1048</v>
      </c>
      <c r="BM212" s="228">
        <v>769</v>
      </c>
      <c r="BN212" s="230">
        <v>1176</v>
      </c>
      <c r="BO212" s="228">
        <v>-407</v>
      </c>
      <c r="BP212" s="229">
        <v>-0.34599999999999997</v>
      </c>
      <c r="BQ212" s="230">
        <v>2944</v>
      </c>
      <c r="BR212" s="230">
        <v>3522</v>
      </c>
      <c r="BS212" s="228">
        <v>-578</v>
      </c>
      <c r="BT212" s="229">
        <v>-0.1641</v>
      </c>
      <c r="BU212" s="230">
        <v>5421608</v>
      </c>
      <c r="BV212" s="230">
        <v>8162631</v>
      </c>
      <c r="BW212" s="230">
        <v>-2741023</v>
      </c>
      <c r="BX212" s="229">
        <v>-0.33579999999999999</v>
      </c>
      <c r="BY212" s="230">
        <v>4763</v>
      </c>
      <c r="BZ212" s="230">
        <v>4796</v>
      </c>
      <c r="CA212" s="228">
        <v>-33</v>
      </c>
      <c r="CB212" s="229">
        <v>-6.7999999999999996E-3</v>
      </c>
      <c r="CC212" s="230">
        <v>4561</v>
      </c>
      <c r="CD212" s="230">
        <v>4620</v>
      </c>
      <c r="CE212" s="228">
        <v>-59</v>
      </c>
      <c r="CF212" s="229">
        <v>-1.2699999999999999E-2</v>
      </c>
      <c r="CG212" s="228">
        <v>171</v>
      </c>
      <c r="CH212" s="228">
        <v>145</v>
      </c>
      <c r="CI212" s="228">
        <v>25</v>
      </c>
      <c r="CJ212" s="229">
        <v>0.17269999999999999</v>
      </c>
      <c r="CK212" s="228">
        <v>31</v>
      </c>
      <c r="CL212" s="228">
        <v>31</v>
      </c>
      <c r="CM212" s="228">
        <v>1</v>
      </c>
      <c r="CN212" s="229">
        <v>2.53E-2</v>
      </c>
      <c r="CO212" s="230">
        <v>1456</v>
      </c>
      <c r="CP212" s="230">
        <v>1392</v>
      </c>
      <c r="CQ212" s="228">
        <v>64</v>
      </c>
      <c r="CR212" s="229">
        <v>4.5999999999999999E-2</v>
      </c>
      <c r="CS212" s="230">
        <v>1153</v>
      </c>
      <c r="CT212" s="230">
        <v>1154</v>
      </c>
      <c r="CU212" s="228">
        <v>-1</v>
      </c>
      <c r="CV212" s="229">
        <v>-5.0000000000000001E-4</v>
      </c>
      <c r="CW212" s="230">
        <v>7372</v>
      </c>
      <c r="CX212" s="230">
        <v>7341</v>
      </c>
      <c r="CY212" s="228">
        <v>31</v>
      </c>
      <c r="CZ212" s="229">
        <v>4.1999999999999997E-3</v>
      </c>
      <c r="DA212" s="228">
        <v>27.92</v>
      </c>
      <c r="DB212" s="228">
        <v>29.65</v>
      </c>
      <c r="DC212" s="228">
        <v>-1.73</v>
      </c>
      <c r="DD212" s="228">
        <v>-1.73</v>
      </c>
      <c r="DE212" s="228">
        <v>38.25</v>
      </c>
      <c r="DF212" s="228">
        <v>38.33</v>
      </c>
      <c r="DG212" s="228">
        <v>-10.33</v>
      </c>
      <c r="DH212" s="228">
        <v>-0.08</v>
      </c>
      <c r="DI212" s="228">
        <v>27.63</v>
      </c>
      <c r="DJ212" s="228">
        <v>28.99</v>
      </c>
      <c r="DK212" s="228">
        <v>-1.36</v>
      </c>
      <c r="DL212" s="228">
        <v>-1.36</v>
      </c>
      <c r="DM212" s="228">
        <v>28.53</v>
      </c>
      <c r="DN212" s="228">
        <v>30.66</v>
      </c>
      <c r="DO212" s="228">
        <v>-2.13</v>
      </c>
      <c r="DP212" s="228">
        <v>-2.13</v>
      </c>
      <c r="DQ212" s="228">
        <v>0.79</v>
      </c>
      <c r="DR212" s="228">
        <v>0.83</v>
      </c>
      <c r="DS212" s="228">
        <v>-0.04</v>
      </c>
      <c r="DT212" s="229">
        <v>-4.82E-2</v>
      </c>
      <c r="DU212" s="228">
        <v>500</v>
      </c>
      <c r="DV212" s="228">
        <v>480</v>
      </c>
      <c r="DW212" s="228">
        <v>0.48</v>
      </c>
      <c r="DX212" s="228">
        <v>0.66</v>
      </c>
      <c r="DY212" s="228">
        <v>-0.18</v>
      </c>
      <c r="DZ212" s="229">
        <v>-0.2727</v>
      </c>
      <c r="EA212" s="229">
        <v>4.24E-2</v>
      </c>
      <c r="EB212" s="230">
        <v>3665050</v>
      </c>
      <c r="EC212" s="229">
        <v>5.1999999999999998E-3</v>
      </c>
      <c r="ED212" s="229">
        <v>4.24E-2</v>
      </c>
      <c r="EE212" s="228">
        <v>2.44</v>
      </c>
      <c r="EF212" s="229">
        <v>5.1000000000000004E-3</v>
      </c>
      <c r="EG212" s="230">
        <v>1958392</v>
      </c>
      <c r="EH212" s="230">
        <v>4240005</v>
      </c>
      <c r="EI212" s="229">
        <v>-0.53810000000000002</v>
      </c>
      <c r="EJ212" s="229">
        <v>0.36120000000000002</v>
      </c>
      <c r="EK212" s="231">
        <v>1663</v>
      </c>
      <c r="EL212" s="228">
        <v>760.3</v>
      </c>
      <c r="EM212" s="228">
        <v>573.66</v>
      </c>
      <c r="EN212" s="228">
        <v>145.16999999999999</v>
      </c>
      <c r="EO212" s="231">
        <v>2996.95</v>
      </c>
      <c r="EP212" s="231">
        <v>3591.23</v>
      </c>
      <c r="EQ212" s="228">
        <v>-594.27</v>
      </c>
      <c r="ER212" s="229">
        <v>-0.16550000000000001</v>
      </c>
      <c r="ES212" s="231">
        <v>1494.28</v>
      </c>
      <c r="ET212" s="231">
        <v>1085.96</v>
      </c>
      <c r="EU212" s="231">
        <v>4763.95</v>
      </c>
      <c r="EV212" s="231">
        <v>255091106</v>
      </c>
      <c r="EW212" s="231">
        <v>7344.19</v>
      </c>
      <c r="EX212" s="231">
        <v>7343.33</v>
      </c>
      <c r="EY212" s="228">
        <v>0.86</v>
      </c>
      <c r="EZ212" s="229">
        <v>1E-4</v>
      </c>
      <c r="FA212" s="229">
        <v>0.6018</v>
      </c>
      <c r="FB212" s="227" t="s">
        <v>568</v>
      </c>
      <c r="FC212">
        <f t="shared" si="4"/>
        <v>0</v>
      </c>
    </row>
    <row r="213" spans="1:159" ht="17.25" thickBot="1" x14ac:dyDescent="0.3">
      <c r="A213" s="226">
        <v>45946</v>
      </c>
      <c r="B213" s="227" t="s">
        <v>184</v>
      </c>
      <c r="C213" s="227" t="s">
        <v>305</v>
      </c>
      <c r="D213" s="228">
        <v>375</v>
      </c>
      <c r="E213" s="228">
        <v>12</v>
      </c>
      <c r="F213" s="231">
        <v>1406.6</v>
      </c>
      <c r="G213" s="231">
        <v>1398.2</v>
      </c>
      <c r="H213" s="228">
        <v>8.4</v>
      </c>
      <c r="I213" s="229">
        <v>6.0000000000000001E-3</v>
      </c>
      <c r="J213" s="231">
        <v>1415.6</v>
      </c>
      <c r="K213" s="231">
        <v>1412.1</v>
      </c>
      <c r="L213" s="228">
        <v>3.5</v>
      </c>
      <c r="M213" s="229">
        <v>2.5000000000000001E-3</v>
      </c>
      <c r="N213" s="231">
        <v>1406.6</v>
      </c>
      <c r="O213" s="231">
        <v>1398.2</v>
      </c>
      <c r="P213" s="228">
        <v>8.4</v>
      </c>
      <c r="Q213" s="229">
        <v>6.0000000000000001E-3</v>
      </c>
      <c r="R213" s="231">
        <v>1386.3</v>
      </c>
      <c r="S213" s="231">
        <v>1379.6</v>
      </c>
      <c r="T213" s="228">
        <v>6.7</v>
      </c>
      <c r="U213" s="229">
        <v>4.8999999999999998E-3</v>
      </c>
      <c r="V213" s="231">
        <v>1373</v>
      </c>
      <c r="W213" s="231">
        <v>1368.4</v>
      </c>
      <c r="X213" s="228">
        <v>4.5999999999999996</v>
      </c>
      <c r="Y213" s="229">
        <v>3.3999999999999998E-3</v>
      </c>
      <c r="Z213" s="228">
        <v>-9</v>
      </c>
      <c r="AA213" s="228">
        <v>-13.9</v>
      </c>
      <c r="AB213" s="228">
        <v>4.9000000000000004</v>
      </c>
      <c r="AC213" s="229">
        <v>-6.4000000000000003E-3</v>
      </c>
      <c r="AD213" s="228">
        <v>-9</v>
      </c>
      <c r="AE213" s="228">
        <v>-13.9</v>
      </c>
      <c r="AF213" s="228">
        <v>4.9000000000000004</v>
      </c>
      <c r="AG213" s="229">
        <v>-6.4000000000000003E-3</v>
      </c>
      <c r="AH213" s="228">
        <v>-29.3</v>
      </c>
      <c r="AI213" s="228">
        <v>-32.5</v>
      </c>
      <c r="AJ213" s="228">
        <v>3.2</v>
      </c>
      <c r="AK213" s="229">
        <v>-2.07E-2</v>
      </c>
      <c r="AL213" s="228">
        <v>-42.6</v>
      </c>
      <c r="AM213" s="228">
        <v>-43.7</v>
      </c>
      <c r="AN213" s="228">
        <v>1.1000000000000001</v>
      </c>
      <c r="AO213" s="229">
        <v>-3.0099999999999998E-2</v>
      </c>
      <c r="AP213" s="231">
        <v>1405.08</v>
      </c>
      <c r="AQ213" s="231">
        <v>1383.88</v>
      </c>
      <c r="AR213" s="228">
        <v>0</v>
      </c>
      <c r="AS213" s="228">
        <v>307</v>
      </c>
      <c r="AT213" s="228">
        <v>288</v>
      </c>
      <c r="AU213" s="228">
        <v>19</v>
      </c>
      <c r="AV213" s="229">
        <v>6.6299999999999998E-2</v>
      </c>
      <c r="AW213" s="228">
        <v>207</v>
      </c>
      <c r="AX213" s="228">
        <v>218</v>
      </c>
      <c r="AY213" s="228">
        <v>-10</v>
      </c>
      <c r="AZ213" s="229">
        <v>-4.8000000000000001E-2</v>
      </c>
      <c r="BA213" s="228">
        <v>99</v>
      </c>
      <c r="BB213" s="228">
        <v>69</v>
      </c>
      <c r="BC213" s="228">
        <v>30</v>
      </c>
      <c r="BD213" s="229">
        <v>0.43230000000000002</v>
      </c>
      <c r="BE213" s="228">
        <v>1</v>
      </c>
      <c r="BF213" s="228">
        <v>1</v>
      </c>
      <c r="BG213" s="228">
        <v>0</v>
      </c>
      <c r="BH213" s="229">
        <v>-0.4</v>
      </c>
      <c r="BI213" s="228">
        <v>496</v>
      </c>
      <c r="BJ213" s="228">
        <v>913</v>
      </c>
      <c r="BK213" s="228">
        <v>-416</v>
      </c>
      <c r="BL213" s="229">
        <v>-0.45629999999999998</v>
      </c>
      <c r="BM213" s="228">
        <v>259</v>
      </c>
      <c r="BN213" s="228">
        <v>309</v>
      </c>
      <c r="BO213" s="228">
        <v>-50</v>
      </c>
      <c r="BP213" s="229">
        <v>-0.16209999999999999</v>
      </c>
      <c r="BQ213" s="230">
        <v>1063</v>
      </c>
      <c r="BR213" s="230">
        <v>1510</v>
      </c>
      <c r="BS213" s="228">
        <v>-448</v>
      </c>
      <c r="BT213" s="229">
        <v>-0.2964</v>
      </c>
      <c r="BU213" s="230">
        <v>928917</v>
      </c>
      <c r="BV213" s="230">
        <v>1058117</v>
      </c>
      <c r="BW213" s="230">
        <v>-129200</v>
      </c>
      <c r="BX213" s="229">
        <v>-0.1221</v>
      </c>
      <c r="BY213" s="230">
        <v>1975</v>
      </c>
      <c r="BZ213" s="230">
        <v>1925</v>
      </c>
      <c r="CA213" s="228">
        <v>51</v>
      </c>
      <c r="CB213" s="229">
        <v>2.64E-2</v>
      </c>
      <c r="CC213" s="230">
        <v>1723</v>
      </c>
      <c r="CD213" s="230">
        <v>1729</v>
      </c>
      <c r="CE213" s="228">
        <v>-6</v>
      </c>
      <c r="CF213" s="229">
        <v>-3.3E-3</v>
      </c>
      <c r="CG213" s="228">
        <v>244</v>
      </c>
      <c r="CH213" s="228">
        <v>188</v>
      </c>
      <c r="CI213" s="228">
        <v>56</v>
      </c>
      <c r="CJ213" s="229">
        <v>0.30030000000000001</v>
      </c>
      <c r="CK213" s="228">
        <v>8</v>
      </c>
      <c r="CL213" s="228">
        <v>8</v>
      </c>
      <c r="CM213" s="228">
        <v>0</v>
      </c>
      <c r="CN213" s="229">
        <v>1.32E-2</v>
      </c>
      <c r="CO213" s="228">
        <v>420</v>
      </c>
      <c r="CP213" s="228">
        <v>460</v>
      </c>
      <c r="CQ213" s="228">
        <v>-40</v>
      </c>
      <c r="CR213" s="229">
        <v>-8.7099999999999997E-2</v>
      </c>
      <c r="CS213" s="228">
        <v>369</v>
      </c>
      <c r="CT213" s="228">
        <v>382</v>
      </c>
      <c r="CU213" s="228">
        <v>-13</v>
      </c>
      <c r="CV213" s="229">
        <v>-3.3399999999999999E-2</v>
      </c>
      <c r="CW213" s="230">
        <v>2765</v>
      </c>
      <c r="CX213" s="230">
        <v>2767</v>
      </c>
      <c r="CY213" s="228">
        <v>-2</v>
      </c>
      <c r="CZ213" s="229">
        <v>-8.0000000000000004E-4</v>
      </c>
      <c r="DA213" s="228">
        <v>24.29</v>
      </c>
      <c r="DB213" s="228">
        <v>27</v>
      </c>
      <c r="DC213" s="228">
        <v>-2.71</v>
      </c>
      <c r="DD213" s="228">
        <v>-2.71</v>
      </c>
      <c r="DE213" s="228">
        <v>38.03</v>
      </c>
      <c r="DF213" s="228">
        <v>38.119999999999997</v>
      </c>
      <c r="DG213" s="228">
        <v>-13.74</v>
      </c>
      <c r="DH213" s="228">
        <v>-0.09</v>
      </c>
      <c r="DI213" s="228">
        <v>23.72</v>
      </c>
      <c r="DJ213" s="228">
        <v>26.89</v>
      </c>
      <c r="DK213" s="228">
        <v>-3.17</v>
      </c>
      <c r="DL213" s="228">
        <v>-3.17</v>
      </c>
      <c r="DM213" s="228">
        <v>25.39</v>
      </c>
      <c r="DN213" s="228">
        <v>27.34</v>
      </c>
      <c r="DO213" s="228">
        <v>-1.95</v>
      </c>
      <c r="DP213" s="228">
        <v>-1.95</v>
      </c>
      <c r="DQ213" s="228">
        <v>0.88</v>
      </c>
      <c r="DR213" s="228">
        <v>0.83</v>
      </c>
      <c r="DS213" s="228">
        <v>0.05</v>
      </c>
      <c r="DT213" s="229">
        <v>6.0199999999999997E-2</v>
      </c>
      <c r="DU213" s="231">
        <v>1400</v>
      </c>
      <c r="DV213" s="231">
        <v>1300</v>
      </c>
      <c r="DW213" s="228">
        <v>0.52</v>
      </c>
      <c r="DX213" s="228">
        <v>0.34</v>
      </c>
      <c r="DY213" s="228">
        <v>0.18</v>
      </c>
      <c r="DZ213" s="229">
        <v>0.52939999999999998</v>
      </c>
      <c r="EA213" s="229">
        <v>0.12759999999999999</v>
      </c>
      <c r="EB213" s="230">
        <v>1390875</v>
      </c>
      <c r="EC213" s="229">
        <v>-1.44E-2</v>
      </c>
      <c r="ED213" s="229">
        <v>0.12759999999999999</v>
      </c>
      <c r="EE213" s="228">
        <v>-21.2</v>
      </c>
      <c r="EF213" s="229">
        <v>-1.5100000000000001E-2</v>
      </c>
      <c r="EG213" s="230">
        <v>604595</v>
      </c>
      <c r="EH213" s="230">
        <v>586824</v>
      </c>
      <c r="EI213" s="229">
        <v>3.0300000000000001E-2</v>
      </c>
      <c r="EJ213" s="229">
        <v>0.65090000000000003</v>
      </c>
      <c r="EK213" s="228">
        <v>511.94</v>
      </c>
      <c r="EL213" s="228">
        <v>254.95</v>
      </c>
      <c r="EM213" s="228">
        <v>305.31</v>
      </c>
      <c r="EN213" s="228">
        <v>71.430000000000007</v>
      </c>
      <c r="EO213" s="231">
        <v>1072.2</v>
      </c>
      <c r="EP213" s="231">
        <v>1528.35</v>
      </c>
      <c r="EQ213" s="228">
        <v>-456.15</v>
      </c>
      <c r="ER213" s="229">
        <v>-0.29849999999999999</v>
      </c>
      <c r="ES213" s="228">
        <v>429.94</v>
      </c>
      <c r="ET213" s="228">
        <v>349.75</v>
      </c>
      <c r="EU213" s="231">
        <v>1971.68</v>
      </c>
      <c r="EV213" s="231">
        <v>34594689</v>
      </c>
      <c r="EW213" s="231">
        <v>2751.37</v>
      </c>
      <c r="EX213" s="231">
        <v>2742.6</v>
      </c>
      <c r="EY213" s="228">
        <v>8.77</v>
      </c>
      <c r="EZ213" s="229">
        <v>3.2000000000000002E-3</v>
      </c>
      <c r="FA213" s="229">
        <v>0.56820000000000004</v>
      </c>
      <c r="FB213" s="227" t="s">
        <v>555</v>
      </c>
      <c r="FC213">
        <f t="shared" si="4"/>
        <v>0</v>
      </c>
    </row>
    <row r="214" spans="1:159" ht="17.25" thickBot="1" x14ac:dyDescent="0.3">
      <c r="A214" s="226">
        <v>45946</v>
      </c>
      <c r="B214" s="227" t="s">
        <v>221</v>
      </c>
      <c r="C214" s="227" t="s">
        <v>306</v>
      </c>
      <c r="D214" s="228">
        <v>3000</v>
      </c>
      <c r="E214" s="228">
        <v>12</v>
      </c>
      <c r="F214" s="228">
        <v>254.52</v>
      </c>
      <c r="G214" s="228">
        <v>250.13</v>
      </c>
      <c r="H214" s="228">
        <v>4.3899999999999997</v>
      </c>
      <c r="I214" s="229">
        <v>1.7600000000000001E-2</v>
      </c>
      <c r="J214" s="228">
        <v>253.81</v>
      </c>
      <c r="K214" s="228">
        <v>250.21</v>
      </c>
      <c r="L214" s="228">
        <v>3.6</v>
      </c>
      <c r="M214" s="229">
        <v>1.44E-2</v>
      </c>
      <c r="N214" s="228">
        <v>254.52</v>
      </c>
      <c r="O214" s="228">
        <v>250.13</v>
      </c>
      <c r="P214" s="228">
        <v>4.3899999999999997</v>
      </c>
      <c r="Q214" s="229">
        <v>1.7600000000000001E-2</v>
      </c>
      <c r="R214" s="228">
        <v>253.58</v>
      </c>
      <c r="S214" s="228">
        <v>249.09</v>
      </c>
      <c r="T214" s="228">
        <v>4.49</v>
      </c>
      <c r="U214" s="229">
        <v>1.7999999999999999E-2</v>
      </c>
      <c r="V214" s="228">
        <v>252.89</v>
      </c>
      <c r="W214" s="228">
        <v>248.57</v>
      </c>
      <c r="X214" s="228">
        <v>4.32</v>
      </c>
      <c r="Y214" s="229">
        <v>1.7399999999999999E-2</v>
      </c>
      <c r="Z214" s="228">
        <v>0.71</v>
      </c>
      <c r="AA214" s="228">
        <v>-0.08</v>
      </c>
      <c r="AB214" s="228">
        <v>0.79</v>
      </c>
      <c r="AC214" s="229">
        <v>2.8E-3</v>
      </c>
      <c r="AD214" s="228">
        <v>0.71</v>
      </c>
      <c r="AE214" s="228">
        <v>-0.08</v>
      </c>
      <c r="AF214" s="228">
        <v>0.79</v>
      </c>
      <c r="AG214" s="229">
        <v>2.8E-3</v>
      </c>
      <c r="AH214" s="228">
        <v>-0.23</v>
      </c>
      <c r="AI214" s="228">
        <v>-1.1200000000000001</v>
      </c>
      <c r="AJ214" s="228">
        <v>0.89</v>
      </c>
      <c r="AK214" s="229">
        <v>-8.9999999999999998E-4</v>
      </c>
      <c r="AL214" s="228">
        <v>-0.92</v>
      </c>
      <c r="AM214" s="228">
        <v>-1.64</v>
      </c>
      <c r="AN214" s="228">
        <v>0.72</v>
      </c>
      <c r="AO214" s="229">
        <v>-3.5999999999999999E-3</v>
      </c>
      <c r="AP214" s="228">
        <v>252.83</v>
      </c>
      <c r="AQ214" s="228">
        <v>252.09</v>
      </c>
      <c r="AR214" s="228">
        <v>0</v>
      </c>
      <c r="AS214" s="228">
        <v>874</v>
      </c>
      <c r="AT214" s="228">
        <v>862</v>
      </c>
      <c r="AU214" s="228">
        <v>12</v>
      </c>
      <c r="AV214" s="229">
        <v>1.35E-2</v>
      </c>
      <c r="AW214" s="228">
        <v>725</v>
      </c>
      <c r="AX214" s="228">
        <v>711</v>
      </c>
      <c r="AY214" s="228">
        <v>14</v>
      </c>
      <c r="AZ214" s="229">
        <v>1.9E-2</v>
      </c>
      <c r="BA214" s="228">
        <v>138</v>
      </c>
      <c r="BB214" s="228">
        <v>145</v>
      </c>
      <c r="BC214" s="228">
        <v>-7</v>
      </c>
      <c r="BD214" s="229">
        <v>-4.6399999999999997E-2</v>
      </c>
      <c r="BE214" s="228">
        <v>11</v>
      </c>
      <c r="BF214" s="228">
        <v>6</v>
      </c>
      <c r="BG214" s="228">
        <v>5</v>
      </c>
      <c r="BH214" s="229">
        <v>0.77110000000000001</v>
      </c>
      <c r="BI214" s="230">
        <v>3121</v>
      </c>
      <c r="BJ214" s="230">
        <v>1584</v>
      </c>
      <c r="BK214" s="230">
        <v>1537</v>
      </c>
      <c r="BL214" s="229">
        <v>0.97050000000000003</v>
      </c>
      <c r="BM214" s="230">
        <v>1987</v>
      </c>
      <c r="BN214" s="230">
        <v>1116</v>
      </c>
      <c r="BO214" s="228">
        <v>871</v>
      </c>
      <c r="BP214" s="229">
        <v>0.78</v>
      </c>
      <c r="BQ214" s="230">
        <v>5982</v>
      </c>
      <c r="BR214" s="230">
        <v>3563</v>
      </c>
      <c r="BS214" s="230">
        <v>2420</v>
      </c>
      <c r="BT214" s="229">
        <v>0.67920000000000003</v>
      </c>
      <c r="BU214" s="230">
        <v>10941116</v>
      </c>
      <c r="BV214" s="230">
        <v>13760010</v>
      </c>
      <c r="BW214" s="230">
        <v>-2818894</v>
      </c>
      <c r="BX214" s="229">
        <v>-0.2049</v>
      </c>
      <c r="BY214" s="230">
        <v>4031</v>
      </c>
      <c r="BZ214" s="230">
        <v>3954</v>
      </c>
      <c r="CA214" s="228">
        <v>77</v>
      </c>
      <c r="CB214" s="229">
        <v>1.95E-2</v>
      </c>
      <c r="CC214" s="230">
        <v>3450</v>
      </c>
      <c r="CD214" s="230">
        <v>3420</v>
      </c>
      <c r="CE214" s="228">
        <v>30</v>
      </c>
      <c r="CF214" s="229">
        <v>8.8999999999999999E-3</v>
      </c>
      <c r="CG214" s="228">
        <v>556</v>
      </c>
      <c r="CH214" s="228">
        <v>511</v>
      </c>
      <c r="CI214" s="228">
        <v>45</v>
      </c>
      <c r="CJ214" s="229">
        <v>8.8900000000000007E-2</v>
      </c>
      <c r="CK214" s="228">
        <v>24</v>
      </c>
      <c r="CL214" s="228">
        <v>23</v>
      </c>
      <c r="CM214" s="228">
        <v>1</v>
      </c>
      <c r="CN214" s="229">
        <v>5.2600000000000001E-2</v>
      </c>
      <c r="CO214" s="230">
        <v>1247</v>
      </c>
      <c r="CP214" s="230">
        <v>1021</v>
      </c>
      <c r="CQ214" s="228">
        <v>225</v>
      </c>
      <c r="CR214" s="229">
        <v>0.22070000000000001</v>
      </c>
      <c r="CS214" s="230">
        <v>1126</v>
      </c>
      <c r="CT214" s="228">
        <v>905</v>
      </c>
      <c r="CU214" s="228">
        <v>221</v>
      </c>
      <c r="CV214" s="229">
        <v>0.24379999999999999</v>
      </c>
      <c r="CW214" s="230">
        <v>6403</v>
      </c>
      <c r="CX214" s="230">
        <v>5880</v>
      </c>
      <c r="CY214" s="228">
        <v>523</v>
      </c>
      <c r="CZ214" s="229">
        <v>8.8900000000000007E-2</v>
      </c>
      <c r="DA214" s="228">
        <v>32.549999999999997</v>
      </c>
      <c r="DB214" s="228">
        <v>32.32</v>
      </c>
      <c r="DC214" s="228">
        <v>0.23</v>
      </c>
      <c r="DD214" s="228">
        <v>0.23</v>
      </c>
      <c r="DE214" s="228">
        <v>30.56</v>
      </c>
      <c r="DF214" s="228">
        <v>30.54</v>
      </c>
      <c r="DG214" s="228">
        <v>1.99</v>
      </c>
      <c r="DH214" s="228">
        <v>0.02</v>
      </c>
      <c r="DI214" s="228">
        <v>31.9</v>
      </c>
      <c r="DJ214" s="228">
        <v>32.06</v>
      </c>
      <c r="DK214" s="228">
        <v>-0.16</v>
      </c>
      <c r="DL214" s="228">
        <v>-0.16</v>
      </c>
      <c r="DM214" s="228">
        <v>33.57</v>
      </c>
      <c r="DN214" s="228">
        <v>32.69</v>
      </c>
      <c r="DO214" s="228">
        <v>0.88</v>
      </c>
      <c r="DP214" s="228">
        <v>0.88</v>
      </c>
      <c r="DQ214" s="228">
        <v>0.9</v>
      </c>
      <c r="DR214" s="228">
        <v>0.89</v>
      </c>
      <c r="DS214" s="228">
        <v>0.01</v>
      </c>
      <c r="DT214" s="229">
        <v>1.12E-2</v>
      </c>
      <c r="DU214" s="228">
        <v>260</v>
      </c>
      <c r="DV214" s="228">
        <v>245</v>
      </c>
      <c r="DW214" s="228">
        <v>0.64</v>
      </c>
      <c r="DX214" s="228">
        <v>0.7</v>
      </c>
      <c r="DY214" s="228">
        <v>-0.06</v>
      </c>
      <c r="DZ214" s="229">
        <v>-8.5699999999999998E-2</v>
      </c>
      <c r="EA214" s="229">
        <v>0.14410000000000001</v>
      </c>
      <c r="EB214" s="230">
        <v>20988000</v>
      </c>
      <c r="EC214" s="229">
        <v>-3.7000000000000002E-3</v>
      </c>
      <c r="ED214" s="229">
        <v>0.14410000000000001</v>
      </c>
      <c r="EE214" s="228">
        <v>-0.74</v>
      </c>
      <c r="EF214" s="229">
        <v>-2.8999999999999998E-3</v>
      </c>
      <c r="EG214" s="230">
        <v>5551772</v>
      </c>
      <c r="EH214" s="230">
        <v>7053511</v>
      </c>
      <c r="EI214" s="229">
        <v>-0.21290000000000001</v>
      </c>
      <c r="EJ214" s="229">
        <v>0.50739999999999996</v>
      </c>
      <c r="EK214" s="231">
        <v>3224.11</v>
      </c>
      <c r="EL214" s="231">
        <v>1933.32</v>
      </c>
      <c r="EM214" s="228">
        <v>867.67</v>
      </c>
      <c r="EN214" s="228">
        <v>97.21</v>
      </c>
      <c r="EO214" s="231">
        <v>6025.09</v>
      </c>
      <c r="EP214" s="231">
        <v>3550.54</v>
      </c>
      <c r="EQ214" s="231">
        <v>2474.5500000000002</v>
      </c>
      <c r="ER214" s="229">
        <v>0.69699999999999995</v>
      </c>
      <c r="ES214" s="231">
        <v>1270.8900000000001</v>
      </c>
      <c r="ET214" s="231">
        <v>1061.8399999999999</v>
      </c>
      <c r="EU214" s="231">
        <v>4028.47</v>
      </c>
      <c r="EV214" s="231">
        <v>292948819</v>
      </c>
      <c r="EW214" s="231">
        <v>6361.21</v>
      </c>
      <c r="EX214" s="231">
        <v>5761.56</v>
      </c>
      <c r="EY214" s="228">
        <v>599.65</v>
      </c>
      <c r="EZ214" s="229">
        <v>0.1041</v>
      </c>
      <c r="FA214" s="229">
        <v>0.85880000000000001</v>
      </c>
      <c r="FB214" s="227" t="s">
        <v>555</v>
      </c>
      <c r="FC214">
        <f t="shared" si="4"/>
        <v>0</v>
      </c>
    </row>
    <row r="215" spans="1:159" ht="17.25" thickBot="1" x14ac:dyDescent="0.3">
      <c r="A215" s="226">
        <v>45946</v>
      </c>
      <c r="B215" s="227" t="s">
        <v>172</v>
      </c>
      <c r="C215" s="227" t="s">
        <v>590</v>
      </c>
      <c r="D215" s="228">
        <v>31100</v>
      </c>
      <c r="E215" s="228">
        <v>12</v>
      </c>
      <c r="F215" s="228">
        <v>23.21</v>
      </c>
      <c r="G215" s="228">
        <v>23.41</v>
      </c>
      <c r="H215" s="228">
        <v>-0.2</v>
      </c>
      <c r="I215" s="229">
        <v>-8.5000000000000006E-3</v>
      </c>
      <c r="J215" s="228">
        <v>23.12</v>
      </c>
      <c r="K215" s="228">
        <v>23.32</v>
      </c>
      <c r="L215" s="228">
        <v>-0.2</v>
      </c>
      <c r="M215" s="229">
        <v>-8.6E-3</v>
      </c>
      <c r="N215" s="228">
        <v>23.21</v>
      </c>
      <c r="O215" s="228">
        <v>23.41</v>
      </c>
      <c r="P215" s="228">
        <v>-0.2</v>
      </c>
      <c r="Q215" s="229">
        <v>-8.5000000000000006E-3</v>
      </c>
      <c r="R215" s="228">
        <v>23.34</v>
      </c>
      <c r="S215" s="228">
        <v>23.55</v>
      </c>
      <c r="T215" s="228">
        <v>-0.21</v>
      </c>
      <c r="U215" s="229">
        <v>-8.8999999999999999E-3</v>
      </c>
      <c r="V215" s="228">
        <v>23.49</v>
      </c>
      <c r="W215" s="228">
        <v>23.67</v>
      </c>
      <c r="X215" s="228">
        <v>-0.18</v>
      </c>
      <c r="Y215" s="229">
        <v>-7.6E-3</v>
      </c>
      <c r="Z215" s="228">
        <v>0.09</v>
      </c>
      <c r="AA215" s="228">
        <v>0.09</v>
      </c>
      <c r="AB215" s="228">
        <v>0</v>
      </c>
      <c r="AC215" s="229">
        <v>3.8999999999999998E-3</v>
      </c>
      <c r="AD215" s="228">
        <v>0.09</v>
      </c>
      <c r="AE215" s="228">
        <v>0.09</v>
      </c>
      <c r="AF215" s="228">
        <v>0</v>
      </c>
      <c r="AG215" s="229">
        <v>3.8999999999999998E-3</v>
      </c>
      <c r="AH215" s="228">
        <v>0.22</v>
      </c>
      <c r="AI215" s="228">
        <v>0.23</v>
      </c>
      <c r="AJ215" s="228">
        <v>-0.01</v>
      </c>
      <c r="AK215" s="229">
        <v>9.4999999999999998E-3</v>
      </c>
      <c r="AL215" s="228">
        <v>0.37</v>
      </c>
      <c r="AM215" s="228">
        <v>0.35</v>
      </c>
      <c r="AN215" s="228">
        <v>0.02</v>
      </c>
      <c r="AO215" s="229">
        <v>1.6E-2</v>
      </c>
      <c r="AP215" s="228">
        <v>23.28</v>
      </c>
      <c r="AQ215" s="228">
        <v>23.41</v>
      </c>
      <c r="AR215" s="228">
        <v>0</v>
      </c>
      <c r="AS215" s="228">
        <v>250</v>
      </c>
      <c r="AT215" s="228">
        <v>255</v>
      </c>
      <c r="AU215" s="228">
        <v>-4</v>
      </c>
      <c r="AV215" s="229">
        <v>-1.67E-2</v>
      </c>
      <c r="AW215" s="228">
        <v>176</v>
      </c>
      <c r="AX215" s="228">
        <v>192</v>
      </c>
      <c r="AY215" s="228">
        <v>-16</v>
      </c>
      <c r="AZ215" s="229">
        <v>-8.1299999999999997E-2</v>
      </c>
      <c r="BA215" s="228">
        <v>63</v>
      </c>
      <c r="BB215" s="228">
        <v>55</v>
      </c>
      <c r="BC215" s="228">
        <v>9</v>
      </c>
      <c r="BD215" s="229">
        <v>0.1555</v>
      </c>
      <c r="BE215" s="228">
        <v>11</v>
      </c>
      <c r="BF215" s="228">
        <v>8</v>
      </c>
      <c r="BG215" s="228">
        <v>3</v>
      </c>
      <c r="BH215" s="229">
        <v>0.35139999999999999</v>
      </c>
      <c r="BI215" s="228">
        <v>338</v>
      </c>
      <c r="BJ215" s="228">
        <v>573</v>
      </c>
      <c r="BK215" s="228">
        <v>-235</v>
      </c>
      <c r="BL215" s="229">
        <v>-0.40989999999999999</v>
      </c>
      <c r="BM215" s="228">
        <v>125</v>
      </c>
      <c r="BN215" s="228">
        <v>148</v>
      </c>
      <c r="BO215" s="228">
        <v>-23</v>
      </c>
      <c r="BP215" s="229">
        <v>-0.154</v>
      </c>
      <c r="BQ215" s="228">
        <v>713</v>
      </c>
      <c r="BR215" s="228">
        <v>975</v>
      </c>
      <c r="BS215" s="228">
        <v>-262</v>
      </c>
      <c r="BT215" s="229">
        <v>-0.26860000000000001</v>
      </c>
      <c r="BU215" s="230">
        <v>91119072</v>
      </c>
      <c r="BV215" s="230">
        <v>99610117</v>
      </c>
      <c r="BW215" s="230">
        <v>-8491045</v>
      </c>
      <c r="BX215" s="229">
        <v>-8.5199999999999998E-2</v>
      </c>
      <c r="BY215" s="230">
        <v>2327</v>
      </c>
      <c r="BZ215" s="230">
        <v>2330</v>
      </c>
      <c r="CA215" s="228">
        <v>-3</v>
      </c>
      <c r="CB215" s="229">
        <v>-1.1000000000000001E-3</v>
      </c>
      <c r="CC215" s="230">
        <v>2005</v>
      </c>
      <c r="CD215" s="230">
        <v>2043</v>
      </c>
      <c r="CE215" s="228">
        <v>-39</v>
      </c>
      <c r="CF215" s="229">
        <v>-1.9E-2</v>
      </c>
      <c r="CG215" s="228">
        <v>283</v>
      </c>
      <c r="CH215" s="228">
        <v>252</v>
      </c>
      <c r="CI215" s="228">
        <v>31</v>
      </c>
      <c r="CJ215" s="229">
        <v>0.1221</v>
      </c>
      <c r="CK215" s="228">
        <v>40</v>
      </c>
      <c r="CL215" s="228">
        <v>34</v>
      </c>
      <c r="CM215" s="228">
        <v>5</v>
      </c>
      <c r="CN215" s="229">
        <v>0.15720000000000001</v>
      </c>
      <c r="CO215" s="228">
        <v>760</v>
      </c>
      <c r="CP215" s="228">
        <v>739</v>
      </c>
      <c r="CQ215" s="228">
        <v>21</v>
      </c>
      <c r="CR215" s="229">
        <v>2.8199999999999999E-2</v>
      </c>
      <c r="CS215" s="228">
        <v>430</v>
      </c>
      <c r="CT215" s="228">
        <v>431</v>
      </c>
      <c r="CU215" s="228">
        <v>-1</v>
      </c>
      <c r="CV215" s="229">
        <v>-1.6999999999999999E-3</v>
      </c>
      <c r="CW215" s="230">
        <v>3517</v>
      </c>
      <c r="CX215" s="230">
        <v>3499</v>
      </c>
      <c r="CY215" s="228">
        <v>17</v>
      </c>
      <c r="CZ215" s="229">
        <v>5.0000000000000001E-3</v>
      </c>
      <c r="DA215" s="228">
        <v>39.65</v>
      </c>
      <c r="DB215" s="228">
        <v>37.630000000000003</v>
      </c>
      <c r="DC215" s="228">
        <v>2.02</v>
      </c>
      <c r="DD215" s="228">
        <v>2.02</v>
      </c>
      <c r="DE215" s="228">
        <v>41.87</v>
      </c>
      <c r="DF215" s="228">
        <v>41.96</v>
      </c>
      <c r="DG215" s="228">
        <v>-2.2200000000000002</v>
      </c>
      <c r="DH215" s="228">
        <v>-0.09</v>
      </c>
      <c r="DI215" s="228">
        <v>41.39</v>
      </c>
      <c r="DJ215" s="228">
        <v>38.33</v>
      </c>
      <c r="DK215" s="228">
        <v>3.06</v>
      </c>
      <c r="DL215" s="228">
        <v>3.06</v>
      </c>
      <c r="DM215" s="228">
        <v>34.909999999999997</v>
      </c>
      <c r="DN215" s="228">
        <v>34.89</v>
      </c>
      <c r="DO215" s="228">
        <v>0.02</v>
      </c>
      <c r="DP215" s="228">
        <v>0.02</v>
      </c>
      <c r="DQ215" s="228">
        <v>0.56999999999999995</v>
      </c>
      <c r="DR215" s="228">
        <v>0.57999999999999996</v>
      </c>
      <c r="DS215" s="228">
        <v>-0.01</v>
      </c>
      <c r="DT215" s="229">
        <v>-1.72E-2</v>
      </c>
      <c r="DU215" s="228">
        <v>24</v>
      </c>
      <c r="DV215" s="228">
        <v>23</v>
      </c>
      <c r="DW215" s="228">
        <v>0.37</v>
      </c>
      <c r="DX215" s="228">
        <v>0.26</v>
      </c>
      <c r="DY215" s="228">
        <v>0.11</v>
      </c>
      <c r="DZ215" s="229">
        <v>0.42309999999999998</v>
      </c>
      <c r="EA215" s="229">
        <v>0.1386</v>
      </c>
      <c r="EB215" s="230">
        <v>123342600</v>
      </c>
      <c r="EC215" s="229">
        <v>5.5999999999999999E-3</v>
      </c>
      <c r="ED215" s="229">
        <v>0.1386</v>
      </c>
      <c r="EE215" s="228">
        <v>0.13</v>
      </c>
      <c r="EF215" s="229">
        <v>5.5999999999999999E-3</v>
      </c>
      <c r="EG215" s="230">
        <v>45511676</v>
      </c>
      <c r="EH215" s="230">
        <v>35877083</v>
      </c>
      <c r="EI215" s="229">
        <v>0.26850000000000002</v>
      </c>
      <c r="EJ215" s="229">
        <v>0.4995</v>
      </c>
      <c r="EK215" s="228">
        <v>362.68</v>
      </c>
      <c r="EL215" s="228">
        <v>123.65</v>
      </c>
      <c r="EM215" s="228">
        <v>251.67</v>
      </c>
      <c r="EN215" s="228">
        <v>67.16</v>
      </c>
      <c r="EO215" s="228">
        <v>738.01</v>
      </c>
      <c r="EP215" s="231">
        <v>1019.26</v>
      </c>
      <c r="EQ215" s="228">
        <v>-281.25</v>
      </c>
      <c r="ER215" s="229">
        <v>-0.27589999999999998</v>
      </c>
      <c r="ES215" s="228">
        <v>796.75</v>
      </c>
      <c r="ET215" s="228">
        <v>406.64</v>
      </c>
      <c r="EU215" s="231">
        <v>2329.0300000000002</v>
      </c>
      <c r="EV215" s="231">
        <v>3136562346</v>
      </c>
      <c r="EW215" s="231">
        <v>3532.42</v>
      </c>
      <c r="EX215" s="231">
        <v>3532.52</v>
      </c>
      <c r="EY215" s="228">
        <v>-0.1</v>
      </c>
      <c r="EZ215" s="229">
        <v>0</v>
      </c>
      <c r="FA215" s="229">
        <v>0.48309999999999997</v>
      </c>
      <c r="FB215" s="227" t="s">
        <v>568</v>
      </c>
      <c r="FC215">
        <f t="shared" si="4"/>
        <v>0</v>
      </c>
    </row>
    <row r="216" spans="1:159" ht="17.25" thickBot="1" x14ac:dyDescent="0.3">
      <c r="A216" s="226">
        <v>45946</v>
      </c>
      <c r="B216" s="227" t="s">
        <v>170</v>
      </c>
      <c r="C216" s="227" t="s">
        <v>557</v>
      </c>
      <c r="D216" s="228">
        <v>900</v>
      </c>
      <c r="E216" s="228">
        <v>12</v>
      </c>
      <c r="F216" s="228">
        <v>985.75</v>
      </c>
      <c r="G216" s="228">
        <v>980.2</v>
      </c>
      <c r="H216" s="228">
        <v>5.55</v>
      </c>
      <c r="I216" s="229">
        <v>5.7000000000000002E-3</v>
      </c>
      <c r="J216" s="228">
        <v>984.6</v>
      </c>
      <c r="K216" s="228">
        <v>977.3</v>
      </c>
      <c r="L216" s="228">
        <v>7.3</v>
      </c>
      <c r="M216" s="229">
        <v>7.4999999999999997E-3</v>
      </c>
      <c r="N216" s="228">
        <v>985.75</v>
      </c>
      <c r="O216" s="228">
        <v>980.2</v>
      </c>
      <c r="P216" s="228">
        <v>5.55</v>
      </c>
      <c r="Q216" s="229">
        <v>5.7000000000000002E-3</v>
      </c>
      <c r="R216" s="228">
        <v>990.65</v>
      </c>
      <c r="S216" s="228">
        <v>985.75</v>
      </c>
      <c r="T216" s="228">
        <v>4.9000000000000004</v>
      </c>
      <c r="U216" s="229">
        <v>5.0000000000000001E-3</v>
      </c>
      <c r="V216" s="228">
        <v>994</v>
      </c>
      <c r="W216" s="228">
        <v>991.2</v>
      </c>
      <c r="X216" s="228">
        <v>2.8</v>
      </c>
      <c r="Y216" s="229">
        <v>2.8E-3</v>
      </c>
      <c r="Z216" s="228">
        <v>1.1499999999999999</v>
      </c>
      <c r="AA216" s="228">
        <v>2.9</v>
      </c>
      <c r="AB216" s="228">
        <v>-1.75</v>
      </c>
      <c r="AC216" s="229">
        <v>1.1999999999999999E-3</v>
      </c>
      <c r="AD216" s="228">
        <v>1.1499999999999999</v>
      </c>
      <c r="AE216" s="228">
        <v>2.9</v>
      </c>
      <c r="AF216" s="228">
        <v>-1.75</v>
      </c>
      <c r="AG216" s="229">
        <v>1.1999999999999999E-3</v>
      </c>
      <c r="AH216" s="228">
        <v>6.05</v>
      </c>
      <c r="AI216" s="228">
        <v>8.4499999999999993</v>
      </c>
      <c r="AJ216" s="228">
        <v>-2.4</v>
      </c>
      <c r="AK216" s="229">
        <v>6.1000000000000004E-3</v>
      </c>
      <c r="AL216" s="228">
        <v>9.4</v>
      </c>
      <c r="AM216" s="228">
        <v>13.9</v>
      </c>
      <c r="AN216" s="228">
        <v>-4.5</v>
      </c>
      <c r="AO216" s="229">
        <v>9.4999999999999998E-3</v>
      </c>
      <c r="AP216" s="228">
        <v>984.44</v>
      </c>
      <c r="AQ216" s="228">
        <v>988.71</v>
      </c>
      <c r="AR216" s="228">
        <v>0</v>
      </c>
      <c r="AS216" s="228">
        <v>130</v>
      </c>
      <c r="AT216" s="228">
        <v>176</v>
      </c>
      <c r="AU216" s="228">
        <v>-46</v>
      </c>
      <c r="AV216" s="229">
        <v>-0.2641</v>
      </c>
      <c r="AW216" s="228">
        <v>115</v>
      </c>
      <c r="AX216" s="228">
        <v>139</v>
      </c>
      <c r="AY216" s="228">
        <v>-24</v>
      </c>
      <c r="AZ216" s="229">
        <v>-0.17280000000000001</v>
      </c>
      <c r="BA216" s="228">
        <v>14</v>
      </c>
      <c r="BB216" s="228">
        <v>37</v>
      </c>
      <c r="BC216" s="228">
        <v>-23</v>
      </c>
      <c r="BD216" s="229">
        <v>-0.62139999999999995</v>
      </c>
      <c r="BE216" s="228">
        <v>1</v>
      </c>
      <c r="BF216" s="228">
        <v>0</v>
      </c>
      <c r="BG216" s="228">
        <v>0</v>
      </c>
      <c r="BH216" s="229">
        <v>0.75</v>
      </c>
      <c r="BI216" s="228">
        <v>247</v>
      </c>
      <c r="BJ216" s="228">
        <v>180</v>
      </c>
      <c r="BK216" s="228">
        <v>67</v>
      </c>
      <c r="BL216" s="229">
        <v>0.374</v>
      </c>
      <c r="BM216" s="228">
        <v>113</v>
      </c>
      <c r="BN216" s="228">
        <v>57</v>
      </c>
      <c r="BO216" s="228">
        <v>56</v>
      </c>
      <c r="BP216" s="229">
        <v>0.97519999999999996</v>
      </c>
      <c r="BQ216" s="228">
        <v>489</v>
      </c>
      <c r="BR216" s="228">
        <v>413</v>
      </c>
      <c r="BS216" s="228">
        <v>77</v>
      </c>
      <c r="BT216" s="229">
        <v>0.18540000000000001</v>
      </c>
      <c r="BU216" s="230">
        <v>846821</v>
      </c>
      <c r="BV216" s="230">
        <v>567627</v>
      </c>
      <c r="BW216" s="230">
        <v>279194</v>
      </c>
      <c r="BX216" s="229">
        <v>0.4919</v>
      </c>
      <c r="BY216" s="228">
        <v>870</v>
      </c>
      <c r="BZ216" s="228">
        <v>880</v>
      </c>
      <c r="CA216" s="228">
        <v>-10</v>
      </c>
      <c r="CB216" s="229">
        <v>-1.12E-2</v>
      </c>
      <c r="CC216" s="228">
        <v>749</v>
      </c>
      <c r="CD216" s="228">
        <v>763</v>
      </c>
      <c r="CE216" s="228">
        <v>-13</v>
      </c>
      <c r="CF216" s="229">
        <v>-1.7299999999999999E-2</v>
      </c>
      <c r="CG216" s="228">
        <v>118</v>
      </c>
      <c r="CH216" s="228">
        <v>115</v>
      </c>
      <c r="CI216" s="228">
        <v>3</v>
      </c>
      <c r="CJ216" s="229">
        <v>2.7799999999999998E-2</v>
      </c>
      <c r="CK216" s="228">
        <v>2</v>
      </c>
      <c r="CL216" s="228">
        <v>2</v>
      </c>
      <c r="CM216" s="228">
        <v>0</v>
      </c>
      <c r="CN216" s="229">
        <v>9.0899999999999995E-2</v>
      </c>
      <c r="CO216" s="228">
        <v>354</v>
      </c>
      <c r="CP216" s="228">
        <v>381</v>
      </c>
      <c r="CQ216" s="228">
        <v>-27</v>
      </c>
      <c r="CR216" s="229">
        <v>-7.0800000000000002E-2</v>
      </c>
      <c r="CS216" s="228">
        <v>199</v>
      </c>
      <c r="CT216" s="228">
        <v>202</v>
      </c>
      <c r="CU216" s="228">
        <v>-2</v>
      </c>
      <c r="CV216" s="229">
        <v>-1.23E-2</v>
      </c>
      <c r="CW216" s="230">
        <v>1423</v>
      </c>
      <c r="CX216" s="230">
        <v>1462</v>
      </c>
      <c r="CY216" s="228">
        <v>-39</v>
      </c>
      <c r="CZ216" s="229">
        <v>-2.69E-2</v>
      </c>
      <c r="DA216" s="228">
        <v>23.88</v>
      </c>
      <c r="DB216" s="228">
        <v>26.02</v>
      </c>
      <c r="DC216" s="228">
        <v>-2.14</v>
      </c>
      <c r="DD216" s="228">
        <v>-2.14</v>
      </c>
      <c r="DE216" s="228">
        <v>29.91</v>
      </c>
      <c r="DF216" s="228">
        <v>29.98</v>
      </c>
      <c r="DG216" s="228">
        <v>-6.03</v>
      </c>
      <c r="DH216" s="228">
        <v>-7.0000000000000007E-2</v>
      </c>
      <c r="DI216" s="228">
        <v>24.09</v>
      </c>
      <c r="DJ216" s="228">
        <v>26.29</v>
      </c>
      <c r="DK216" s="228">
        <v>-2.2000000000000002</v>
      </c>
      <c r="DL216" s="228">
        <v>-2.2000000000000002</v>
      </c>
      <c r="DM216" s="228">
        <v>23.41</v>
      </c>
      <c r="DN216" s="228">
        <v>25.18</v>
      </c>
      <c r="DO216" s="228">
        <v>-1.77</v>
      </c>
      <c r="DP216" s="228">
        <v>-1.77</v>
      </c>
      <c r="DQ216" s="228">
        <v>0.56000000000000005</v>
      </c>
      <c r="DR216" s="228">
        <v>0.53</v>
      </c>
      <c r="DS216" s="228">
        <v>0.03</v>
      </c>
      <c r="DT216" s="229">
        <v>5.6599999999999998E-2</v>
      </c>
      <c r="DU216" s="231">
        <v>1100</v>
      </c>
      <c r="DV216" s="231">
        <v>1000</v>
      </c>
      <c r="DW216" s="228">
        <v>0.46</v>
      </c>
      <c r="DX216" s="228">
        <v>0.32</v>
      </c>
      <c r="DY216" s="228">
        <v>0.14000000000000001</v>
      </c>
      <c r="DZ216" s="229">
        <v>0.4375</v>
      </c>
      <c r="EA216" s="229">
        <v>0.1384</v>
      </c>
      <c r="EB216" s="230">
        <v>1187100</v>
      </c>
      <c r="EC216" s="229">
        <v>5.0000000000000001E-3</v>
      </c>
      <c r="ED216" s="229">
        <v>0.1384</v>
      </c>
      <c r="EE216" s="228">
        <v>4.2699999999999996</v>
      </c>
      <c r="EF216" s="229">
        <v>4.3E-3</v>
      </c>
      <c r="EG216" s="230">
        <v>515618</v>
      </c>
      <c r="EH216" s="230">
        <v>357461</v>
      </c>
      <c r="EI216" s="229">
        <v>0.44240000000000002</v>
      </c>
      <c r="EJ216" s="229">
        <v>0.6089</v>
      </c>
      <c r="EK216" s="228">
        <v>257.24</v>
      </c>
      <c r="EL216" s="228">
        <v>113.02</v>
      </c>
      <c r="EM216" s="228">
        <v>129.41999999999999</v>
      </c>
      <c r="EN216" s="228">
        <v>25.21</v>
      </c>
      <c r="EO216" s="228">
        <v>499.68</v>
      </c>
      <c r="EP216" s="228">
        <v>421.4</v>
      </c>
      <c r="EQ216" s="228">
        <v>78.28</v>
      </c>
      <c r="ER216" s="229">
        <v>0.18579999999999999</v>
      </c>
      <c r="ES216" s="228">
        <v>376.67</v>
      </c>
      <c r="ET216" s="228">
        <v>196.11</v>
      </c>
      <c r="EU216" s="228">
        <v>870.48</v>
      </c>
      <c r="EV216" s="231">
        <v>32617803</v>
      </c>
      <c r="EW216" s="231">
        <v>1443.26</v>
      </c>
      <c r="EX216" s="231">
        <v>1479.26</v>
      </c>
      <c r="EY216" s="228">
        <v>-36</v>
      </c>
      <c r="EZ216" s="229">
        <v>-2.4299999999999999E-2</v>
      </c>
      <c r="FA216" s="229">
        <v>0.44259999999999999</v>
      </c>
      <c r="FB216" s="227" t="s">
        <v>556</v>
      </c>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BY326-CC326</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BY390-CC390</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F1" zoomScaleNormal="100" workbookViewId="0">
      <selection activeCell="CD153" sqref="CD153"/>
    </sheetView>
  </sheetViews>
  <sheetFormatPr defaultRowHeight="15" x14ac:dyDescent="0.25"/>
  <cols>
    <col min="1" max="1" width="11.8554687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 customWidth="1"/>
    <col min="80" max="81" width="15.5703125" customWidth="1"/>
    <col min="82" max="82" width="13.7109375" customWidth="1"/>
    <col min="83" max="83" width="11.42578125" customWidth="1"/>
    <col min="84" max="84" width="14" customWidth="1"/>
    <col min="85" max="85" width="14.42578125" customWidth="1"/>
    <col min="86" max="86" width="13.5703125" customWidth="1"/>
    <col min="87" max="87" width="11.42578125" customWidth="1"/>
    <col min="88" max="89" width="12.7109375" customWidth="1"/>
    <col min="90" max="90" width="11.5703125" customWidth="1"/>
    <col min="91" max="91" width="10.140625" customWidth="1"/>
    <col min="92" max="93" width="15.5703125" customWidth="1"/>
    <col min="94" max="94" width="12.7109375" customWidth="1"/>
    <col min="95" max="95" width="10.42578125" customWidth="1"/>
    <col min="96" max="97" width="15.5703125" customWidth="1"/>
    <col min="98" max="98" width="12.7109375" customWidth="1"/>
    <col min="99" max="99" width="10.28515625" customWidth="1"/>
    <col min="100" max="101" width="16.7109375" customWidth="1"/>
    <col min="102" max="102" width="13.85546875" customWidth="1"/>
    <col min="103" max="103" width="11.7109375" customWidth="1"/>
    <col min="104" max="104" width="8" style="195" customWidth="1"/>
    <col min="105" max="105" width="8.7109375" customWidth="1"/>
    <col min="106" max="107" width="8.855468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8.42578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45946</v>
      </c>
      <c r="B2" s="227" t="s">
        <v>175</v>
      </c>
      <c r="C2" s="227" t="s">
        <v>683</v>
      </c>
      <c r="D2" s="228">
        <v>500</v>
      </c>
      <c r="E2" s="231">
        <v>1171.5999999999999</v>
      </c>
      <c r="F2" s="231">
        <v>1162.5</v>
      </c>
      <c r="G2" s="228">
        <v>9.1</v>
      </c>
      <c r="H2" s="229">
        <v>7.7999999999999996E-3</v>
      </c>
      <c r="I2" s="231">
        <v>1171.8</v>
      </c>
      <c r="J2" s="231">
        <v>1160.4000000000001</v>
      </c>
      <c r="K2" s="228">
        <v>11.4</v>
      </c>
      <c r="L2" s="229">
        <v>9.7999999999999997E-3</v>
      </c>
      <c r="M2" s="231">
        <v>1171.5999999999999</v>
      </c>
      <c r="N2" s="231">
        <v>1162.5</v>
      </c>
      <c r="O2" s="228">
        <v>9.1</v>
      </c>
      <c r="P2" s="229">
        <v>7.7999999999999996E-3</v>
      </c>
      <c r="Q2" s="231">
        <v>1175.7</v>
      </c>
      <c r="R2" s="231">
        <v>1163.3</v>
      </c>
      <c r="S2" s="228">
        <v>12.4</v>
      </c>
      <c r="T2" s="229">
        <v>1.0699999999999999E-2</v>
      </c>
      <c r="U2" s="231">
        <v>1170.5</v>
      </c>
      <c r="V2" s="231">
        <v>1165.2</v>
      </c>
      <c r="W2" s="228">
        <v>5.3</v>
      </c>
      <c r="X2" s="229">
        <v>4.4999999999999997E-3</v>
      </c>
      <c r="Y2" s="228">
        <v>-0.2</v>
      </c>
      <c r="Z2" s="228">
        <v>2.1</v>
      </c>
      <c r="AA2" s="228">
        <v>-2.2999999999999998</v>
      </c>
      <c r="AB2" s="229">
        <v>-2.0000000000000001E-4</v>
      </c>
      <c r="AC2" s="228">
        <v>-0.2</v>
      </c>
      <c r="AD2" s="228">
        <v>2.1</v>
      </c>
      <c r="AE2" s="228">
        <v>-2.2999999999999998</v>
      </c>
      <c r="AF2" s="229">
        <v>-2.0000000000000001E-4</v>
      </c>
      <c r="AG2" s="228">
        <v>3.9</v>
      </c>
      <c r="AH2" s="228">
        <v>2.9</v>
      </c>
      <c r="AI2" s="228">
        <v>1</v>
      </c>
      <c r="AJ2" s="229">
        <v>3.3E-3</v>
      </c>
      <c r="AK2" s="228">
        <v>-1.3</v>
      </c>
      <c r="AL2" s="228">
        <v>4.8</v>
      </c>
      <c r="AM2" s="228">
        <v>-6.1</v>
      </c>
      <c r="AN2" s="229">
        <v>-1.1000000000000001E-3</v>
      </c>
      <c r="AO2" s="231">
        <v>1170.58</v>
      </c>
      <c r="AP2" s="231">
        <v>1175.72</v>
      </c>
      <c r="AQ2" s="228">
        <v>0</v>
      </c>
      <c r="AR2" s="230">
        <v>1861500</v>
      </c>
      <c r="AS2" s="230">
        <v>3374500</v>
      </c>
      <c r="AT2" s="230">
        <v>-1513000</v>
      </c>
      <c r="AU2" s="229">
        <v>-0.44840000000000002</v>
      </c>
      <c r="AV2" s="230">
        <v>1669500</v>
      </c>
      <c r="AW2" s="230">
        <v>3227000</v>
      </c>
      <c r="AX2" s="230">
        <v>-1557500</v>
      </c>
      <c r="AY2" s="229">
        <v>-0.48259999999999997</v>
      </c>
      <c r="AZ2" s="230">
        <v>191500</v>
      </c>
      <c r="BA2" s="230">
        <v>145500</v>
      </c>
      <c r="BB2" s="230">
        <v>46000</v>
      </c>
      <c r="BC2" s="229">
        <v>0.31619999999999998</v>
      </c>
      <c r="BD2" s="228">
        <v>500</v>
      </c>
      <c r="BE2" s="230">
        <v>2000</v>
      </c>
      <c r="BF2" s="230">
        <v>-1500</v>
      </c>
      <c r="BG2" s="229">
        <v>-0.75</v>
      </c>
      <c r="BH2" s="230">
        <v>4231000</v>
      </c>
      <c r="BI2" s="230">
        <v>10036500</v>
      </c>
      <c r="BJ2" s="230">
        <v>-5805500</v>
      </c>
      <c r="BK2" s="229">
        <v>-0.57840000000000003</v>
      </c>
      <c r="BL2" s="230">
        <v>1725000</v>
      </c>
      <c r="BM2" s="230">
        <v>2797000</v>
      </c>
      <c r="BN2" s="230">
        <v>-1072000</v>
      </c>
      <c r="BO2" s="229">
        <v>-0.38329999999999997</v>
      </c>
      <c r="BP2" s="230">
        <v>7817500</v>
      </c>
      <c r="BQ2" s="230">
        <v>16208000</v>
      </c>
      <c r="BR2" s="230">
        <v>-8390500</v>
      </c>
      <c r="BS2" s="229">
        <v>-0.51770000000000005</v>
      </c>
      <c r="BT2" s="230">
        <v>1024484</v>
      </c>
      <c r="BU2" s="230">
        <v>2059296</v>
      </c>
      <c r="BV2" s="230">
        <v>-1034812</v>
      </c>
      <c r="BW2" s="229">
        <v>-0.50249999999999995</v>
      </c>
      <c r="BX2" s="230">
        <v>3631000</v>
      </c>
      <c r="BY2" s="230">
        <v>3513500</v>
      </c>
      <c r="BZ2" s="230">
        <v>117500</v>
      </c>
      <c r="CA2" s="229">
        <v>3.3399999999999999E-2</v>
      </c>
      <c r="CB2" s="230">
        <v>3438000</v>
      </c>
      <c r="CC2" s="230">
        <v>3385500</v>
      </c>
      <c r="CD2" s="230">
        <v>52500</v>
      </c>
      <c r="CE2" s="229">
        <v>1.55E-2</v>
      </c>
      <c r="CF2" s="230">
        <v>190500</v>
      </c>
      <c r="CG2" s="230">
        <v>125000</v>
      </c>
      <c r="CH2" s="230">
        <v>65500</v>
      </c>
      <c r="CI2" s="229">
        <v>0.52400000000000002</v>
      </c>
      <c r="CJ2" s="230">
        <v>2500</v>
      </c>
      <c r="CK2" s="230">
        <v>3000</v>
      </c>
      <c r="CL2" s="228">
        <v>-500</v>
      </c>
      <c r="CM2" s="229">
        <v>-0.16669999999999999</v>
      </c>
      <c r="CN2" s="230">
        <v>1885500</v>
      </c>
      <c r="CO2" s="230">
        <v>1711000</v>
      </c>
      <c r="CP2" s="230">
        <v>174500</v>
      </c>
      <c r="CQ2" s="229">
        <v>0.10199999999999999</v>
      </c>
      <c r="CR2" s="230">
        <v>1098000</v>
      </c>
      <c r="CS2" s="230">
        <v>1037500</v>
      </c>
      <c r="CT2" s="230">
        <v>60500</v>
      </c>
      <c r="CU2" s="229">
        <v>5.8299999999999998E-2</v>
      </c>
      <c r="CV2" s="230">
        <v>6614500</v>
      </c>
      <c r="CW2" s="230">
        <v>6262000</v>
      </c>
      <c r="CX2" s="230">
        <v>352500</v>
      </c>
      <c r="CY2" s="229">
        <v>5.6300000000000003E-2</v>
      </c>
      <c r="CZ2" s="228">
        <v>37.200000000000003</v>
      </c>
      <c r="DA2" s="228">
        <v>35.28</v>
      </c>
      <c r="DB2" s="228">
        <v>1.92</v>
      </c>
      <c r="DC2" s="228">
        <v>1.92</v>
      </c>
      <c r="DD2" s="228">
        <v>46</v>
      </c>
      <c r="DE2" s="228">
        <v>46.11</v>
      </c>
      <c r="DF2" s="228">
        <v>-8.8000000000000007</v>
      </c>
      <c r="DG2" s="228">
        <v>-0.11</v>
      </c>
      <c r="DH2" s="228">
        <v>37.43</v>
      </c>
      <c r="DI2" s="228">
        <v>35.18</v>
      </c>
      <c r="DJ2" s="228">
        <v>2.25</v>
      </c>
      <c r="DK2" s="228">
        <v>2.25</v>
      </c>
      <c r="DL2" s="228">
        <v>36.630000000000003</v>
      </c>
      <c r="DM2" s="228">
        <v>35.67</v>
      </c>
      <c r="DN2" s="228">
        <v>0.96</v>
      </c>
      <c r="DO2" s="228">
        <v>0.96</v>
      </c>
      <c r="DP2" s="228">
        <v>0.57999999999999996</v>
      </c>
      <c r="DQ2" s="228">
        <v>0.61</v>
      </c>
      <c r="DR2" s="228">
        <v>-0.03</v>
      </c>
      <c r="DS2" s="229">
        <v>-4.9200000000000001E-2</v>
      </c>
      <c r="DT2" s="231">
        <v>1200</v>
      </c>
      <c r="DU2" s="231">
        <v>1100</v>
      </c>
      <c r="DV2" s="228">
        <v>0.41</v>
      </c>
      <c r="DW2" s="228">
        <v>0.28000000000000003</v>
      </c>
      <c r="DX2" s="228">
        <v>0.13</v>
      </c>
      <c r="DY2" s="229">
        <v>0.46429999999999999</v>
      </c>
      <c r="DZ2" s="229">
        <v>5.3199999999999997E-2</v>
      </c>
      <c r="EA2" s="230">
        <v>128000</v>
      </c>
      <c r="EB2" s="229">
        <v>3.5000000000000001E-3</v>
      </c>
      <c r="EC2" s="229">
        <v>5.3199999999999997E-2</v>
      </c>
      <c r="ED2" s="228">
        <v>5.14</v>
      </c>
      <c r="EE2" s="229">
        <v>4.4000000000000003E-3</v>
      </c>
      <c r="EF2" s="230">
        <v>338228</v>
      </c>
      <c r="EG2" s="230">
        <v>986793</v>
      </c>
      <c r="EH2" s="229">
        <v>-0.65720000000000001</v>
      </c>
      <c r="EI2" s="229">
        <v>0.3301</v>
      </c>
      <c r="EJ2" s="231">
        <v>51387.13</v>
      </c>
      <c r="EK2" s="231">
        <v>20020.82</v>
      </c>
      <c r="EL2" s="231">
        <v>21800.18</v>
      </c>
      <c r="EM2" s="231">
        <v>2689</v>
      </c>
      <c r="EN2" s="231">
        <v>93208.13</v>
      </c>
      <c r="EO2" s="231">
        <v>189978.12</v>
      </c>
      <c r="EP2" s="231">
        <v>-96769.99</v>
      </c>
      <c r="EQ2" s="229">
        <v>-0.50939999999999996</v>
      </c>
      <c r="ER2" s="231">
        <v>22029</v>
      </c>
      <c r="ES2" s="231">
        <v>12081</v>
      </c>
      <c r="ET2" s="231">
        <v>42549</v>
      </c>
      <c r="EU2" s="231">
        <v>44660948</v>
      </c>
      <c r="EV2" s="231">
        <v>76659</v>
      </c>
      <c r="EW2" s="231">
        <v>71961</v>
      </c>
      <c r="EX2" s="231">
        <v>4698</v>
      </c>
      <c r="EY2" s="229">
        <v>6.5299999999999997E-2</v>
      </c>
      <c r="EZ2" s="229">
        <v>0.14810000000000001</v>
      </c>
      <c r="FA2" s="227" t="s">
        <v>555</v>
      </c>
      <c r="FB2" s="161">
        <f>BX2-CB2</f>
        <v>193000</v>
      </c>
    </row>
    <row r="3" spans="1:158" ht="17.25" hidden="1" thickBot="1" x14ac:dyDescent="0.3">
      <c r="A3" s="226">
        <v>45946</v>
      </c>
      <c r="B3" s="227" t="s">
        <v>184</v>
      </c>
      <c r="C3" s="227" t="s">
        <v>553</v>
      </c>
      <c r="D3" s="228">
        <v>125</v>
      </c>
      <c r="E3" s="231">
        <v>5213.5</v>
      </c>
      <c r="F3" s="231">
        <v>5192.5</v>
      </c>
      <c r="G3" s="228">
        <v>21</v>
      </c>
      <c r="H3" s="229">
        <v>4.0000000000000001E-3</v>
      </c>
      <c r="I3" s="231">
        <v>5212</v>
      </c>
      <c r="J3" s="231">
        <v>5173.5</v>
      </c>
      <c r="K3" s="228">
        <v>38.5</v>
      </c>
      <c r="L3" s="229">
        <v>7.4000000000000003E-3</v>
      </c>
      <c r="M3" s="231">
        <v>5213.5</v>
      </c>
      <c r="N3" s="231">
        <v>5192.5</v>
      </c>
      <c r="O3" s="228">
        <v>21</v>
      </c>
      <c r="P3" s="229">
        <v>4.0000000000000001E-3</v>
      </c>
      <c r="Q3" s="231">
        <v>5240.5</v>
      </c>
      <c r="R3" s="231">
        <v>5222</v>
      </c>
      <c r="S3" s="228">
        <v>18.5</v>
      </c>
      <c r="T3" s="229">
        <v>3.5000000000000001E-3</v>
      </c>
      <c r="U3" s="231">
        <v>5275</v>
      </c>
      <c r="V3" s="231">
        <v>5262</v>
      </c>
      <c r="W3" s="228">
        <v>13</v>
      </c>
      <c r="X3" s="229">
        <v>2.5000000000000001E-3</v>
      </c>
      <c r="Y3" s="228">
        <v>1.5</v>
      </c>
      <c r="Z3" s="228">
        <v>19</v>
      </c>
      <c r="AA3" s="228">
        <v>-17.5</v>
      </c>
      <c r="AB3" s="229">
        <v>2.9999999999999997E-4</v>
      </c>
      <c r="AC3" s="228">
        <v>1.5</v>
      </c>
      <c r="AD3" s="228">
        <v>19</v>
      </c>
      <c r="AE3" s="228">
        <v>-17.5</v>
      </c>
      <c r="AF3" s="229">
        <v>2.9999999999999997E-4</v>
      </c>
      <c r="AG3" s="228">
        <v>28.5</v>
      </c>
      <c r="AH3" s="228">
        <v>48.5</v>
      </c>
      <c r="AI3" s="228">
        <v>-20</v>
      </c>
      <c r="AJ3" s="229">
        <v>5.4999999999999997E-3</v>
      </c>
      <c r="AK3" s="228">
        <v>63</v>
      </c>
      <c r="AL3" s="228">
        <v>88.5</v>
      </c>
      <c r="AM3" s="228">
        <v>-25.5</v>
      </c>
      <c r="AN3" s="229">
        <v>1.21E-2</v>
      </c>
      <c r="AO3" s="231">
        <v>5178.43</v>
      </c>
      <c r="AP3" s="231">
        <v>5202.63</v>
      </c>
      <c r="AQ3" s="228">
        <v>0</v>
      </c>
      <c r="AR3" s="230">
        <v>1794375</v>
      </c>
      <c r="AS3" s="230">
        <v>482375</v>
      </c>
      <c r="AT3" s="230">
        <v>1312000</v>
      </c>
      <c r="AU3" s="229">
        <v>2.7199</v>
      </c>
      <c r="AV3" s="230">
        <v>1539875</v>
      </c>
      <c r="AW3" s="230">
        <v>410750</v>
      </c>
      <c r="AX3" s="230">
        <v>1129125</v>
      </c>
      <c r="AY3" s="229">
        <v>2.7488999999999999</v>
      </c>
      <c r="AZ3" s="230">
        <v>245125</v>
      </c>
      <c r="BA3" s="230">
        <v>62250</v>
      </c>
      <c r="BB3" s="230">
        <v>182875</v>
      </c>
      <c r="BC3" s="229">
        <v>2.9378000000000002</v>
      </c>
      <c r="BD3" s="230">
        <v>9375</v>
      </c>
      <c r="BE3" s="230">
        <v>9375</v>
      </c>
      <c r="BF3" s="228">
        <v>0</v>
      </c>
      <c r="BG3" s="229">
        <v>0</v>
      </c>
      <c r="BH3" s="230">
        <v>4026000</v>
      </c>
      <c r="BI3" s="230">
        <v>2437250</v>
      </c>
      <c r="BJ3" s="230">
        <v>1588750</v>
      </c>
      <c r="BK3" s="229">
        <v>0.65190000000000003</v>
      </c>
      <c r="BL3" s="230">
        <v>2566000</v>
      </c>
      <c r="BM3" s="230">
        <v>744750</v>
      </c>
      <c r="BN3" s="230">
        <v>1821250</v>
      </c>
      <c r="BO3" s="229">
        <v>2.4455</v>
      </c>
      <c r="BP3" s="230">
        <v>8386375</v>
      </c>
      <c r="BQ3" s="230">
        <v>3664375</v>
      </c>
      <c r="BR3" s="230">
        <v>4722000</v>
      </c>
      <c r="BS3" s="229">
        <v>1.2886</v>
      </c>
      <c r="BT3" s="230">
        <v>558566</v>
      </c>
      <c r="BU3" s="230">
        <v>223018</v>
      </c>
      <c r="BV3" s="230">
        <v>335548</v>
      </c>
      <c r="BW3" s="229">
        <v>1.5045999999999999</v>
      </c>
      <c r="BX3" s="230">
        <v>2483875</v>
      </c>
      <c r="BY3" s="230">
        <v>2482000</v>
      </c>
      <c r="BZ3" s="230">
        <v>1875</v>
      </c>
      <c r="CA3" s="229">
        <v>8.0000000000000004E-4</v>
      </c>
      <c r="CB3" s="230">
        <v>2285625</v>
      </c>
      <c r="CC3" s="230">
        <v>2335875</v>
      </c>
      <c r="CD3" s="230">
        <v>-50250</v>
      </c>
      <c r="CE3" s="229">
        <v>-2.1499999999999998E-2</v>
      </c>
      <c r="CF3" s="230">
        <v>178000</v>
      </c>
      <c r="CG3" s="230">
        <v>129375</v>
      </c>
      <c r="CH3" s="230">
        <v>48625</v>
      </c>
      <c r="CI3" s="229">
        <v>0.37580000000000002</v>
      </c>
      <c r="CJ3" s="230">
        <v>20250</v>
      </c>
      <c r="CK3" s="230">
        <v>16750</v>
      </c>
      <c r="CL3" s="230">
        <v>3500</v>
      </c>
      <c r="CM3" s="229">
        <v>0.20899999999999999</v>
      </c>
      <c r="CN3" s="230">
        <v>1320125</v>
      </c>
      <c r="CO3" s="230">
        <v>1338625</v>
      </c>
      <c r="CP3" s="230">
        <v>-18500</v>
      </c>
      <c r="CQ3" s="229">
        <v>-1.38E-2</v>
      </c>
      <c r="CR3" s="230">
        <v>904875</v>
      </c>
      <c r="CS3" s="230">
        <v>824250</v>
      </c>
      <c r="CT3" s="230">
        <v>80625</v>
      </c>
      <c r="CU3" s="229">
        <v>9.7799999999999998E-2</v>
      </c>
      <c r="CV3" s="230">
        <v>4708875</v>
      </c>
      <c r="CW3" s="230">
        <v>4644875</v>
      </c>
      <c r="CX3" s="230">
        <v>64000</v>
      </c>
      <c r="CY3" s="229">
        <v>1.38E-2</v>
      </c>
      <c r="CZ3" s="228">
        <v>25.42</v>
      </c>
      <c r="DA3" s="228">
        <v>25.86</v>
      </c>
      <c r="DB3" s="228">
        <v>-0.44</v>
      </c>
      <c r="DC3" s="228">
        <v>-0.44</v>
      </c>
      <c r="DD3" s="228">
        <v>36.57</v>
      </c>
      <c r="DE3" s="228">
        <v>36.65</v>
      </c>
      <c r="DF3" s="228">
        <v>-11.15</v>
      </c>
      <c r="DG3" s="228">
        <v>-0.08</v>
      </c>
      <c r="DH3" s="228">
        <v>25.22</v>
      </c>
      <c r="DI3" s="228">
        <v>25.87</v>
      </c>
      <c r="DJ3" s="228">
        <v>-0.65</v>
      </c>
      <c r="DK3" s="228">
        <v>-0.65</v>
      </c>
      <c r="DL3" s="228">
        <v>25.72</v>
      </c>
      <c r="DM3" s="228">
        <v>25.84</v>
      </c>
      <c r="DN3" s="228">
        <v>-0.12</v>
      </c>
      <c r="DO3" s="228">
        <v>-0.12</v>
      </c>
      <c r="DP3" s="228">
        <v>0.69</v>
      </c>
      <c r="DQ3" s="228">
        <v>0.62</v>
      </c>
      <c r="DR3" s="228">
        <v>7.0000000000000007E-2</v>
      </c>
      <c r="DS3" s="229">
        <v>0.1129</v>
      </c>
      <c r="DT3" s="231">
        <v>5300</v>
      </c>
      <c r="DU3" s="231">
        <v>5200</v>
      </c>
      <c r="DV3" s="228">
        <v>0.64</v>
      </c>
      <c r="DW3" s="228">
        <v>0.31</v>
      </c>
      <c r="DX3" s="228">
        <v>0.33</v>
      </c>
      <c r="DY3" s="229">
        <v>1.0645</v>
      </c>
      <c r="DZ3" s="229">
        <v>7.9799999999999996E-2</v>
      </c>
      <c r="EA3" s="230">
        <v>146125</v>
      </c>
      <c r="EB3" s="229">
        <v>5.1999999999999998E-3</v>
      </c>
      <c r="EC3" s="229">
        <v>7.9799999999999996E-2</v>
      </c>
      <c r="ED3" s="228">
        <v>24.2</v>
      </c>
      <c r="EE3" s="229">
        <v>4.7000000000000002E-3</v>
      </c>
      <c r="EF3" s="230">
        <v>233091</v>
      </c>
      <c r="EG3" s="230">
        <v>118839</v>
      </c>
      <c r="EH3" s="229">
        <v>0.96140000000000003</v>
      </c>
      <c r="EI3" s="229">
        <v>0.4173</v>
      </c>
      <c r="EJ3" s="231">
        <v>216034.53</v>
      </c>
      <c r="EK3" s="231">
        <v>132891.48000000001</v>
      </c>
      <c r="EL3" s="231">
        <v>92985.16</v>
      </c>
      <c r="EM3" s="231">
        <v>3135</v>
      </c>
      <c r="EN3" s="231">
        <v>441911.17</v>
      </c>
      <c r="EO3" s="231">
        <v>194414.44</v>
      </c>
      <c r="EP3" s="231">
        <v>247496.73</v>
      </c>
      <c r="EQ3" s="229">
        <v>1.2729999999999999</v>
      </c>
      <c r="ER3" s="231">
        <v>71595</v>
      </c>
      <c r="ES3" s="231">
        <v>47024</v>
      </c>
      <c r="ET3" s="231">
        <v>129557</v>
      </c>
      <c r="EU3" s="231">
        <v>7946564</v>
      </c>
      <c r="EV3" s="231">
        <v>248176</v>
      </c>
      <c r="EW3" s="231">
        <v>244449</v>
      </c>
      <c r="EX3" s="231">
        <v>3727</v>
      </c>
      <c r="EY3" s="229">
        <v>1.52E-2</v>
      </c>
      <c r="EZ3" s="229">
        <v>0.59260000000000002</v>
      </c>
      <c r="FA3" s="227" t="s">
        <v>555</v>
      </c>
      <c r="FB3" s="161">
        <f t="shared" ref="FB3:FB66" si="0">BX3-CB3</f>
        <v>198250</v>
      </c>
    </row>
    <row r="4" spans="1:158" ht="17.25" hidden="1" thickBot="1" x14ac:dyDescent="0.3">
      <c r="A4" s="226">
        <v>45946</v>
      </c>
      <c r="B4" s="227" t="s">
        <v>175</v>
      </c>
      <c r="C4" s="227" t="s">
        <v>544</v>
      </c>
      <c r="D4" s="228">
        <v>3100</v>
      </c>
      <c r="E4" s="228">
        <v>301</v>
      </c>
      <c r="F4" s="228">
        <v>304.75</v>
      </c>
      <c r="G4" s="228">
        <v>-3.75</v>
      </c>
      <c r="H4" s="229">
        <v>-1.23E-2</v>
      </c>
      <c r="I4" s="228">
        <v>300</v>
      </c>
      <c r="J4" s="228">
        <v>303.5</v>
      </c>
      <c r="K4" s="228">
        <v>-3.5</v>
      </c>
      <c r="L4" s="229">
        <v>-1.15E-2</v>
      </c>
      <c r="M4" s="228">
        <v>301</v>
      </c>
      <c r="N4" s="228">
        <v>304.75</v>
      </c>
      <c r="O4" s="228">
        <v>-3.75</v>
      </c>
      <c r="P4" s="229">
        <v>-1.23E-2</v>
      </c>
      <c r="Q4" s="228">
        <v>302.75</v>
      </c>
      <c r="R4" s="228">
        <v>306.10000000000002</v>
      </c>
      <c r="S4" s="228">
        <v>-3.35</v>
      </c>
      <c r="T4" s="229">
        <v>-1.09E-2</v>
      </c>
      <c r="U4" s="228">
        <v>304.35000000000002</v>
      </c>
      <c r="V4" s="228">
        <v>307.75</v>
      </c>
      <c r="W4" s="228">
        <v>-3.4</v>
      </c>
      <c r="X4" s="229">
        <v>-1.0999999999999999E-2</v>
      </c>
      <c r="Y4" s="228">
        <v>1</v>
      </c>
      <c r="Z4" s="228">
        <v>1.25</v>
      </c>
      <c r="AA4" s="228">
        <v>-0.25</v>
      </c>
      <c r="AB4" s="229">
        <v>3.3E-3</v>
      </c>
      <c r="AC4" s="228">
        <v>1</v>
      </c>
      <c r="AD4" s="228">
        <v>1.25</v>
      </c>
      <c r="AE4" s="228">
        <v>-0.25</v>
      </c>
      <c r="AF4" s="229">
        <v>3.3E-3</v>
      </c>
      <c r="AG4" s="228">
        <v>2.75</v>
      </c>
      <c r="AH4" s="228">
        <v>2.6</v>
      </c>
      <c r="AI4" s="228">
        <v>0.15</v>
      </c>
      <c r="AJ4" s="229">
        <v>9.1999999999999998E-3</v>
      </c>
      <c r="AK4" s="228">
        <v>4.3499999999999996</v>
      </c>
      <c r="AL4" s="228">
        <v>4.25</v>
      </c>
      <c r="AM4" s="228">
        <v>0.1</v>
      </c>
      <c r="AN4" s="229">
        <v>1.4500000000000001E-2</v>
      </c>
      <c r="AO4" s="228">
        <v>303.29000000000002</v>
      </c>
      <c r="AP4" s="228">
        <v>305.20999999999998</v>
      </c>
      <c r="AQ4" s="228">
        <v>0</v>
      </c>
      <c r="AR4" s="230">
        <v>8937300</v>
      </c>
      <c r="AS4" s="230">
        <v>10933700</v>
      </c>
      <c r="AT4" s="230">
        <v>-1996400</v>
      </c>
      <c r="AU4" s="229">
        <v>-0.18260000000000001</v>
      </c>
      <c r="AV4" s="230">
        <v>7573300</v>
      </c>
      <c r="AW4" s="230">
        <v>9269000</v>
      </c>
      <c r="AX4" s="230">
        <v>-1695700</v>
      </c>
      <c r="AY4" s="229">
        <v>-0.18290000000000001</v>
      </c>
      <c r="AZ4" s="230">
        <v>1280300</v>
      </c>
      <c r="BA4" s="230">
        <v>1562400</v>
      </c>
      <c r="BB4" s="230">
        <v>-282100</v>
      </c>
      <c r="BC4" s="229">
        <v>-0.18060000000000001</v>
      </c>
      <c r="BD4" s="230">
        <v>83700</v>
      </c>
      <c r="BE4" s="230">
        <v>102300</v>
      </c>
      <c r="BF4" s="230">
        <v>-18600</v>
      </c>
      <c r="BG4" s="229">
        <v>-0.18179999999999999</v>
      </c>
      <c r="BH4" s="230">
        <v>20239900</v>
      </c>
      <c r="BI4" s="230">
        <v>28123200</v>
      </c>
      <c r="BJ4" s="230">
        <v>-7883300</v>
      </c>
      <c r="BK4" s="229">
        <v>-0.28029999999999999</v>
      </c>
      <c r="BL4" s="230">
        <v>9076800</v>
      </c>
      <c r="BM4" s="230">
        <v>14855200</v>
      </c>
      <c r="BN4" s="230">
        <v>-5778400</v>
      </c>
      <c r="BO4" s="229">
        <v>-0.38900000000000001</v>
      </c>
      <c r="BP4" s="230">
        <v>38254000</v>
      </c>
      <c r="BQ4" s="230">
        <v>53912100</v>
      </c>
      <c r="BR4" s="230">
        <v>-15658100</v>
      </c>
      <c r="BS4" s="229">
        <v>-0.29039999999999999</v>
      </c>
      <c r="BT4" s="230">
        <v>2232565</v>
      </c>
      <c r="BU4" s="230">
        <v>3752233</v>
      </c>
      <c r="BV4" s="230">
        <v>-1519668</v>
      </c>
      <c r="BW4" s="229">
        <v>-0.40500000000000003</v>
      </c>
      <c r="BX4" s="230">
        <v>77562000</v>
      </c>
      <c r="BY4" s="230">
        <v>77155900</v>
      </c>
      <c r="BZ4" s="230">
        <v>406100</v>
      </c>
      <c r="CA4" s="229">
        <v>5.3E-3</v>
      </c>
      <c r="CB4" s="230">
        <v>74542600</v>
      </c>
      <c r="CC4" s="230">
        <v>74387600</v>
      </c>
      <c r="CD4" s="230">
        <v>155000</v>
      </c>
      <c r="CE4" s="229">
        <v>2.0999999999999999E-3</v>
      </c>
      <c r="CF4" s="230">
        <v>2631900</v>
      </c>
      <c r="CG4" s="230">
        <v>2402500</v>
      </c>
      <c r="CH4" s="230">
        <v>229400</v>
      </c>
      <c r="CI4" s="229">
        <v>9.5500000000000002E-2</v>
      </c>
      <c r="CJ4" s="230">
        <v>387500</v>
      </c>
      <c r="CK4" s="230">
        <v>365800</v>
      </c>
      <c r="CL4" s="230">
        <v>21700</v>
      </c>
      <c r="CM4" s="229">
        <v>5.9299999999999999E-2</v>
      </c>
      <c r="CN4" s="230">
        <v>24542700</v>
      </c>
      <c r="CO4" s="230">
        <v>23857600</v>
      </c>
      <c r="CP4" s="230">
        <v>685100</v>
      </c>
      <c r="CQ4" s="229">
        <v>2.87E-2</v>
      </c>
      <c r="CR4" s="230">
        <v>13850800</v>
      </c>
      <c r="CS4" s="230">
        <v>13537700</v>
      </c>
      <c r="CT4" s="230">
        <v>313100</v>
      </c>
      <c r="CU4" s="229">
        <v>2.3099999999999999E-2</v>
      </c>
      <c r="CV4" s="230">
        <v>115955500</v>
      </c>
      <c r="CW4" s="230">
        <v>114551200</v>
      </c>
      <c r="CX4" s="230">
        <v>1404300</v>
      </c>
      <c r="CY4" s="229">
        <v>1.23E-2</v>
      </c>
      <c r="CZ4" s="228">
        <v>30.79</v>
      </c>
      <c r="DA4" s="228">
        <v>30.78</v>
      </c>
      <c r="DB4" s="228">
        <v>0.01</v>
      </c>
      <c r="DC4" s="228">
        <v>0.01</v>
      </c>
      <c r="DD4" s="228">
        <v>40.29</v>
      </c>
      <c r="DE4" s="228">
        <v>40.35</v>
      </c>
      <c r="DF4" s="228">
        <v>-9.5</v>
      </c>
      <c r="DG4" s="228">
        <v>-0.06</v>
      </c>
      <c r="DH4" s="228">
        <v>30.97</v>
      </c>
      <c r="DI4" s="228">
        <v>30.51</v>
      </c>
      <c r="DJ4" s="228">
        <v>0.46</v>
      </c>
      <c r="DK4" s="228">
        <v>0.46</v>
      </c>
      <c r="DL4" s="228">
        <v>30.4</v>
      </c>
      <c r="DM4" s="228">
        <v>31.31</v>
      </c>
      <c r="DN4" s="228">
        <v>-0.91</v>
      </c>
      <c r="DO4" s="228">
        <v>-0.91</v>
      </c>
      <c r="DP4" s="228">
        <v>0.56000000000000005</v>
      </c>
      <c r="DQ4" s="228">
        <v>0.56999999999999995</v>
      </c>
      <c r="DR4" s="228">
        <v>-0.01</v>
      </c>
      <c r="DS4" s="229">
        <v>-1.7500000000000002E-2</v>
      </c>
      <c r="DT4" s="228">
        <v>310</v>
      </c>
      <c r="DU4" s="228">
        <v>300</v>
      </c>
      <c r="DV4" s="228">
        <v>0.45</v>
      </c>
      <c r="DW4" s="228">
        <v>0.53</v>
      </c>
      <c r="DX4" s="228">
        <v>-0.08</v>
      </c>
      <c r="DY4" s="229">
        <v>-0.15090000000000001</v>
      </c>
      <c r="DZ4" s="229">
        <v>3.8899999999999997E-2</v>
      </c>
      <c r="EA4" s="230">
        <v>2768300</v>
      </c>
      <c r="EB4" s="229">
        <v>5.7999999999999996E-3</v>
      </c>
      <c r="EC4" s="229">
        <v>3.8899999999999997E-2</v>
      </c>
      <c r="ED4" s="228">
        <v>1.92</v>
      </c>
      <c r="EE4" s="229">
        <v>6.3E-3</v>
      </c>
      <c r="EF4" s="230">
        <v>722191</v>
      </c>
      <c r="EG4" s="230">
        <v>1614882</v>
      </c>
      <c r="EH4" s="229">
        <v>-0.55279999999999996</v>
      </c>
      <c r="EI4" s="229">
        <v>0.32350000000000001</v>
      </c>
      <c r="EJ4" s="231">
        <v>64033.29</v>
      </c>
      <c r="EK4" s="231">
        <v>27171.59</v>
      </c>
      <c r="EL4" s="231">
        <v>27133.14</v>
      </c>
      <c r="EM4" s="231">
        <v>3421</v>
      </c>
      <c r="EN4" s="231">
        <v>118338.02</v>
      </c>
      <c r="EO4" s="231">
        <v>166241.22</v>
      </c>
      <c r="EP4" s="231">
        <v>-47903.199999999997</v>
      </c>
      <c r="EQ4" s="229">
        <v>-0.28820000000000001</v>
      </c>
      <c r="ER4" s="231">
        <v>76102</v>
      </c>
      <c r="ES4" s="231">
        <v>39672</v>
      </c>
      <c r="ET4" s="231">
        <v>233521</v>
      </c>
      <c r="EU4" s="231">
        <v>122316423</v>
      </c>
      <c r="EV4" s="231">
        <v>349294</v>
      </c>
      <c r="EW4" s="231">
        <v>347897</v>
      </c>
      <c r="EX4" s="231">
        <v>1397</v>
      </c>
      <c r="EY4" s="229">
        <v>4.0000000000000001E-3</v>
      </c>
      <c r="EZ4" s="229">
        <v>0.94799999999999995</v>
      </c>
      <c r="FA4" s="227" t="s">
        <v>567</v>
      </c>
      <c r="FB4" s="161">
        <f t="shared" si="0"/>
        <v>3019400</v>
      </c>
    </row>
    <row r="5" spans="1:158" ht="17.25" hidden="1" thickBot="1" x14ac:dyDescent="0.3">
      <c r="A5" s="226">
        <v>45946</v>
      </c>
      <c r="B5" s="227" t="s">
        <v>161</v>
      </c>
      <c r="C5" s="227" t="s">
        <v>579</v>
      </c>
      <c r="D5" s="228">
        <v>675</v>
      </c>
      <c r="E5" s="228">
        <v>948.7</v>
      </c>
      <c r="F5" s="228">
        <v>948.55</v>
      </c>
      <c r="G5" s="228">
        <v>0.15</v>
      </c>
      <c r="H5" s="229">
        <v>2.0000000000000001E-4</v>
      </c>
      <c r="I5" s="228">
        <v>947.95</v>
      </c>
      <c r="J5" s="228">
        <v>944.2</v>
      </c>
      <c r="K5" s="228">
        <v>3.75</v>
      </c>
      <c r="L5" s="229">
        <v>4.0000000000000001E-3</v>
      </c>
      <c r="M5" s="228">
        <v>948.7</v>
      </c>
      <c r="N5" s="228">
        <v>948.55</v>
      </c>
      <c r="O5" s="228">
        <v>0.15</v>
      </c>
      <c r="P5" s="229">
        <v>2.0000000000000001E-4</v>
      </c>
      <c r="Q5" s="228">
        <v>953.85</v>
      </c>
      <c r="R5" s="228">
        <v>954.7</v>
      </c>
      <c r="S5" s="228">
        <v>-0.85</v>
      </c>
      <c r="T5" s="229">
        <v>-8.9999999999999998E-4</v>
      </c>
      <c r="U5" s="228">
        <v>958.4</v>
      </c>
      <c r="V5" s="228">
        <v>962.75</v>
      </c>
      <c r="W5" s="228">
        <v>-4.3499999999999996</v>
      </c>
      <c r="X5" s="229">
        <v>-4.4999999999999997E-3</v>
      </c>
      <c r="Y5" s="228">
        <v>0.75</v>
      </c>
      <c r="Z5" s="228">
        <v>4.3499999999999996</v>
      </c>
      <c r="AA5" s="228">
        <v>-3.6</v>
      </c>
      <c r="AB5" s="229">
        <v>8.0000000000000004E-4</v>
      </c>
      <c r="AC5" s="228">
        <v>0.75</v>
      </c>
      <c r="AD5" s="228">
        <v>4.3499999999999996</v>
      </c>
      <c r="AE5" s="228">
        <v>-3.6</v>
      </c>
      <c r="AF5" s="229">
        <v>8.0000000000000004E-4</v>
      </c>
      <c r="AG5" s="228">
        <v>5.9</v>
      </c>
      <c r="AH5" s="228">
        <v>10.5</v>
      </c>
      <c r="AI5" s="228">
        <v>-4.5999999999999996</v>
      </c>
      <c r="AJ5" s="229">
        <v>6.1999999999999998E-3</v>
      </c>
      <c r="AK5" s="228">
        <v>10.45</v>
      </c>
      <c r="AL5" s="228">
        <v>18.55</v>
      </c>
      <c r="AM5" s="228">
        <v>-8.1</v>
      </c>
      <c r="AN5" s="229">
        <v>1.0999999999999999E-2</v>
      </c>
      <c r="AO5" s="228">
        <v>953.41</v>
      </c>
      <c r="AP5" s="228">
        <v>958.5</v>
      </c>
      <c r="AQ5" s="228">
        <v>0</v>
      </c>
      <c r="AR5" s="230">
        <v>2002725</v>
      </c>
      <c r="AS5" s="230">
        <v>2542725</v>
      </c>
      <c r="AT5" s="230">
        <v>-540000</v>
      </c>
      <c r="AU5" s="229">
        <v>-0.21240000000000001</v>
      </c>
      <c r="AV5" s="230">
        <v>1848150</v>
      </c>
      <c r="AW5" s="230">
        <v>2371275</v>
      </c>
      <c r="AX5" s="230">
        <v>-523125</v>
      </c>
      <c r="AY5" s="229">
        <v>-0.22059999999999999</v>
      </c>
      <c r="AZ5" s="230">
        <v>131625</v>
      </c>
      <c r="BA5" s="230">
        <v>156600</v>
      </c>
      <c r="BB5" s="230">
        <v>-24975</v>
      </c>
      <c r="BC5" s="229">
        <v>-0.1595</v>
      </c>
      <c r="BD5" s="230">
        <v>22950</v>
      </c>
      <c r="BE5" s="230">
        <v>14850</v>
      </c>
      <c r="BF5" s="230">
        <v>8100</v>
      </c>
      <c r="BG5" s="229">
        <v>0.54549999999999998</v>
      </c>
      <c r="BH5" s="230">
        <v>4978125</v>
      </c>
      <c r="BI5" s="230">
        <v>4988925</v>
      </c>
      <c r="BJ5" s="230">
        <v>-10800</v>
      </c>
      <c r="BK5" s="229">
        <v>-2.2000000000000001E-3</v>
      </c>
      <c r="BL5" s="230">
        <v>1885275</v>
      </c>
      <c r="BM5" s="230">
        <v>1546425</v>
      </c>
      <c r="BN5" s="230">
        <v>338850</v>
      </c>
      <c r="BO5" s="229">
        <v>0.21909999999999999</v>
      </c>
      <c r="BP5" s="230">
        <v>8866125</v>
      </c>
      <c r="BQ5" s="230">
        <v>9078075</v>
      </c>
      <c r="BR5" s="230">
        <v>-211950</v>
      </c>
      <c r="BS5" s="229">
        <v>-2.3300000000000001E-2</v>
      </c>
      <c r="BT5" s="230">
        <v>1370482</v>
      </c>
      <c r="BU5" s="230">
        <v>1595087</v>
      </c>
      <c r="BV5" s="230">
        <v>-224605</v>
      </c>
      <c r="BW5" s="229">
        <v>-0.14080000000000001</v>
      </c>
      <c r="BX5" s="230">
        <v>18204750</v>
      </c>
      <c r="BY5" s="230">
        <v>18382275</v>
      </c>
      <c r="BZ5" s="230">
        <v>-177525</v>
      </c>
      <c r="CA5" s="229">
        <v>-9.7000000000000003E-3</v>
      </c>
      <c r="CB5" s="230">
        <v>17847675</v>
      </c>
      <c r="CC5" s="230">
        <v>18067725</v>
      </c>
      <c r="CD5" s="230">
        <v>-220050</v>
      </c>
      <c r="CE5" s="229">
        <v>-1.2200000000000001E-2</v>
      </c>
      <c r="CF5" s="230">
        <v>329400</v>
      </c>
      <c r="CG5" s="230">
        <v>290250</v>
      </c>
      <c r="CH5" s="230">
        <v>39150</v>
      </c>
      <c r="CI5" s="229">
        <v>0.13489999999999999</v>
      </c>
      <c r="CJ5" s="230">
        <v>27675</v>
      </c>
      <c r="CK5" s="230">
        <v>24300</v>
      </c>
      <c r="CL5" s="230">
        <v>3375</v>
      </c>
      <c r="CM5" s="229">
        <v>0.1389</v>
      </c>
      <c r="CN5" s="230">
        <v>3569400</v>
      </c>
      <c r="CO5" s="230">
        <v>3576825</v>
      </c>
      <c r="CP5" s="230">
        <v>-7425</v>
      </c>
      <c r="CQ5" s="229">
        <v>-2.0999999999999999E-3</v>
      </c>
      <c r="CR5" s="230">
        <v>2278125</v>
      </c>
      <c r="CS5" s="230">
        <v>2244375</v>
      </c>
      <c r="CT5" s="230">
        <v>33750</v>
      </c>
      <c r="CU5" s="229">
        <v>1.4999999999999999E-2</v>
      </c>
      <c r="CV5" s="230">
        <v>24052275</v>
      </c>
      <c r="CW5" s="230">
        <v>24203475</v>
      </c>
      <c r="CX5" s="230">
        <v>-151200</v>
      </c>
      <c r="CY5" s="229">
        <v>-6.1999999999999998E-3</v>
      </c>
      <c r="CZ5" s="228">
        <v>37.36</v>
      </c>
      <c r="DA5" s="228">
        <v>39.53</v>
      </c>
      <c r="DB5" s="228">
        <v>-2.17</v>
      </c>
      <c r="DC5" s="228">
        <v>-2.17</v>
      </c>
      <c r="DD5" s="228">
        <v>55.79</v>
      </c>
      <c r="DE5" s="228">
        <v>55.93</v>
      </c>
      <c r="DF5" s="228">
        <v>-18.43</v>
      </c>
      <c r="DG5" s="228">
        <v>-0.14000000000000001</v>
      </c>
      <c r="DH5" s="228">
        <v>37.590000000000003</v>
      </c>
      <c r="DI5" s="228">
        <v>39.72</v>
      </c>
      <c r="DJ5" s="228">
        <v>-2.13</v>
      </c>
      <c r="DK5" s="228">
        <v>-2.13</v>
      </c>
      <c r="DL5" s="228">
        <v>36.74</v>
      </c>
      <c r="DM5" s="228">
        <v>38.92</v>
      </c>
      <c r="DN5" s="228">
        <v>-2.1800000000000002</v>
      </c>
      <c r="DO5" s="228">
        <v>-2.1800000000000002</v>
      </c>
      <c r="DP5" s="228">
        <v>0.64</v>
      </c>
      <c r="DQ5" s="228">
        <v>0.63</v>
      </c>
      <c r="DR5" s="228">
        <v>0.01</v>
      </c>
      <c r="DS5" s="229">
        <v>1.5900000000000001E-2</v>
      </c>
      <c r="DT5" s="231">
        <v>1000</v>
      </c>
      <c r="DU5" s="228">
        <v>900</v>
      </c>
      <c r="DV5" s="228">
        <v>0.38</v>
      </c>
      <c r="DW5" s="228">
        <v>0.31</v>
      </c>
      <c r="DX5" s="228">
        <v>7.0000000000000007E-2</v>
      </c>
      <c r="DY5" s="229">
        <v>0.2258</v>
      </c>
      <c r="DZ5" s="229">
        <v>1.9599999999999999E-2</v>
      </c>
      <c r="EA5" s="230">
        <v>314550</v>
      </c>
      <c r="EB5" s="229">
        <v>5.4000000000000003E-3</v>
      </c>
      <c r="EC5" s="229">
        <v>1.9599999999999999E-2</v>
      </c>
      <c r="ED5" s="228">
        <v>5.09</v>
      </c>
      <c r="EE5" s="229">
        <v>5.3E-3</v>
      </c>
      <c r="EF5" s="230">
        <v>622640</v>
      </c>
      <c r="EG5" s="230">
        <v>774065</v>
      </c>
      <c r="EH5" s="229">
        <v>-0.1956</v>
      </c>
      <c r="EI5" s="229">
        <v>0.45429999999999998</v>
      </c>
      <c r="EJ5" s="231">
        <v>49231.37</v>
      </c>
      <c r="EK5" s="231">
        <v>17693.84</v>
      </c>
      <c r="EL5" s="231">
        <v>19103.32</v>
      </c>
      <c r="EM5" s="231">
        <v>2844</v>
      </c>
      <c r="EN5" s="231">
        <v>86028.53</v>
      </c>
      <c r="EO5" s="231">
        <v>86932.6</v>
      </c>
      <c r="EP5" s="228">
        <v>-904.07</v>
      </c>
      <c r="EQ5" s="229">
        <v>-1.04E-2</v>
      </c>
      <c r="ER5" s="231">
        <v>34515</v>
      </c>
      <c r="ES5" s="231">
        <v>20101</v>
      </c>
      <c r="ET5" s="231">
        <v>172728</v>
      </c>
      <c r="EU5" s="231">
        <v>51907388</v>
      </c>
      <c r="EV5" s="231">
        <v>227344</v>
      </c>
      <c r="EW5" s="231">
        <v>228648</v>
      </c>
      <c r="EX5" s="231">
        <v>-1304</v>
      </c>
      <c r="EY5" s="229">
        <v>-5.7000000000000002E-3</v>
      </c>
      <c r="EZ5" s="229">
        <v>0.46339999999999998</v>
      </c>
      <c r="FA5" s="227" t="s">
        <v>556</v>
      </c>
      <c r="FB5" s="161">
        <f t="shared" si="0"/>
        <v>357075</v>
      </c>
    </row>
    <row r="6" spans="1:158" ht="17.25" hidden="1" thickBot="1" x14ac:dyDescent="0.3">
      <c r="A6" s="226">
        <v>45946</v>
      </c>
      <c r="B6" s="227" t="s">
        <v>215</v>
      </c>
      <c r="C6" s="227" t="s">
        <v>159</v>
      </c>
      <c r="D6" s="228">
        <v>300</v>
      </c>
      <c r="E6" s="231">
        <v>2567.6999999999998</v>
      </c>
      <c r="F6" s="231">
        <v>2544.6</v>
      </c>
      <c r="G6" s="228">
        <v>23.1</v>
      </c>
      <c r="H6" s="229">
        <v>9.1000000000000004E-3</v>
      </c>
      <c r="I6" s="231">
        <v>2557.6</v>
      </c>
      <c r="J6" s="231">
        <v>2532.8000000000002</v>
      </c>
      <c r="K6" s="228">
        <v>24.8</v>
      </c>
      <c r="L6" s="229">
        <v>9.7999999999999997E-3</v>
      </c>
      <c r="M6" s="231">
        <v>2567.6999999999998</v>
      </c>
      <c r="N6" s="231">
        <v>2544.6</v>
      </c>
      <c r="O6" s="228">
        <v>23.1</v>
      </c>
      <c r="P6" s="229">
        <v>9.1000000000000004E-3</v>
      </c>
      <c r="Q6" s="231">
        <v>2581.5</v>
      </c>
      <c r="R6" s="231">
        <v>2557</v>
      </c>
      <c r="S6" s="228">
        <v>24.5</v>
      </c>
      <c r="T6" s="229">
        <v>9.5999999999999992E-3</v>
      </c>
      <c r="U6" s="231">
        <v>2595.8000000000002</v>
      </c>
      <c r="V6" s="231">
        <v>2574.4</v>
      </c>
      <c r="W6" s="228">
        <v>21.4</v>
      </c>
      <c r="X6" s="229">
        <v>8.3000000000000001E-3</v>
      </c>
      <c r="Y6" s="228">
        <v>10.1</v>
      </c>
      <c r="Z6" s="228">
        <v>11.8</v>
      </c>
      <c r="AA6" s="228">
        <v>-1.7</v>
      </c>
      <c r="AB6" s="229">
        <v>3.8999999999999998E-3</v>
      </c>
      <c r="AC6" s="228">
        <v>10.1</v>
      </c>
      <c r="AD6" s="228">
        <v>11.8</v>
      </c>
      <c r="AE6" s="228">
        <v>-1.7</v>
      </c>
      <c r="AF6" s="229">
        <v>3.8999999999999998E-3</v>
      </c>
      <c r="AG6" s="228">
        <v>23.9</v>
      </c>
      <c r="AH6" s="228">
        <v>24.2</v>
      </c>
      <c r="AI6" s="228">
        <v>-0.3</v>
      </c>
      <c r="AJ6" s="229">
        <v>9.2999999999999992E-3</v>
      </c>
      <c r="AK6" s="228">
        <v>38.200000000000003</v>
      </c>
      <c r="AL6" s="228">
        <v>41.6</v>
      </c>
      <c r="AM6" s="228">
        <v>-3.4</v>
      </c>
      <c r="AN6" s="229">
        <v>1.49E-2</v>
      </c>
      <c r="AO6" s="231">
        <v>2573.25</v>
      </c>
      <c r="AP6" s="231">
        <v>2586.21</v>
      </c>
      <c r="AQ6" s="228">
        <v>0</v>
      </c>
      <c r="AR6" s="230">
        <v>2013600</v>
      </c>
      <c r="AS6" s="230">
        <v>1720800</v>
      </c>
      <c r="AT6" s="230">
        <v>292800</v>
      </c>
      <c r="AU6" s="229">
        <v>0.17019999999999999</v>
      </c>
      <c r="AV6" s="230">
        <v>1662000</v>
      </c>
      <c r="AW6" s="230">
        <v>1529100</v>
      </c>
      <c r="AX6" s="230">
        <v>132900</v>
      </c>
      <c r="AY6" s="229">
        <v>8.6900000000000005E-2</v>
      </c>
      <c r="AZ6" s="230">
        <v>340800</v>
      </c>
      <c r="BA6" s="230">
        <v>180900</v>
      </c>
      <c r="BB6" s="230">
        <v>159900</v>
      </c>
      <c r="BC6" s="229">
        <v>0.88390000000000002</v>
      </c>
      <c r="BD6" s="230">
        <v>10800</v>
      </c>
      <c r="BE6" s="230">
        <v>10800</v>
      </c>
      <c r="BF6" s="228">
        <v>0</v>
      </c>
      <c r="BG6" s="229">
        <v>0</v>
      </c>
      <c r="BH6" s="230">
        <v>10440000</v>
      </c>
      <c r="BI6" s="230">
        <v>9432900</v>
      </c>
      <c r="BJ6" s="230">
        <v>1007100</v>
      </c>
      <c r="BK6" s="229">
        <v>0.10680000000000001</v>
      </c>
      <c r="BL6" s="230">
        <v>3414300</v>
      </c>
      <c r="BM6" s="230">
        <v>3228000</v>
      </c>
      <c r="BN6" s="230">
        <v>186300</v>
      </c>
      <c r="BO6" s="229">
        <v>5.7700000000000001E-2</v>
      </c>
      <c r="BP6" s="230">
        <v>15867900</v>
      </c>
      <c r="BQ6" s="230">
        <v>14381700</v>
      </c>
      <c r="BR6" s="230">
        <v>1486200</v>
      </c>
      <c r="BS6" s="229">
        <v>0.1033</v>
      </c>
      <c r="BT6" s="230">
        <v>1102855</v>
      </c>
      <c r="BU6" s="230">
        <v>784639</v>
      </c>
      <c r="BV6" s="230">
        <v>318216</v>
      </c>
      <c r="BW6" s="229">
        <v>0.40560000000000002</v>
      </c>
      <c r="BX6" s="230">
        <v>14263500</v>
      </c>
      <c r="BY6" s="230">
        <v>14125500</v>
      </c>
      <c r="BZ6" s="230">
        <v>138000</v>
      </c>
      <c r="CA6" s="229">
        <v>9.7999999999999997E-3</v>
      </c>
      <c r="CB6" s="230">
        <v>13535400</v>
      </c>
      <c r="CC6" s="230">
        <v>13598100</v>
      </c>
      <c r="CD6" s="230">
        <v>-62700</v>
      </c>
      <c r="CE6" s="229">
        <v>-4.5999999999999999E-3</v>
      </c>
      <c r="CF6" s="230">
        <v>686400</v>
      </c>
      <c r="CG6" s="230">
        <v>489900</v>
      </c>
      <c r="CH6" s="230">
        <v>196500</v>
      </c>
      <c r="CI6" s="229">
        <v>0.40110000000000001</v>
      </c>
      <c r="CJ6" s="230">
        <v>41700</v>
      </c>
      <c r="CK6" s="230">
        <v>37500</v>
      </c>
      <c r="CL6" s="230">
        <v>4200</v>
      </c>
      <c r="CM6" s="229">
        <v>0.112</v>
      </c>
      <c r="CN6" s="230">
        <v>8590800</v>
      </c>
      <c r="CO6" s="230">
        <v>8584200</v>
      </c>
      <c r="CP6" s="230">
        <v>6600</v>
      </c>
      <c r="CQ6" s="229">
        <v>8.0000000000000004E-4</v>
      </c>
      <c r="CR6" s="230">
        <v>4750500</v>
      </c>
      <c r="CS6" s="230">
        <v>4774500</v>
      </c>
      <c r="CT6" s="230">
        <v>-24000</v>
      </c>
      <c r="CU6" s="229">
        <v>-5.0000000000000001E-3</v>
      </c>
      <c r="CV6" s="230">
        <v>27604800</v>
      </c>
      <c r="CW6" s="230">
        <v>27484200</v>
      </c>
      <c r="CX6" s="230">
        <v>120600</v>
      </c>
      <c r="CY6" s="229">
        <v>4.4000000000000003E-3</v>
      </c>
      <c r="CZ6" s="228">
        <v>30.02</v>
      </c>
      <c r="DA6" s="228">
        <v>31.45</v>
      </c>
      <c r="DB6" s="228">
        <v>-1.43</v>
      </c>
      <c r="DC6" s="228">
        <v>-1.43</v>
      </c>
      <c r="DD6" s="228">
        <v>49.3</v>
      </c>
      <c r="DE6" s="228">
        <v>49.41</v>
      </c>
      <c r="DF6" s="228">
        <v>-19.28</v>
      </c>
      <c r="DG6" s="228">
        <v>-0.11</v>
      </c>
      <c r="DH6" s="228">
        <v>30</v>
      </c>
      <c r="DI6" s="228">
        <v>31.68</v>
      </c>
      <c r="DJ6" s="228">
        <v>-1.68</v>
      </c>
      <c r="DK6" s="228">
        <v>-1.68</v>
      </c>
      <c r="DL6" s="228">
        <v>30.09</v>
      </c>
      <c r="DM6" s="228">
        <v>30.75</v>
      </c>
      <c r="DN6" s="228">
        <v>-0.66</v>
      </c>
      <c r="DO6" s="228">
        <v>-0.66</v>
      </c>
      <c r="DP6" s="228">
        <v>0.55000000000000004</v>
      </c>
      <c r="DQ6" s="228">
        <v>0.56000000000000005</v>
      </c>
      <c r="DR6" s="228">
        <v>-0.01</v>
      </c>
      <c r="DS6" s="229">
        <v>-1.7899999999999999E-2</v>
      </c>
      <c r="DT6" s="231">
        <v>2600</v>
      </c>
      <c r="DU6" s="231">
        <v>2500</v>
      </c>
      <c r="DV6" s="228">
        <v>0.33</v>
      </c>
      <c r="DW6" s="228">
        <v>0.34</v>
      </c>
      <c r="DX6" s="228">
        <v>-0.01</v>
      </c>
      <c r="DY6" s="229">
        <v>-2.9399999999999999E-2</v>
      </c>
      <c r="DZ6" s="229">
        <v>5.0999999999999997E-2</v>
      </c>
      <c r="EA6" s="230">
        <v>527400</v>
      </c>
      <c r="EB6" s="229">
        <v>5.4000000000000003E-3</v>
      </c>
      <c r="EC6" s="229">
        <v>5.0999999999999997E-2</v>
      </c>
      <c r="ED6" s="228">
        <v>12.96</v>
      </c>
      <c r="EE6" s="229">
        <v>5.0000000000000001E-3</v>
      </c>
      <c r="EF6" s="230">
        <v>457848</v>
      </c>
      <c r="EG6" s="230">
        <v>333820</v>
      </c>
      <c r="EH6" s="229">
        <v>0.3715</v>
      </c>
      <c r="EI6" s="229">
        <v>0.41510000000000002</v>
      </c>
      <c r="EJ6" s="231">
        <v>278570.21000000002</v>
      </c>
      <c r="EK6" s="231">
        <v>87728.26</v>
      </c>
      <c r="EL6" s="231">
        <v>51862.37</v>
      </c>
      <c r="EM6" s="231">
        <v>5084</v>
      </c>
      <c r="EN6" s="231">
        <v>418160.84</v>
      </c>
      <c r="EO6" s="231">
        <v>377182.38</v>
      </c>
      <c r="EP6" s="231">
        <v>40978.46</v>
      </c>
      <c r="EQ6" s="229">
        <v>0.1086</v>
      </c>
      <c r="ER6" s="231">
        <v>230045</v>
      </c>
      <c r="ES6" s="231">
        <v>118823</v>
      </c>
      <c r="ET6" s="231">
        <v>366350</v>
      </c>
      <c r="EU6" s="231">
        <v>30040977</v>
      </c>
      <c r="EV6" s="231">
        <v>715218</v>
      </c>
      <c r="EW6" s="231">
        <v>708588</v>
      </c>
      <c r="EX6" s="231">
        <v>6630</v>
      </c>
      <c r="EY6" s="229">
        <v>9.4000000000000004E-3</v>
      </c>
      <c r="EZ6" s="229">
        <v>0.91890000000000005</v>
      </c>
      <c r="FA6" s="227" t="s">
        <v>555</v>
      </c>
      <c r="FB6" s="161">
        <f t="shared" si="0"/>
        <v>728100</v>
      </c>
    </row>
    <row r="7" spans="1:158" ht="17.25" hidden="1" thickBot="1" x14ac:dyDescent="0.3">
      <c r="A7" s="226">
        <v>45946</v>
      </c>
      <c r="B7" s="227" t="s">
        <v>161</v>
      </c>
      <c r="C7" s="227" t="s">
        <v>606</v>
      </c>
      <c r="D7" s="228">
        <v>600</v>
      </c>
      <c r="E7" s="231">
        <v>1064.3</v>
      </c>
      <c r="F7" s="231">
        <v>1050.3</v>
      </c>
      <c r="G7" s="228">
        <v>14</v>
      </c>
      <c r="H7" s="229">
        <v>1.3299999999999999E-2</v>
      </c>
      <c r="I7" s="231">
        <v>1060.3</v>
      </c>
      <c r="J7" s="231">
        <v>1043.8</v>
      </c>
      <c r="K7" s="228">
        <v>16.5</v>
      </c>
      <c r="L7" s="229">
        <v>1.5800000000000002E-2</v>
      </c>
      <c r="M7" s="231">
        <v>1064.3</v>
      </c>
      <c r="N7" s="231">
        <v>1050.3</v>
      </c>
      <c r="O7" s="228">
        <v>14</v>
      </c>
      <c r="P7" s="229">
        <v>1.3299999999999999E-2</v>
      </c>
      <c r="Q7" s="231">
        <v>1070.0999999999999</v>
      </c>
      <c r="R7" s="231">
        <v>1055.0999999999999</v>
      </c>
      <c r="S7" s="228">
        <v>15</v>
      </c>
      <c r="T7" s="229">
        <v>1.4200000000000001E-2</v>
      </c>
      <c r="U7" s="231">
        <v>1076.4000000000001</v>
      </c>
      <c r="V7" s="231">
        <v>1065.7</v>
      </c>
      <c r="W7" s="228">
        <v>10.7</v>
      </c>
      <c r="X7" s="229">
        <v>0.01</v>
      </c>
      <c r="Y7" s="228">
        <v>4</v>
      </c>
      <c r="Z7" s="228">
        <v>6.5</v>
      </c>
      <c r="AA7" s="228">
        <v>-2.5</v>
      </c>
      <c r="AB7" s="229">
        <v>3.8E-3</v>
      </c>
      <c r="AC7" s="228">
        <v>4</v>
      </c>
      <c r="AD7" s="228">
        <v>6.5</v>
      </c>
      <c r="AE7" s="228">
        <v>-2.5</v>
      </c>
      <c r="AF7" s="229">
        <v>3.8E-3</v>
      </c>
      <c r="AG7" s="228">
        <v>9.8000000000000007</v>
      </c>
      <c r="AH7" s="228">
        <v>11.3</v>
      </c>
      <c r="AI7" s="228">
        <v>-1.5</v>
      </c>
      <c r="AJ7" s="229">
        <v>9.1999999999999998E-3</v>
      </c>
      <c r="AK7" s="228">
        <v>16.100000000000001</v>
      </c>
      <c r="AL7" s="228">
        <v>21.9</v>
      </c>
      <c r="AM7" s="228">
        <v>-5.8</v>
      </c>
      <c r="AN7" s="229">
        <v>1.52E-2</v>
      </c>
      <c r="AO7" s="231">
        <v>1064.46</v>
      </c>
      <c r="AP7" s="231">
        <v>1070.55</v>
      </c>
      <c r="AQ7" s="228">
        <v>0</v>
      </c>
      <c r="AR7" s="230">
        <v>3109800</v>
      </c>
      <c r="AS7" s="230">
        <v>2209800</v>
      </c>
      <c r="AT7" s="230">
        <v>900000</v>
      </c>
      <c r="AU7" s="229">
        <v>0.4073</v>
      </c>
      <c r="AV7" s="230">
        <v>2481000</v>
      </c>
      <c r="AW7" s="230">
        <v>1878600</v>
      </c>
      <c r="AX7" s="230">
        <v>602400</v>
      </c>
      <c r="AY7" s="229">
        <v>0.32069999999999999</v>
      </c>
      <c r="AZ7" s="230">
        <v>586800</v>
      </c>
      <c r="BA7" s="230">
        <v>300000</v>
      </c>
      <c r="BB7" s="230">
        <v>286800</v>
      </c>
      <c r="BC7" s="229">
        <v>0.95599999999999996</v>
      </c>
      <c r="BD7" s="230">
        <v>42000</v>
      </c>
      <c r="BE7" s="230">
        <v>31200</v>
      </c>
      <c r="BF7" s="230">
        <v>10800</v>
      </c>
      <c r="BG7" s="229">
        <v>0.34620000000000001</v>
      </c>
      <c r="BH7" s="230">
        <v>13364400</v>
      </c>
      <c r="BI7" s="230">
        <v>8794200</v>
      </c>
      <c r="BJ7" s="230">
        <v>4570200</v>
      </c>
      <c r="BK7" s="229">
        <v>0.51970000000000005</v>
      </c>
      <c r="BL7" s="230">
        <v>3700800</v>
      </c>
      <c r="BM7" s="230">
        <v>2812200</v>
      </c>
      <c r="BN7" s="230">
        <v>888600</v>
      </c>
      <c r="BO7" s="229">
        <v>0.316</v>
      </c>
      <c r="BP7" s="230">
        <v>20175000</v>
      </c>
      <c r="BQ7" s="230">
        <v>13816200</v>
      </c>
      <c r="BR7" s="230">
        <v>6358800</v>
      </c>
      <c r="BS7" s="229">
        <v>0.4602</v>
      </c>
      <c r="BT7" s="230">
        <v>1951162</v>
      </c>
      <c r="BU7" s="230">
        <v>1301666</v>
      </c>
      <c r="BV7" s="230">
        <v>649496</v>
      </c>
      <c r="BW7" s="229">
        <v>0.499</v>
      </c>
      <c r="BX7" s="230">
        <v>20565600</v>
      </c>
      <c r="BY7" s="230">
        <v>20323200</v>
      </c>
      <c r="BZ7" s="230">
        <v>242400</v>
      </c>
      <c r="CA7" s="229">
        <v>1.1900000000000001E-2</v>
      </c>
      <c r="CB7" s="230">
        <v>19457400</v>
      </c>
      <c r="CC7" s="230">
        <v>19388400</v>
      </c>
      <c r="CD7" s="230">
        <v>69000</v>
      </c>
      <c r="CE7" s="229">
        <v>3.5999999999999999E-3</v>
      </c>
      <c r="CF7" s="230">
        <v>1004400</v>
      </c>
      <c r="CG7" s="230">
        <v>846000</v>
      </c>
      <c r="CH7" s="230">
        <v>158400</v>
      </c>
      <c r="CI7" s="229">
        <v>0.18720000000000001</v>
      </c>
      <c r="CJ7" s="230">
        <v>103800</v>
      </c>
      <c r="CK7" s="230">
        <v>88800</v>
      </c>
      <c r="CL7" s="230">
        <v>15000</v>
      </c>
      <c r="CM7" s="229">
        <v>0.16889999999999999</v>
      </c>
      <c r="CN7" s="230">
        <v>11103600</v>
      </c>
      <c r="CO7" s="230">
        <v>11248200</v>
      </c>
      <c r="CP7" s="230">
        <v>-144600</v>
      </c>
      <c r="CQ7" s="229">
        <v>-1.29E-2</v>
      </c>
      <c r="CR7" s="230">
        <v>5505000</v>
      </c>
      <c r="CS7" s="230">
        <v>5266800</v>
      </c>
      <c r="CT7" s="230">
        <v>238200</v>
      </c>
      <c r="CU7" s="229">
        <v>4.5199999999999997E-2</v>
      </c>
      <c r="CV7" s="230">
        <v>37174200</v>
      </c>
      <c r="CW7" s="230">
        <v>36838200</v>
      </c>
      <c r="CX7" s="230">
        <v>336000</v>
      </c>
      <c r="CY7" s="229">
        <v>9.1000000000000004E-3</v>
      </c>
      <c r="CZ7" s="228">
        <v>42.05</v>
      </c>
      <c r="DA7" s="228">
        <v>42.93</v>
      </c>
      <c r="DB7" s="228">
        <v>-0.88</v>
      </c>
      <c r="DC7" s="228">
        <v>-0.88</v>
      </c>
      <c r="DD7" s="228">
        <v>58.42</v>
      </c>
      <c r="DE7" s="228">
        <v>58.54</v>
      </c>
      <c r="DF7" s="228">
        <v>-16.37</v>
      </c>
      <c r="DG7" s="228">
        <v>-0.12</v>
      </c>
      <c r="DH7" s="228">
        <v>42.38</v>
      </c>
      <c r="DI7" s="228">
        <v>43.54</v>
      </c>
      <c r="DJ7" s="228">
        <v>-1.1599999999999999</v>
      </c>
      <c r="DK7" s="228">
        <v>-1.1599999999999999</v>
      </c>
      <c r="DL7" s="228">
        <v>40.880000000000003</v>
      </c>
      <c r="DM7" s="228">
        <v>41.03</v>
      </c>
      <c r="DN7" s="228">
        <v>-0.15</v>
      </c>
      <c r="DO7" s="228">
        <v>-0.15</v>
      </c>
      <c r="DP7" s="228">
        <v>0.5</v>
      </c>
      <c r="DQ7" s="228">
        <v>0.47</v>
      </c>
      <c r="DR7" s="228">
        <v>0.03</v>
      </c>
      <c r="DS7" s="229">
        <v>6.3799999999999996E-2</v>
      </c>
      <c r="DT7" s="231">
        <v>1100</v>
      </c>
      <c r="DU7" s="231">
        <v>1000</v>
      </c>
      <c r="DV7" s="228">
        <v>0.28000000000000003</v>
      </c>
      <c r="DW7" s="228">
        <v>0.32</v>
      </c>
      <c r="DX7" s="228">
        <v>-0.04</v>
      </c>
      <c r="DY7" s="229">
        <v>-0.125</v>
      </c>
      <c r="DZ7" s="229">
        <v>5.3900000000000003E-2</v>
      </c>
      <c r="EA7" s="230">
        <v>934800</v>
      </c>
      <c r="EB7" s="229">
        <v>5.4000000000000003E-3</v>
      </c>
      <c r="EC7" s="229">
        <v>5.3900000000000003E-2</v>
      </c>
      <c r="ED7" s="228">
        <v>6.09</v>
      </c>
      <c r="EE7" s="229">
        <v>5.7000000000000002E-3</v>
      </c>
      <c r="EF7" s="230">
        <v>546015</v>
      </c>
      <c r="EG7" s="230">
        <v>371280</v>
      </c>
      <c r="EH7" s="229">
        <v>0.47060000000000002</v>
      </c>
      <c r="EI7" s="229">
        <v>0.27979999999999999</v>
      </c>
      <c r="EJ7" s="231">
        <v>149995.46</v>
      </c>
      <c r="EK7" s="231">
        <v>38772.43</v>
      </c>
      <c r="EL7" s="231">
        <v>33143.339999999997</v>
      </c>
      <c r="EM7" s="231">
        <v>3815</v>
      </c>
      <c r="EN7" s="231">
        <v>221911.23</v>
      </c>
      <c r="EO7" s="231">
        <v>150968.12</v>
      </c>
      <c r="EP7" s="231">
        <v>70943.11</v>
      </c>
      <c r="EQ7" s="229">
        <v>0.46989999999999998</v>
      </c>
      <c r="ER7" s="231">
        <v>126022</v>
      </c>
      <c r="ES7" s="231">
        <v>56759</v>
      </c>
      <c r="ET7" s="231">
        <v>218950</v>
      </c>
      <c r="EU7" s="231">
        <v>61877951</v>
      </c>
      <c r="EV7" s="231">
        <v>401731</v>
      </c>
      <c r="EW7" s="231">
        <v>395145</v>
      </c>
      <c r="EX7" s="231">
        <v>6586</v>
      </c>
      <c r="EY7" s="229">
        <v>1.67E-2</v>
      </c>
      <c r="EZ7" s="229">
        <v>0.6008</v>
      </c>
      <c r="FA7" s="227" t="s">
        <v>555</v>
      </c>
      <c r="FB7" s="161">
        <f t="shared" si="0"/>
        <v>1108200</v>
      </c>
    </row>
    <row r="8" spans="1:158" ht="17.25" hidden="1" thickBot="1" x14ac:dyDescent="0.3">
      <c r="A8" s="226">
        <v>45946</v>
      </c>
      <c r="B8" s="227" t="s">
        <v>215</v>
      </c>
      <c r="C8" s="227" t="s">
        <v>160</v>
      </c>
      <c r="D8" s="228">
        <v>475</v>
      </c>
      <c r="E8" s="231">
        <v>1481.7</v>
      </c>
      <c r="F8" s="231">
        <v>1457.3</v>
      </c>
      <c r="G8" s="228">
        <v>24.4</v>
      </c>
      <c r="H8" s="229">
        <v>1.67E-2</v>
      </c>
      <c r="I8" s="231">
        <v>1479.5</v>
      </c>
      <c r="J8" s="231">
        <v>1450.7</v>
      </c>
      <c r="K8" s="228">
        <v>28.8</v>
      </c>
      <c r="L8" s="229">
        <v>1.9900000000000001E-2</v>
      </c>
      <c r="M8" s="231">
        <v>1481.7</v>
      </c>
      <c r="N8" s="231">
        <v>1457.3</v>
      </c>
      <c r="O8" s="228">
        <v>24.4</v>
      </c>
      <c r="P8" s="229">
        <v>1.67E-2</v>
      </c>
      <c r="Q8" s="231">
        <v>1490</v>
      </c>
      <c r="R8" s="231">
        <v>1465.1</v>
      </c>
      <c r="S8" s="228">
        <v>24.9</v>
      </c>
      <c r="T8" s="229">
        <v>1.7000000000000001E-2</v>
      </c>
      <c r="U8" s="231">
        <v>1498.8</v>
      </c>
      <c r="V8" s="231">
        <v>1472.8</v>
      </c>
      <c r="W8" s="228">
        <v>26</v>
      </c>
      <c r="X8" s="229">
        <v>1.77E-2</v>
      </c>
      <c r="Y8" s="228">
        <v>2.2000000000000002</v>
      </c>
      <c r="Z8" s="228">
        <v>6.6</v>
      </c>
      <c r="AA8" s="228">
        <v>-4.4000000000000004</v>
      </c>
      <c r="AB8" s="229">
        <v>1.5E-3</v>
      </c>
      <c r="AC8" s="228">
        <v>2.2000000000000002</v>
      </c>
      <c r="AD8" s="228">
        <v>6.6</v>
      </c>
      <c r="AE8" s="228">
        <v>-4.4000000000000004</v>
      </c>
      <c r="AF8" s="229">
        <v>1.5E-3</v>
      </c>
      <c r="AG8" s="228">
        <v>10.5</v>
      </c>
      <c r="AH8" s="228">
        <v>14.4</v>
      </c>
      <c r="AI8" s="228">
        <v>-3.9</v>
      </c>
      <c r="AJ8" s="229">
        <v>7.1000000000000004E-3</v>
      </c>
      <c r="AK8" s="228">
        <v>19.3</v>
      </c>
      <c r="AL8" s="228">
        <v>22.1</v>
      </c>
      <c r="AM8" s="228">
        <v>-2.8</v>
      </c>
      <c r="AN8" s="229">
        <v>1.2999999999999999E-2</v>
      </c>
      <c r="AO8" s="231">
        <v>1481.07</v>
      </c>
      <c r="AP8" s="231">
        <v>1489.91</v>
      </c>
      <c r="AQ8" s="228">
        <v>0</v>
      </c>
      <c r="AR8" s="230">
        <v>5151375</v>
      </c>
      <c r="AS8" s="230">
        <v>3551575</v>
      </c>
      <c r="AT8" s="230">
        <v>1599800</v>
      </c>
      <c r="AU8" s="229">
        <v>0.45040000000000002</v>
      </c>
      <c r="AV8" s="230">
        <v>4472600</v>
      </c>
      <c r="AW8" s="230">
        <v>3226200</v>
      </c>
      <c r="AX8" s="230">
        <v>1246400</v>
      </c>
      <c r="AY8" s="229">
        <v>0.38629999999999998</v>
      </c>
      <c r="AZ8" s="230">
        <v>636975</v>
      </c>
      <c r="BA8" s="230">
        <v>300675</v>
      </c>
      <c r="BB8" s="230">
        <v>336300</v>
      </c>
      <c r="BC8" s="229">
        <v>1.1185</v>
      </c>
      <c r="BD8" s="230">
        <v>41800</v>
      </c>
      <c r="BE8" s="230">
        <v>24700</v>
      </c>
      <c r="BF8" s="230">
        <v>17100</v>
      </c>
      <c r="BG8" s="229">
        <v>0.69230000000000003</v>
      </c>
      <c r="BH8" s="230">
        <v>27978925</v>
      </c>
      <c r="BI8" s="230">
        <v>15565275</v>
      </c>
      <c r="BJ8" s="230">
        <v>12413650</v>
      </c>
      <c r="BK8" s="229">
        <v>0.79749999999999999</v>
      </c>
      <c r="BL8" s="230">
        <v>10870375</v>
      </c>
      <c r="BM8" s="230">
        <v>6175000</v>
      </c>
      <c r="BN8" s="230">
        <v>4695375</v>
      </c>
      <c r="BO8" s="229">
        <v>0.76039999999999996</v>
      </c>
      <c r="BP8" s="230">
        <v>44000675</v>
      </c>
      <c r="BQ8" s="230">
        <v>25291850</v>
      </c>
      <c r="BR8" s="230">
        <v>18708825</v>
      </c>
      <c r="BS8" s="229">
        <v>0.73970000000000002</v>
      </c>
      <c r="BT8" s="230">
        <v>7823340</v>
      </c>
      <c r="BU8" s="230">
        <v>2792924</v>
      </c>
      <c r="BV8" s="230">
        <v>5030416</v>
      </c>
      <c r="BW8" s="229">
        <v>1.8010999999999999</v>
      </c>
      <c r="BX8" s="230">
        <v>23011375</v>
      </c>
      <c r="BY8" s="230">
        <v>22561550</v>
      </c>
      <c r="BZ8" s="230">
        <v>449825</v>
      </c>
      <c r="CA8" s="229">
        <v>1.9900000000000001E-2</v>
      </c>
      <c r="CB8" s="230">
        <v>21939775</v>
      </c>
      <c r="CC8" s="230">
        <v>21674250</v>
      </c>
      <c r="CD8" s="230">
        <v>265525</v>
      </c>
      <c r="CE8" s="229">
        <v>1.23E-2</v>
      </c>
      <c r="CF8" s="230">
        <v>975175</v>
      </c>
      <c r="CG8" s="230">
        <v>801325</v>
      </c>
      <c r="CH8" s="230">
        <v>173850</v>
      </c>
      <c r="CI8" s="229">
        <v>0.217</v>
      </c>
      <c r="CJ8" s="230">
        <v>96425</v>
      </c>
      <c r="CK8" s="230">
        <v>85975</v>
      </c>
      <c r="CL8" s="230">
        <v>10450</v>
      </c>
      <c r="CM8" s="229">
        <v>0.1215</v>
      </c>
      <c r="CN8" s="230">
        <v>7066575</v>
      </c>
      <c r="CO8" s="230">
        <v>7299325</v>
      </c>
      <c r="CP8" s="230">
        <v>-232750</v>
      </c>
      <c r="CQ8" s="229">
        <v>-3.1899999999999998E-2</v>
      </c>
      <c r="CR8" s="230">
        <v>5174175</v>
      </c>
      <c r="CS8" s="230">
        <v>4980375</v>
      </c>
      <c r="CT8" s="230">
        <v>193800</v>
      </c>
      <c r="CU8" s="229">
        <v>3.8899999999999997E-2</v>
      </c>
      <c r="CV8" s="230">
        <v>35252125</v>
      </c>
      <c r="CW8" s="230">
        <v>34841250</v>
      </c>
      <c r="CX8" s="230">
        <v>410875</v>
      </c>
      <c r="CY8" s="229">
        <v>1.18E-2</v>
      </c>
      <c r="CZ8" s="228">
        <v>23.08</v>
      </c>
      <c r="DA8" s="228">
        <v>24.09</v>
      </c>
      <c r="DB8" s="228">
        <v>-1.01</v>
      </c>
      <c r="DC8" s="228">
        <v>-1.01</v>
      </c>
      <c r="DD8" s="228">
        <v>39.06</v>
      </c>
      <c r="DE8" s="228">
        <v>39.07</v>
      </c>
      <c r="DF8" s="228">
        <v>-15.98</v>
      </c>
      <c r="DG8" s="228">
        <v>-0.01</v>
      </c>
      <c r="DH8" s="228">
        <v>22.83</v>
      </c>
      <c r="DI8" s="228">
        <v>23.89</v>
      </c>
      <c r="DJ8" s="228">
        <v>-1.06</v>
      </c>
      <c r="DK8" s="228">
        <v>-1.06</v>
      </c>
      <c r="DL8" s="228">
        <v>23.72</v>
      </c>
      <c r="DM8" s="228">
        <v>24.61</v>
      </c>
      <c r="DN8" s="228">
        <v>-0.89</v>
      </c>
      <c r="DO8" s="228">
        <v>-0.89</v>
      </c>
      <c r="DP8" s="228">
        <v>0.73</v>
      </c>
      <c r="DQ8" s="228">
        <v>0.68</v>
      </c>
      <c r="DR8" s="228">
        <v>0.05</v>
      </c>
      <c r="DS8" s="229">
        <v>7.3499999999999996E-2</v>
      </c>
      <c r="DT8" s="231">
        <v>1500</v>
      </c>
      <c r="DU8" s="231">
        <v>1400</v>
      </c>
      <c r="DV8" s="228">
        <v>0.39</v>
      </c>
      <c r="DW8" s="228">
        <v>0.4</v>
      </c>
      <c r="DX8" s="228">
        <v>-0.01</v>
      </c>
      <c r="DY8" s="229">
        <v>-2.5000000000000001E-2</v>
      </c>
      <c r="DZ8" s="229">
        <v>4.6600000000000003E-2</v>
      </c>
      <c r="EA8" s="230">
        <v>887300</v>
      </c>
      <c r="EB8" s="229">
        <v>5.5999999999999999E-3</v>
      </c>
      <c r="EC8" s="229">
        <v>4.6600000000000003E-2</v>
      </c>
      <c r="ED8" s="228">
        <v>8.84</v>
      </c>
      <c r="EE8" s="229">
        <v>6.0000000000000001E-3</v>
      </c>
      <c r="EF8" s="230">
        <v>5263819</v>
      </c>
      <c r="EG8" s="230">
        <v>1788639</v>
      </c>
      <c r="EH8" s="229">
        <v>1.9429000000000001</v>
      </c>
      <c r="EI8" s="229">
        <v>0.67279999999999995</v>
      </c>
      <c r="EJ8" s="231">
        <v>424711.91</v>
      </c>
      <c r="EK8" s="231">
        <v>157810.42000000001</v>
      </c>
      <c r="EL8" s="231">
        <v>76358.61</v>
      </c>
      <c r="EM8" s="231">
        <v>5489</v>
      </c>
      <c r="EN8" s="231">
        <v>658880.93999999994</v>
      </c>
      <c r="EO8" s="231">
        <v>372044.87</v>
      </c>
      <c r="EP8" s="231">
        <v>286836.07</v>
      </c>
      <c r="EQ8" s="229">
        <v>0.77100000000000002</v>
      </c>
      <c r="ER8" s="231">
        <v>105150</v>
      </c>
      <c r="ES8" s="231">
        <v>72542</v>
      </c>
      <c r="ET8" s="231">
        <v>341057</v>
      </c>
      <c r="EU8" s="231">
        <v>73799006</v>
      </c>
      <c r="EV8" s="231">
        <v>518749</v>
      </c>
      <c r="EW8" s="231">
        <v>505708</v>
      </c>
      <c r="EX8" s="231">
        <v>13041</v>
      </c>
      <c r="EY8" s="229">
        <v>2.58E-2</v>
      </c>
      <c r="EZ8" s="229">
        <v>0.47770000000000001</v>
      </c>
      <c r="FA8" s="227" t="s">
        <v>555</v>
      </c>
      <c r="FB8" s="161">
        <f t="shared" si="0"/>
        <v>1071600</v>
      </c>
    </row>
    <row r="9" spans="1:158" ht="17.25" hidden="1" thickBot="1" x14ac:dyDescent="0.3">
      <c r="A9" s="226">
        <v>45946</v>
      </c>
      <c r="B9" s="227" t="s">
        <v>170</v>
      </c>
      <c r="C9" s="227" t="s">
        <v>497</v>
      </c>
      <c r="D9" s="228">
        <v>125</v>
      </c>
      <c r="E9" s="231">
        <v>5545</v>
      </c>
      <c r="F9" s="231">
        <v>5575</v>
      </c>
      <c r="G9" s="228">
        <v>-30</v>
      </c>
      <c r="H9" s="229">
        <v>-5.4000000000000003E-3</v>
      </c>
      <c r="I9" s="231">
        <v>5524</v>
      </c>
      <c r="J9" s="231">
        <v>5566.5</v>
      </c>
      <c r="K9" s="228">
        <v>-42.5</v>
      </c>
      <c r="L9" s="229">
        <v>-7.6E-3</v>
      </c>
      <c r="M9" s="231">
        <v>5545</v>
      </c>
      <c r="N9" s="231">
        <v>5575</v>
      </c>
      <c r="O9" s="228">
        <v>-30</v>
      </c>
      <c r="P9" s="229">
        <v>-5.4000000000000003E-3</v>
      </c>
      <c r="Q9" s="231">
        <v>5573.5</v>
      </c>
      <c r="R9" s="231">
        <v>5604.5</v>
      </c>
      <c r="S9" s="228">
        <v>-31</v>
      </c>
      <c r="T9" s="229">
        <v>-5.4999999999999997E-3</v>
      </c>
      <c r="U9" s="231">
        <v>5614.5</v>
      </c>
      <c r="V9" s="231">
        <v>5614.5</v>
      </c>
      <c r="W9" s="228">
        <v>0</v>
      </c>
      <c r="X9" s="229">
        <v>0</v>
      </c>
      <c r="Y9" s="228">
        <v>21</v>
      </c>
      <c r="Z9" s="228">
        <v>8.5</v>
      </c>
      <c r="AA9" s="228">
        <v>12.5</v>
      </c>
      <c r="AB9" s="229">
        <v>3.8E-3</v>
      </c>
      <c r="AC9" s="228">
        <v>21</v>
      </c>
      <c r="AD9" s="228">
        <v>8.5</v>
      </c>
      <c r="AE9" s="228">
        <v>12.5</v>
      </c>
      <c r="AF9" s="229">
        <v>3.8E-3</v>
      </c>
      <c r="AG9" s="228">
        <v>49.5</v>
      </c>
      <c r="AH9" s="228">
        <v>38</v>
      </c>
      <c r="AI9" s="228">
        <v>11.5</v>
      </c>
      <c r="AJ9" s="229">
        <v>8.9999999999999993E-3</v>
      </c>
      <c r="AK9" s="228">
        <v>90.5</v>
      </c>
      <c r="AL9" s="228">
        <v>48</v>
      </c>
      <c r="AM9" s="228">
        <v>42.5</v>
      </c>
      <c r="AN9" s="229">
        <v>1.6400000000000001E-2</v>
      </c>
      <c r="AO9" s="231">
        <v>5558.97</v>
      </c>
      <c r="AP9" s="231">
        <v>5588.77</v>
      </c>
      <c r="AQ9" s="228">
        <v>0</v>
      </c>
      <c r="AR9" s="230">
        <v>104875</v>
      </c>
      <c r="AS9" s="230">
        <v>186875</v>
      </c>
      <c r="AT9" s="230">
        <v>-82000</v>
      </c>
      <c r="AU9" s="229">
        <v>-0.43880000000000002</v>
      </c>
      <c r="AV9" s="230">
        <v>90000</v>
      </c>
      <c r="AW9" s="230">
        <v>177875</v>
      </c>
      <c r="AX9" s="230">
        <v>-87875</v>
      </c>
      <c r="AY9" s="229">
        <v>-0.49399999999999999</v>
      </c>
      <c r="AZ9" s="230">
        <v>14875</v>
      </c>
      <c r="BA9" s="230">
        <v>8750</v>
      </c>
      <c r="BB9" s="230">
        <v>6125</v>
      </c>
      <c r="BC9" s="229">
        <v>0.7</v>
      </c>
      <c r="BD9" s="228">
        <v>0</v>
      </c>
      <c r="BE9" s="228">
        <v>250</v>
      </c>
      <c r="BF9" s="228">
        <v>-250</v>
      </c>
      <c r="BG9" s="229">
        <v>-1</v>
      </c>
      <c r="BH9" s="230">
        <v>233000</v>
      </c>
      <c r="BI9" s="230">
        <v>563000</v>
      </c>
      <c r="BJ9" s="230">
        <v>-330000</v>
      </c>
      <c r="BK9" s="229">
        <v>-0.58609999999999995</v>
      </c>
      <c r="BL9" s="230">
        <v>123000</v>
      </c>
      <c r="BM9" s="230">
        <v>151375</v>
      </c>
      <c r="BN9" s="230">
        <v>-28375</v>
      </c>
      <c r="BO9" s="229">
        <v>-0.18740000000000001</v>
      </c>
      <c r="BP9" s="230">
        <v>460875</v>
      </c>
      <c r="BQ9" s="230">
        <v>901250</v>
      </c>
      <c r="BR9" s="230">
        <v>-440375</v>
      </c>
      <c r="BS9" s="229">
        <v>-0.48859999999999998</v>
      </c>
      <c r="BT9" s="230">
        <v>169709</v>
      </c>
      <c r="BU9" s="230">
        <v>173943</v>
      </c>
      <c r="BV9" s="230">
        <v>-4234</v>
      </c>
      <c r="BW9" s="229">
        <v>-2.4299999999999999E-2</v>
      </c>
      <c r="BX9" s="230">
        <v>1581750</v>
      </c>
      <c r="BY9" s="230">
        <v>1571250</v>
      </c>
      <c r="BZ9" s="230">
        <v>10500</v>
      </c>
      <c r="CA9" s="229">
        <v>6.7000000000000002E-3</v>
      </c>
      <c r="CB9" s="230">
        <v>1564125</v>
      </c>
      <c r="CC9" s="230">
        <v>1555000</v>
      </c>
      <c r="CD9" s="230">
        <v>9125</v>
      </c>
      <c r="CE9" s="229">
        <v>5.8999999999999999E-3</v>
      </c>
      <c r="CF9" s="230">
        <v>16375</v>
      </c>
      <c r="CG9" s="230">
        <v>15000</v>
      </c>
      <c r="CH9" s="230">
        <v>1375</v>
      </c>
      <c r="CI9" s="229">
        <v>9.1700000000000004E-2</v>
      </c>
      <c r="CJ9" s="230">
        <v>1250</v>
      </c>
      <c r="CK9" s="230">
        <v>1250</v>
      </c>
      <c r="CL9" s="228">
        <v>0</v>
      </c>
      <c r="CM9" s="229">
        <v>0</v>
      </c>
      <c r="CN9" s="230">
        <v>266000</v>
      </c>
      <c r="CO9" s="230">
        <v>262125</v>
      </c>
      <c r="CP9" s="230">
        <v>3875</v>
      </c>
      <c r="CQ9" s="229">
        <v>1.4800000000000001E-2</v>
      </c>
      <c r="CR9" s="230">
        <v>170500</v>
      </c>
      <c r="CS9" s="230">
        <v>166875</v>
      </c>
      <c r="CT9" s="230">
        <v>3625</v>
      </c>
      <c r="CU9" s="229">
        <v>2.1700000000000001E-2</v>
      </c>
      <c r="CV9" s="230">
        <v>2018250</v>
      </c>
      <c r="CW9" s="230">
        <v>2000250</v>
      </c>
      <c r="CX9" s="230">
        <v>18000</v>
      </c>
      <c r="CY9" s="229">
        <v>8.9999999999999993E-3</v>
      </c>
      <c r="CZ9" s="228">
        <v>22.48</v>
      </c>
      <c r="DA9" s="228">
        <v>22.94</v>
      </c>
      <c r="DB9" s="228">
        <v>-0.46</v>
      </c>
      <c r="DC9" s="228">
        <v>-0.46</v>
      </c>
      <c r="DD9" s="228">
        <v>27.86</v>
      </c>
      <c r="DE9" s="228">
        <v>27.92</v>
      </c>
      <c r="DF9" s="228">
        <v>-5.38</v>
      </c>
      <c r="DG9" s="228">
        <v>-0.06</v>
      </c>
      <c r="DH9" s="228">
        <v>21.34</v>
      </c>
      <c r="DI9" s="228">
        <v>22.83</v>
      </c>
      <c r="DJ9" s="228">
        <v>-1.49</v>
      </c>
      <c r="DK9" s="228">
        <v>-1.49</v>
      </c>
      <c r="DL9" s="228">
        <v>24.65</v>
      </c>
      <c r="DM9" s="228">
        <v>23.34</v>
      </c>
      <c r="DN9" s="228">
        <v>1.31</v>
      </c>
      <c r="DO9" s="228">
        <v>1.31</v>
      </c>
      <c r="DP9" s="228">
        <v>0.64</v>
      </c>
      <c r="DQ9" s="228">
        <v>0.64</v>
      </c>
      <c r="DR9" s="228">
        <v>0</v>
      </c>
      <c r="DS9" s="229">
        <v>0</v>
      </c>
      <c r="DT9" s="231">
        <v>5600</v>
      </c>
      <c r="DU9" s="231">
        <v>5500</v>
      </c>
      <c r="DV9" s="228">
        <v>0.53</v>
      </c>
      <c r="DW9" s="228">
        <v>0.27</v>
      </c>
      <c r="DX9" s="228">
        <v>0.26</v>
      </c>
      <c r="DY9" s="229">
        <v>0.96299999999999997</v>
      </c>
      <c r="DZ9" s="229">
        <v>1.11E-2</v>
      </c>
      <c r="EA9" s="230">
        <v>16250</v>
      </c>
      <c r="EB9" s="229">
        <v>5.1000000000000004E-3</v>
      </c>
      <c r="EC9" s="229">
        <v>1.11E-2</v>
      </c>
      <c r="ED9" s="228">
        <v>29.8</v>
      </c>
      <c r="EE9" s="229">
        <v>5.4000000000000003E-3</v>
      </c>
      <c r="EF9" s="230">
        <v>143690</v>
      </c>
      <c r="EG9" s="230">
        <v>137374</v>
      </c>
      <c r="EH9" s="229">
        <v>4.5999999999999999E-2</v>
      </c>
      <c r="EI9" s="229">
        <v>0.84670000000000001</v>
      </c>
      <c r="EJ9" s="231">
        <v>13394.72</v>
      </c>
      <c r="EK9" s="231">
        <v>6583.38</v>
      </c>
      <c r="EL9" s="231">
        <v>5834.4</v>
      </c>
      <c r="EM9" s="231">
        <v>1201</v>
      </c>
      <c r="EN9" s="231">
        <v>25812.5</v>
      </c>
      <c r="EO9" s="231">
        <v>50997.42</v>
      </c>
      <c r="EP9" s="231">
        <v>-25184.92</v>
      </c>
      <c r="EQ9" s="229">
        <v>-0.49380000000000002</v>
      </c>
      <c r="ER9" s="231">
        <v>15186</v>
      </c>
      <c r="ES9" s="231">
        <v>9095</v>
      </c>
      <c r="ET9" s="231">
        <v>87714</v>
      </c>
      <c r="EU9" s="231">
        <v>6130387</v>
      </c>
      <c r="EV9" s="231">
        <v>111995</v>
      </c>
      <c r="EW9" s="231">
        <v>111526</v>
      </c>
      <c r="EX9" s="228">
        <v>469</v>
      </c>
      <c r="EY9" s="229">
        <v>4.1999999999999997E-3</v>
      </c>
      <c r="EZ9" s="229">
        <v>0.32919999999999999</v>
      </c>
      <c r="FA9" s="227" t="s">
        <v>567</v>
      </c>
      <c r="FB9" s="161">
        <f t="shared" si="0"/>
        <v>17625</v>
      </c>
    </row>
    <row r="10" spans="1:158" ht="17.25" hidden="1" thickBot="1" x14ac:dyDescent="0.3">
      <c r="A10" s="226">
        <v>45946</v>
      </c>
      <c r="B10" s="227" t="s">
        <v>184</v>
      </c>
      <c r="C10" s="227" t="s">
        <v>682</v>
      </c>
      <c r="D10" s="228">
        <v>100</v>
      </c>
      <c r="E10" s="231">
        <v>8128</v>
      </c>
      <c r="F10" s="231">
        <v>8119.5</v>
      </c>
      <c r="G10" s="228">
        <v>8.5</v>
      </c>
      <c r="H10" s="229">
        <v>1E-3</v>
      </c>
      <c r="I10" s="231">
        <v>8239</v>
      </c>
      <c r="J10" s="231">
        <v>8148.5</v>
      </c>
      <c r="K10" s="228">
        <v>90.5</v>
      </c>
      <c r="L10" s="229">
        <v>1.11E-2</v>
      </c>
      <c r="M10" s="231">
        <v>8128</v>
      </c>
      <c r="N10" s="231">
        <v>8119.5</v>
      </c>
      <c r="O10" s="228">
        <v>8.5</v>
      </c>
      <c r="P10" s="229">
        <v>1E-3</v>
      </c>
      <c r="Q10" s="231">
        <v>7921.5</v>
      </c>
      <c r="R10" s="231">
        <v>7962.5</v>
      </c>
      <c r="S10" s="228">
        <v>-41</v>
      </c>
      <c r="T10" s="229">
        <v>-5.1000000000000004E-3</v>
      </c>
      <c r="U10" s="231">
        <v>7787</v>
      </c>
      <c r="V10" s="231">
        <v>7839</v>
      </c>
      <c r="W10" s="228">
        <v>-52</v>
      </c>
      <c r="X10" s="229">
        <v>-6.6E-3</v>
      </c>
      <c r="Y10" s="228">
        <v>-111</v>
      </c>
      <c r="Z10" s="228">
        <v>-29</v>
      </c>
      <c r="AA10" s="228">
        <v>-82</v>
      </c>
      <c r="AB10" s="229">
        <v>-1.35E-2</v>
      </c>
      <c r="AC10" s="228">
        <v>-111</v>
      </c>
      <c r="AD10" s="228">
        <v>-29</v>
      </c>
      <c r="AE10" s="228">
        <v>-82</v>
      </c>
      <c r="AF10" s="229">
        <v>-1.35E-2</v>
      </c>
      <c r="AG10" s="228">
        <v>-317.5</v>
      </c>
      <c r="AH10" s="228">
        <v>-186</v>
      </c>
      <c r="AI10" s="228">
        <v>-131.5</v>
      </c>
      <c r="AJ10" s="229">
        <v>-3.85E-2</v>
      </c>
      <c r="AK10" s="228">
        <v>-452</v>
      </c>
      <c r="AL10" s="228">
        <v>-309.5</v>
      </c>
      <c r="AM10" s="228">
        <v>-142.5</v>
      </c>
      <c r="AN10" s="229">
        <v>-5.4899999999999997E-2</v>
      </c>
      <c r="AO10" s="231">
        <v>8189.98</v>
      </c>
      <c r="AP10" s="231">
        <v>7992.12</v>
      </c>
      <c r="AQ10" s="228">
        <v>0</v>
      </c>
      <c r="AR10" s="230">
        <v>323500</v>
      </c>
      <c r="AS10" s="230">
        <v>254300</v>
      </c>
      <c r="AT10" s="230">
        <v>69200</v>
      </c>
      <c r="AU10" s="229">
        <v>0.27210000000000001</v>
      </c>
      <c r="AV10" s="230">
        <v>218500</v>
      </c>
      <c r="AW10" s="230">
        <v>192600</v>
      </c>
      <c r="AX10" s="230">
        <v>25900</v>
      </c>
      <c r="AY10" s="229">
        <v>0.13450000000000001</v>
      </c>
      <c r="AZ10" s="230">
        <v>101800</v>
      </c>
      <c r="BA10" s="230">
        <v>58600</v>
      </c>
      <c r="BB10" s="230">
        <v>43200</v>
      </c>
      <c r="BC10" s="229">
        <v>0.73719999999999997</v>
      </c>
      <c r="BD10" s="230">
        <v>3200</v>
      </c>
      <c r="BE10" s="230">
        <v>3100</v>
      </c>
      <c r="BF10" s="228">
        <v>100</v>
      </c>
      <c r="BG10" s="229">
        <v>3.2300000000000002E-2</v>
      </c>
      <c r="BH10" s="230">
        <v>760600</v>
      </c>
      <c r="BI10" s="230">
        <v>718200</v>
      </c>
      <c r="BJ10" s="230">
        <v>42400</v>
      </c>
      <c r="BK10" s="229">
        <v>5.8999999999999997E-2</v>
      </c>
      <c r="BL10" s="230">
        <v>206700</v>
      </c>
      <c r="BM10" s="230">
        <v>220900</v>
      </c>
      <c r="BN10" s="230">
        <v>-14200</v>
      </c>
      <c r="BO10" s="229">
        <v>-6.4299999999999996E-2</v>
      </c>
      <c r="BP10" s="230">
        <v>1290800</v>
      </c>
      <c r="BQ10" s="230">
        <v>1193400</v>
      </c>
      <c r="BR10" s="230">
        <v>97400</v>
      </c>
      <c r="BS10" s="229">
        <v>8.1600000000000006E-2</v>
      </c>
      <c r="BT10" s="230">
        <v>236694</v>
      </c>
      <c r="BU10" s="230">
        <v>148426</v>
      </c>
      <c r="BV10" s="230">
        <v>88268</v>
      </c>
      <c r="BW10" s="229">
        <v>0.59470000000000001</v>
      </c>
      <c r="BX10" s="230">
        <v>801300</v>
      </c>
      <c r="BY10" s="230">
        <v>708600</v>
      </c>
      <c r="BZ10" s="230">
        <v>92700</v>
      </c>
      <c r="CA10" s="229">
        <v>0.1308</v>
      </c>
      <c r="CB10" s="230">
        <v>653800</v>
      </c>
      <c r="CC10" s="230">
        <v>611400</v>
      </c>
      <c r="CD10" s="230">
        <v>42400</v>
      </c>
      <c r="CE10" s="229">
        <v>6.93E-2</v>
      </c>
      <c r="CF10" s="230">
        <v>141500</v>
      </c>
      <c r="CG10" s="230">
        <v>93100</v>
      </c>
      <c r="CH10" s="230">
        <v>48400</v>
      </c>
      <c r="CI10" s="229">
        <v>0.51990000000000003</v>
      </c>
      <c r="CJ10" s="230">
        <v>6000</v>
      </c>
      <c r="CK10" s="230">
        <v>4100</v>
      </c>
      <c r="CL10" s="230">
        <v>1900</v>
      </c>
      <c r="CM10" s="229">
        <v>0.46339999999999998</v>
      </c>
      <c r="CN10" s="230">
        <v>691900</v>
      </c>
      <c r="CO10" s="230">
        <v>667700</v>
      </c>
      <c r="CP10" s="230">
        <v>24200</v>
      </c>
      <c r="CQ10" s="229">
        <v>3.6200000000000003E-2</v>
      </c>
      <c r="CR10" s="230">
        <v>355100</v>
      </c>
      <c r="CS10" s="230">
        <v>338300</v>
      </c>
      <c r="CT10" s="230">
        <v>16800</v>
      </c>
      <c r="CU10" s="229">
        <v>4.9700000000000001E-2</v>
      </c>
      <c r="CV10" s="230">
        <v>1848300</v>
      </c>
      <c r="CW10" s="230">
        <v>1714600</v>
      </c>
      <c r="CX10" s="230">
        <v>133700</v>
      </c>
      <c r="CY10" s="229">
        <v>7.8E-2</v>
      </c>
      <c r="CZ10" s="228">
        <v>38.1</v>
      </c>
      <c r="DA10" s="228">
        <v>37.229999999999997</v>
      </c>
      <c r="DB10" s="228">
        <v>0.87</v>
      </c>
      <c r="DC10" s="228">
        <v>0.87</v>
      </c>
      <c r="DD10" s="228">
        <v>54.71</v>
      </c>
      <c r="DE10" s="228">
        <v>54.84</v>
      </c>
      <c r="DF10" s="228">
        <v>-16.61</v>
      </c>
      <c r="DG10" s="228">
        <v>-0.13</v>
      </c>
      <c r="DH10" s="228">
        <v>38.31</v>
      </c>
      <c r="DI10" s="228">
        <v>37.43</v>
      </c>
      <c r="DJ10" s="228">
        <v>0.88</v>
      </c>
      <c r="DK10" s="228">
        <v>0.88</v>
      </c>
      <c r="DL10" s="228">
        <v>37.33</v>
      </c>
      <c r="DM10" s="228">
        <v>36.58</v>
      </c>
      <c r="DN10" s="228">
        <v>0.75</v>
      </c>
      <c r="DO10" s="228">
        <v>0.75</v>
      </c>
      <c r="DP10" s="228">
        <v>0.51</v>
      </c>
      <c r="DQ10" s="228">
        <v>0.51</v>
      </c>
      <c r="DR10" s="228">
        <v>0</v>
      </c>
      <c r="DS10" s="229">
        <v>0</v>
      </c>
      <c r="DT10" s="231">
        <v>8500</v>
      </c>
      <c r="DU10" s="231">
        <v>8000</v>
      </c>
      <c r="DV10" s="228">
        <v>0.27</v>
      </c>
      <c r="DW10" s="228">
        <v>0.31</v>
      </c>
      <c r="DX10" s="228">
        <v>-0.04</v>
      </c>
      <c r="DY10" s="229">
        <v>-0.129</v>
      </c>
      <c r="DZ10" s="229">
        <v>0.18410000000000001</v>
      </c>
      <c r="EA10" s="230">
        <v>97200</v>
      </c>
      <c r="EB10" s="229">
        <v>-2.5399999999999999E-2</v>
      </c>
      <c r="EC10" s="229">
        <v>0.18410000000000001</v>
      </c>
      <c r="ED10" s="228">
        <v>-197.86</v>
      </c>
      <c r="EE10" s="229">
        <v>-2.4199999999999999E-2</v>
      </c>
      <c r="EF10" s="230">
        <v>96882</v>
      </c>
      <c r="EG10" s="230">
        <v>54565</v>
      </c>
      <c r="EH10" s="229">
        <v>0.77549999999999997</v>
      </c>
      <c r="EI10" s="229">
        <v>0.4093</v>
      </c>
      <c r="EJ10" s="231">
        <v>65401.760000000002</v>
      </c>
      <c r="EK10" s="231">
        <v>16750.64</v>
      </c>
      <c r="EL10" s="231">
        <v>26283.16</v>
      </c>
      <c r="EM10" s="231">
        <v>2607</v>
      </c>
      <c r="EN10" s="231">
        <v>108435.56</v>
      </c>
      <c r="EO10" s="231">
        <v>100611.32</v>
      </c>
      <c r="EP10" s="231">
        <v>7824.24</v>
      </c>
      <c r="EQ10" s="229">
        <v>7.7799999999999994E-2</v>
      </c>
      <c r="ER10" s="231">
        <v>59068</v>
      </c>
      <c r="ES10" s="231">
        <v>28233</v>
      </c>
      <c r="ET10" s="231">
        <v>64817</v>
      </c>
      <c r="EU10" s="231">
        <v>3067454</v>
      </c>
      <c r="EV10" s="231">
        <v>152118</v>
      </c>
      <c r="EW10" s="231">
        <v>141362</v>
      </c>
      <c r="EX10" s="231">
        <v>10756</v>
      </c>
      <c r="EY10" s="229">
        <v>7.6100000000000001E-2</v>
      </c>
      <c r="EZ10" s="229">
        <v>0.60260000000000002</v>
      </c>
      <c r="FA10" s="227" t="s">
        <v>555</v>
      </c>
      <c r="FB10" s="161">
        <f t="shared" si="0"/>
        <v>147500</v>
      </c>
    </row>
    <row r="11" spans="1:158" ht="17.25" hidden="1" thickBot="1" x14ac:dyDescent="0.3">
      <c r="A11" s="226">
        <v>45946</v>
      </c>
      <c r="B11" s="227" t="s">
        <v>157</v>
      </c>
      <c r="C11" s="227" t="s">
        <v>164</v>
      </c>
      <c r="D11" s="228">
        <v>1050</v>
      </c>
      <c r="E11" s="228">
        <v>571.5</v>
      </c>
      <c r="F11" s="228">
        <v>569.29999999999995</v>
      </c>
      <c r="G11" s="228">
        <v>2.2000000000000002</v>
      </c>
      <c r="H11" s="229">
        <v>3.8999999999999998E-3</v>
      </c>
      <c r="I11" s="228">
        <v>569.70000000000005</v>
      </c>
      <c r="J11" s="228">
        <v>567</v>
      </c>
      <c r="K11" s="228">
        <v>2.7</v>
      </c>
      <c r="L11" s="229">
        <v>4.7999999999999996E-3</v>
      </c>
      <c r="M11" s="228">
        <v>571.5</v>
      </c>
      <c r="N11" s="228">
        <v>569.29999999999995</v>
      </c>
      <c r="O11" s="228">
        <v>2.2000000000000002</v>
      </c>
      <c r="P11" s="229">
        <v>3.8999999999999998E-3</v>
      </c>
      <c r="Q11" s="228">
        <v>574.65</v>
      </c>
      <c r="R11" s="228">
        <v>572.15</v>
      </c>
      <c r="S11" s="228">
        <v>2.5</v>
      </c>
      <c r="T11" s="229">
        <v>4.4000000000000003E-3</v>
      </c>
      <c r="U11" s="228">
        <v>579.1</v>
      </c>
      <c r="V11" s="228">
        <v>577</v>
      </c>
      <c r="W11" s="228">
        <v>2.1</v>
      </c>
      <c r="X11" s="229">
        <v>3.5999999999999999E-3</v>
      </c>
      <c r="Y11" s="228">
        <v>1.8</v>
      </c>
      <c r="Z11" s="228">
        <v>2.2999999999999998</v>
      </c>
      <c r="AA11" s="228">
        <v>-0.5</v>
      </c>
      <c r="AB11" s="229">
        <v>3.2000000000000002E-3</v>
      </c>
      <c r="AC11" s="228">
        <v>1.8</v>
      </c>
      <c r="AD11" s="228">
        <v>2.2999999999999998</v>
      </c>
      <c r="AE11" s="228">
        <v>-0.5</v>
      </c>
      <c r="AF11" s="229">
        <v>3.2000000000000002E-3</v>
      </c>
      <c r="AG11" s="228">
        <v>4.95</v>
      </c>
      <c r="AH11" s="228">
        <v>5.15</v>
      </c>
      <c r="AI11" s="228">
        <v>-0.2</v>
      </c>
      <c r="AJ11" s="229">
        <v>8.6999999999999994E-3</v>
      </c>
      <c r="AK11" s="228">
        <v>9.4</v>
      </c>
      <c r="AL11" s="228">
        <v>10</v>
      </c>
      <c r="AM11" s="228">
        <v>-0.6</v>
      </c>
      <c r="AN11" s="229">
        <v>1.6500000000000001E-2</v>
      </c>
      <c r="AO11" s="228">
        <v>571.03</v>
      </c>
      <c r="AP11" s="228">
        <v>574.88</v>
      </c>
      <c r="AQ11" s="228">
        <v>0</v>
      </c>
      <c r="AR11" s="230">
        <v>3914400</v>
      </c>
      <c r="AS11" s="230">
        <v>2640750</v>
      </c>
      <c r="AT11" s="230">
        <v>1273650</v>
      </c>
      <c r="AU11" s="229">
        <v>0.48230000000000001</v>
      </c>
      <c r="AV11" s="230">
        <v>3390450</v>
      </c>
      <c r="AW11" s="230">
        <v>2291100</v>
      </c>
      <c r="AX11" s="230">
        <v>1099350</v>
      </c>
      <c r="AY11" s="229">
        <v>0.4798</v>
      </c>
      <c r="AZ11" s="230">
        <v>505050</v>
      </c>
      <c r="BA11" s="230">
        <v>342300</v>
      </c>
      <c r="BB11" s="230">
        <v>162750</v>
      </c>
      <c r="BC11" s="229">
        <v>0.47549999999999998</v>
      </c>
      <c r="BD11" s="230">
        <v>18900</v>
      </c>
      <c r="BE11" s="230">
        <v>7350</v>
      </c>
      <c r="BF11" s="230">
        <v>11550</v>
      </c>
      <c r="BG11" s="229">
        <v>1.5713999999999999</v>
      </c>
      <c r="BH11" s="230">
        <v>8065050</v>
      </c>
      <c r="BI11" s="230">
        <v>6088950</v>
      </c>
      <c r="BJ11" s="230">
        <v>1976100</v>
      </c>
      <c r="BK11" s="229">
        <v>0.32450000000000001</v>
      </c>
      <c r="BL11" s="230">
        <v>3887100</v>
      </c>
      <c r="BM11" s="230">
        <v>2398200</v>
      </c>
      <c r="BN11" s="230">
        <v>1488900</v>
      </c>
      <c r="BO11" s="229">
        <v>0.62080000000000002</v>
      </c>
      <c r="BP11" s="230">
        <v>15866550</v>
      </c>
      <c r="BQ11" s="230">
        <v>11127900</v>
      </c>
      <c r="BR11" s="230">
        <v>4738650</v>
      </c>
      <c r="BS11" s="229">
        <v>0.42580000000000001</v>
      </c>
      <c r="BT11" s="230">
        <v>1143039</v>
      </c>
      <c r="BU11" s="230">
        <v>1395406</v>
      </c>
      <c r="BV11" s="230">
        <v>-252367</v>
      </c>
      <c r="BW11" s="229">
        <v>-0.18090000000000001</v>
      </c>
      <c r="BX11" s="230">
        <v>40757850</v>
      </c>
      <c r="BY11" s="230">
        <v>41049750</v>
      </c>
      <c r="BZ11" s="230">
        <v>-291900</v>
      </c>
      <c r="CA11" s="229">
        <v>-7.1000000000000004E-3</v>
      </c>
      <c r="CB11" s="230">
        <v>39230100</v>
      </c>
      <c r="CC11" s="230">
        <v>39660600</v>
      </c>
      <c r="CD11" s="230">
        <v>-430500</v>
      </c>
      <c r="CE11" s="229">
        <v>-1.09E-2</v>
      </c>
      <c r="CF11" s="230">
        <v>1471050</v>
      </c>
      <c r="CG11" s="230">
        <v>1336650</v>
      </c>
      <c r="CH11" s="230">
        <v>134400</v>
      </c>
      <c r="CI11" s="229">
        <v>0.10050000000000001</v>
      </c>
      <c r="CJ11" s="230">
        <v>56700</v>
      </c>
      <c r="CK11" s="230">
        <v>52500</v>
      </c>
      <c r="CL11" s="230">
        <v>4200</v>
      </c>
      <c r="CM11" s="229">
        <v>0.08</v>
      </c>
      <c r="CN11" s="230">
        <v>12698700</v>
      </c>
      <c r="CO11" s="230">
        <v>12694500</v>
      </c>
      <c r="CP11" s="230">
        <v>4200</v>
      </c>
      <c r="CQ11" s="229">
        <v>2.9999999999999997E-4</v>
      </c>
      <c r="CR11" s="230">
        <v>7888650</v>
      </c>
      <c r="CS11" s="230">
        <v>7980000</v>
      </c>
      <c r="CT11" s="230">
        <v>-91350</v>
      </c>
      <c r="CU11" s="229">
        <v>-1.14E-2</v>
      </c>
      <c r="CV11" s="230">
        <v>61345200</v>
      </c>
      <c r="CW11" s="230">
        <v>61724250</v>
      </c>
      <c r="CX11" s="230">
        <v>-379050</v>
      </c>
      <c r="CY11" s="229">
        <v>-6.1000000000000004E-3</v>
      </c>
      <c r="CZ11" s="228">
        <v>22.12</v>
      </c>
      <c r="DA11" s="228">
        <v>23.74</v>
      </c>
      <c r="DB11" s="228">
        <v>-1.62</v>
      </c>
      <c r="DC11" s="228">
        <v>-1.62</v>
      </c>
      <c r="DD11" s="228">
        <v>33.92</v>
      </c>
      <c r="DE11" s="228">
        <v>34</v>
      </c>
      <c r="DF11" s="228">
        <v>-11.8</v>
      </c>
      <c r="DG11" s="228">
        <v>-0.08</v>
      </c>
      <c r="DH11" s="228">
        <v>22.24</v>
      </c>
      <c r="DI11" s="228">
        <v>23.87</v>
      </c>
      <c r="DJ11" s="228">
        <v>-1.63</v>
      </c>
      <c r="DK11" s="228">
        <v>-1.63</v>
      </c>
      <c r="DL11" s="228">
        <v>21.87</v>
      </c>
      <c r="DM11" s="228">
        <v>23.4</v>
      </c>
      <c r="DN11" s="228">
        <v>-1.53</v>
      </c>
      <c r="DO11" s="228">
        <v>-1.53</v>
      </c>
      <c r="DP11" s="228">
        <v>0.62</v>
      </c>
      <c r="DQ11" s="228">
        <v>0.63</v>
      </c>
      <c r="DR11" s="228">
        <v>-0.01</v>
      </c>
      <c r="DS11" s="229">
        <v>-1.5900000000000001E-2</v>
      </c>
      <c r="DT11" s="228">
        <v>600</v>
      </c>
      <c r="DU11" s="228">
        <v>650</v>
      </c>
      <c r="DV11" s="228">
        <v>0.48</v>
      </c>
      <c r="DW11" s="228">
        <v>0.39</v>
      </c>
      <c r="DX11" s="228">
        <v>0.09</v>
      </c>
      <c r="DY11" s="229">
        <v>0.23080000000000001</v>
      </c>
      <c r="DZ11" s="229">
        <v>3.7499999999999999E-2</v>
      </c>
      <c r="EA11" s="230">
        <v>1389150</v>
      </c>
      <c r="EB11" s="229">
        <v>5.4999999999999997E-3</v>
      </c>
      <c r="EC11" s="229">
        <v>3.7499999999999999E-2</v>
      </c>
      <c r="ED11" s="228">
        <v>3.85</v>
      </c>
      <c r="EE11" s="229">
        <v>6.7000000000000002E-3</v>
      </c>
      <c r="EF11" s="230">
        <v>527351</v>
      </c>
      <c r="EG11" s="230">
        <v>966908</v>
      </c>
      <c r="EH11" s="229">
        <v>-0.4546</v>
      </c>
      <c r="EI11" s="229">
        <v>0.46139999999999998</v>
      </c>
      <c r="EJ11" s="231">
        <v>47356.19</v>
      </c>
      <c r="EK11" s="231">
        <v>22020.17</v>
      </c>
      <c r="EL11" s="231">
        <v>22373.439999999999</v>
      </c>
      <c r="EM11" s="231">
        <v>2458</v>
      </c>
      <c r="EN11" s="231">
        <v>91749.8</v>
      </c>
      <c r="EO11" s="231">
        <v>64422.91</v>
      </c>
      <c r="EP11" s="231">
        <v>27326.89</v>
      </c>
      <c r="EQ11" s="229">
        <v>0.42420000000000002</v>
      </c>
      <c r="ER11" s="231">
        <v>75790</v>
      </c>
      <c r="ES11" s="231">
        <v>45764</v>
      </c>
      <c r="ET11" s="231">
        <v>232982</v>
      </c>
      <c r="EU11" s="231">
        <v>119762774</v>
      </c>
      <c r="EV11" s="231">
        <v>354535</v>
      </c>
      <c r="EW11" s="231">
        <v>355768</v>
      </c>
      <c r="EX11" s="231">
        <v>-1233</v>
      </c>
      <c r="EY11" s="229">
        <v>-3.5000000000000001E-3</v>
      </c>
      <c r="EZ11" s="229">
        <v>0.51219999999999999</v>
      </c>
      <c r="FA11" s="227" t="s">
        <v>556</v>
      </c>
      <c r="FB11" s="161">
        <f t="shared" si="0"/>
        <v>1527750</v>
      </c>
    </row>
    <row r="12" spans="1:158" ht="17.25" hidden="1" thickBot="1" x14ac:dyDescent="0.3">
      <c r="A12" s="226">
        <v>45946</v>
      </c>
      <c r="B12" s="227" t="s">
        <v>175</v>
      </c>
      <c r="C12" s="227" t="s">
        <v>609</v>
      </c>
      <c r="D12" s="228">
        <v>250</v>
      </c>
      <c r="E12" s="231">
        <v>2479.5</v>
      </c>
      <c r="F12" s="231">
        <v>2452.3000000000002</v>
      </c>
      <c r="G12" s="228">
        <v>27.2</v>
      </c>
      <c r="H12" s="229">
        <v>1.11E-2</v>
      </c>
      <c r="I12" s="231">
        <v>2482.6</v>
      </c>
      <c r="J12" s="231">
        <v>2445.1999999999998</v>
      </c>
      <c r="K12" s="228">
        <v>37.4</v>
      </c>
      <c r="L12" s="229">
        <v>1.5299999999999999E-2</v>
      </c>
      <c r="M12" s="231">
        <v>2479.5</v>
      </c>
      <c r="N12" s="231">
        <v>2452.3000000000002</v>
      </c>
      <c r="O12" s="228">
        <v>27.2</v>
      </c>
      <c r="P12" s="229">
        <v>1.11E-2</v>
      </c>
      <c r="Q12" s="231">
        <v>2463</v>
      </c>
      <c r="R12" s="231">
        <v>2441.1</v>
      </c>
      <c r="S12" s="228">
        <v>21.9</v>
      </c>
      <c r="T12" s="229">
        <v>8.9999999999999993E-3</v>
      </c>
      <c r="U12" s="231">
        <v>2450.4</v>
      </c>
      <c r="V12" s="231">
        <v>2433.8000000000002</v>
      </c>
      <c r="W12" s="228">
        <v>16.600000000000001</v>
      </c>
      <c r="X12" s="229">
        <v>6.7999999999999996E-3</v>
      </c>
      <c r="Y12" s="228">
        <v>-3.1</v>
      </c>
      <c r="Z12" s="228">
        <v>7.1</v>
      </c>
      <c r="AA12" s="228">
        <v>-10.199999999999999</v>
      </c>
      <c r="AB12" s="229">
        <v>-1.1999999999999999E-3</v>
      </c>
      <c r="AC12" s="228">
        <v>-3.1</v>
      </c>
      <c r="AD12" s="228">
        <v>7.1</v>
      </c>
      <c r="AE12" s="228">
        <v>-10.199999999999999</v>
      </c>
      <c r="AF12" s="229">
        <v>-1.1999999999999999E-3</v>
      </c>
      <c r="AG12" s="228">
        <v>-19.600000000000001</v>
      </c>
      <c r="AH12" s="228">
        <v>-4.0999999999999996</v>
      </c>
      <c r="AI12" s="228">
        <v>-15.5</v>
      </c>
      <c r="AJ12" s="229">
        <v>-7.9000000000000008E-3</v>
      </c>
      <c r="AK12" s="228">
        <v>-32.200000000000003</v>
      </c>
      <c r="AL12" s="228">
        <v>-11.4</v>
      </c>
      <c r="AM12" s="228">
        <v>-20.8</v>
      </c>
      <c r="AN12" s="229">
        <v>-1.2999999999999999E-2</v>
      </c>
      <c r="AO12" s="231">
        <v>2488.7199999999998</v>
      </c>
      <c r="AP12" s="231">
        <v>2470.4499999999998</v>
      </c>
      <c r="AQ12" s="228">
        <v>0</v>
      </c>
      <c r="AR12" s="230">
        <v>4566000</v>
      </c>
      <c r="AS12" s="230">
        <v>2275000</v>
      </c>
      <c r="AT12" s="230">
        <v>2291000</v>
      </c>
      <c r="AU12" s="229">
        <v>1.0069999999999999</v>
      </c>
      <c r="AV12" s="230">
        <v>3877750</v>
      </c>
      <c r="AW12" s="230">
        <v>1927500</v>
      </c>
      <c r="AX12" s="230">
        <v>1950250</v>
      </c>
      <c r="AY12" s="229">
        <v>1.0118</v>
      </c>
      <c r="AZ12" s="230">
        <v>626500</v>
      </c>
      <c r="BA12" s="230">
        <v>309250</v>
      </c>
      <c r="BB12" s="230">
        <v>317250</v>
      </c>
      <c r="BC12" s="229">
        <v>1.0259</v>
      </c>
      <c r="BD12" s="230">
        <v>61750</v>
      </c>
      <c r="BE12" s="230">
        <v>38250</v>
      </c>
      <c r="BF12" s="230">
        <v>23500</v>
      </c>
      <c r="BG12" s="229">
        <v>0.61439999999999995</v>
      </c>
      <c r="BH12" s="230">
        <v>25712000</v>
      </c>
      <c r="BI12" s="230">
        <v>11525500</v>
      </c>
      <c r="BJ12" s="230">
        <v>14186500</v>
      </c>
      <c r="BK12" s="229">
        <v>1.2309000000000001</v>
      </c>
      <c r="BL12" s="230">
        <v>16855500</v>
      </c>
      <c r="BM12" s="230">
        <v>5040500</v>
      </c>
      <c r="BN12" s="230">
        <v>11815000</v>
      </c>
      <c r="BO12" s="229">
        <v>2.3439999999999999</v>
      </c>
      <c r="BP12" s="230">
        <v>47133500</v>
      </c>
      <c r="BQ12" s="230">
        <v>18841000</v>
      </c>
      <c r="BR12" s="230">
        <v>28292500</v>
      </c>
      <c r="BS12" s="229">
        <v>1.5016</v>
      </c>
      <c r="BT12" s="230">
        <v>3542418</v>
      </c>
      <c r="BU12" s="230">
        <v>1478726</v>
      </c>
      <c r="BV12" s="230">
        <v>2063692</v>
      </c>
      <c r="BW12" s="229">
        <v>1.3956</v>
      </c>
      <c r="BX12" s="230">
        <v>3769000</v>
      </c>
      <c r="BY12" s="230">
        <v>3990000</v>
      </c>
      <c r="BZ12" s="230">
        <v>-221000</v>
      </c>
      <c r="CA12" s="229">
        <v>-5.5399999999999998E-2</v>
      </c>
      <c r="CB12" s="230">
        <v>3255750</v>
      </c>
      <c r="CC12" s="230">
        <v>3561500</v>
      </c>
      <c r="CD12" s="230">
        <v>-305750</v>
      </c>
      <c r="CE12" s="229">
        <v>-8.5800000000000001E-2</v>
      </c>
      <c r="CF12" s="230">
        <v>459750</v>
      </c>
      <c r="CG12" s="230">
        <v>377250</v>
      </c>
      <c r="CH12" s="230">
        <v>82500</v>
      </c>
      <c r="CI12" s="229">
        <v>0.21870000000000001</v>
      </c>
      <c r="CJ12" s="230">
        <v>53500</v>
      </c>
      <c r="CK12" s="230">
        <v>51250</v>
      </c>
      <c r="CL12" s="230">
        <v>2250</v>
      </c>
      <c r="CM12" s="229">
        <v>4.3900000000000002E-2</v>
      </c>
      <c r="CN12" s="230">
        <v>2676500</v>
      </c>
      <c r="CO12" s="230">
        <v>2821250</v>
      </c>
      <c r="CP12" s="230">
        <v>-144750</v>
      </c>
      <c r="CQ12" s="229">
        <v>-5.1299999999999998E-2</v>
      </c>
      <c r="CR12" s="230">
        <v>2200750</v>
      </c>
      <c r="CS12" s="230">
        <v>2362000</v>
      </c>
      <c r="CT12" s="230">
        <v>-161250</v>
      </c>
      <c r="CU12" s="229">
        <v>-6.83E-2</v>
      </c>
      <c r="CV12" s="230">
        <v>8646250</v>
      </c>
      <c r="CW12" s="230">
        <v>9173250</v>
      </c>
      <c r="CX12" s="230">
        <v>-527000</v>
      </c>
      <c r="CY12" s="229">
        <v>-5.74E-2</v>
      </c>
      <c r="CZ12" s="228">
        <v>36.19</v>
      </c>
      <c r="DA12" s="228">
        <v>43.86</v>
      </c>
      <c r="DB12" s="228">
        <v>-7.67</v>
      </c>
      <c r="DC12" s="228">
        <v>-7.67</v>
      </c>
      <c r="DD12" s="228">
        <v>55.64</v>
      </c>
      <c r="DE12" s="228">
        <v>55.76</v>
      </c>
      <c r="DF12" s="228">
        <v>-19.45</v>
      </c>
      <c r="DG12" s="228">
        <v>-0.12</v>
      </c>
      <c r="DH12" s="228">
        <v>35.479999999999997</v>
      </c>
      <c r="DI12" s="228">
        <v>43.33</v>
      </c>
      <c r="DJ12" s="228">
        <v>-7.85</v>
      </c>
      <c r="DK12" s="228">
        <v>-7.85</v>
      </c>
      <c r="DL12" s="228">
        <v>37.270000000000003</v>
      </c>
      <c r="DM12" s="228">
        <v>45.09</v>
      </c>
      <c r="DN12" s="228">
        <v>-7.82</v>
      </c>
      <c r="DO12" s="228">
        <v>-7.82</v>
      </c>
      <c r="DP12" s="228">
        <v>0.82</v>
      </c>
      <c r="DQ12" s="228">
        <v>0.84</v>
      </c>
      <c r="DR12" s="228">
        <v>-0.02</v>
      </c>
      <c r="DS12" s="229">
        <v>-2.3800000000000002E-2</v>
      </c>
      <c r="DT12" s="231">
        <v>2500</v>
      </c>
      <c r="DU12" s="231">
        <v>2400</v>
      </c>
      <c r="DV12" s="228">
        <v>0.66</v>
      </c>
      <c r="DW12" s="228">
        <v>0.44</v>
      </c>
      <c r="DX12" s="228">
        <v>0.22</v>
      </c>
      <c r="DY12" s="229">
        <v>0.5</v>
      </c>
      <c r="DZ12" s="229">
        <v>0.13619999999999999</v>
      </c>
      <c r="EA12" s="230">
        <v>428500</v>
      </c>
      <c r="EB12" s="229">
        <v>-6.7000000000000002E-3</v>
      </c>
      <c r="EC12" s="229">
        <v>0.13619999999999999</v>
      </c>
      <c r="ED12" s="228">
        <v>-18.27</v>
      </c>
      <c r="EE12" s="229">
        <v>-7.3000000000000001E-3</v>
      </c>
      <c r="EF12" s="230">
        <v>545423</v>
      </c>
      <c r="EG12" s="230">
        <v>513375</v>
      </c>
      <c r="EH12" s="229">
        <v>6.2399999999999997E-2</v>
      </c>
      <c r="EI12" s="229">
        <v>0.154</v>
      </c>
      <c r="EJ12" s="231">
        <v>667927.02</v>
      </c>
      <c r="EK12" s="231">
        <v>408838.88</v>
      </c>
      <c r="EL12" s="231">
        <v>113510.03</v>
      </c>
      <c r="EM12" s="231">
        <v>10356</v>
      </c>
      <c r="EN12" s="231">
        <v>1190275.93</v>
      </c>
      <c r="EO12" s="231">
        <v>468463.96</v>
      </c>
      <c r="EP12" s="231">
        <v>721811.97</v>
      </c>
      <c r="EQ12" s="229">
        <v>1.5407999999999999</v>
      </c>
      <c r="ER12" s="231">
        <v>66039</v>
      </c>
      <c r="ES12" s="231">
        <v>50425</v>
      </c>
      <c r="ET12" s="231">
        <v>93361</v>
      </c>
      <c r="EU12" s="231">
        <v>9647634</v>
      </c>
      <c r="EV12" s="231">
        <v>209824</v>
      </c>
      <c r="EW12" s="231">
        <v>220227</v>
      </c>
      <c r="EX12" s="231">
        <v>-10403</v>
      </c>
      <c r="EY12" s="229">
        <v>-4.7199999999999999E-2</v>
      </c>
      <c r="EZ12" s="229">
        <v>0.8962</v>
      </c>
      <c r="FA12" s="227" t="s">
        <v>556</v>
      </c>
      <c r="FB12" s="161">
        <f t="shared" si="0"/>
        <v>513250</v>
      </c>
    </row>
    <row r="13" spans="1:158" ht="17.25" hidden="1" thickBot="1" x14ac:dyDescent="0.3">
      <c r="A13" s="226">
        <v>45946</v>
      </c>
      <c r="B13" s="227" t="s">
        <v>227</v>
      </c>
      <c r="C13" s="227" t="s">
        <v>598</v>
      </c>
      <c r="D13" s="228">
        <v>350</v>
      </c>
      <c r="E13" s="231">
        <v>1734</v>
      </c>
      <c r="F13" s="231">
        <v>1740.7</v>
      </c>
      <c r="G13" s="228">
        <v>-6.7</v>
      </c>
      <c r="H13" s="229">
        <v>-3.8E-3</v>
      </c>
      <c r="I13" s="231">
        <v>1728</v>
      </c>
      <c r="J13" s="231">
        <v>1734.1</v>
      </c>
      <c r="K13" s="228">
        <v>-6.1</v>
      </c>
      <c r="L13" s="229">
        <v>-3.5000000000000001E-3</v>
      </c>
      <c r="M13" s="231">
        <v>1734</v>
      </c>
      <c r="N13" s="231">
        <v>1740.7</v>
      </c>
      <c r="O13" s="228">
        <v>-6.7</v>
      </c>
      <c r="P13" s="229">
        <v>-3.8E-3</v>
      </c>
      <c r="Q13" s="231">
        <v>1744.6</v>
      </c>
      <c r="R13" s="231">
        <v>1750.1</v>
      </c>
      <c r="S13" s="228">
        <v>-5.5</v>
      </c>
      <c r="T13" s="229">
        <v>-3.0999999999999999E-3</v>
      </c>
      <c r="U13" s="231">
        <v>1750</v>
      </c>
      <c r="V13" s="231">
        <v>1763.9</v>
      </c>
      <c r="W13" s="228">
        <v>-13.9</v>
      </c>
      <c r="X13" s="229">
        <v>-7.9000000000000008E-3</v>
      </c>
      <c r="Y13" s="228">
        <v>6</v>
      </c>
      <c r="Z13" s="228">
        <v>6.6</v>
      </c>
      <c r="AA13" s="228">
        <v>-0.6</v>
      </c>
      <c r="AB13" s="229">
        <v>3.5000000000000001E-3</v>
      </c>
      <c r="AC13" s="228">
        <v>6</v>
      </c>
      <c r="AD13" s="228">
        <v>6.6</v>
      </c>
      <c r="AE13" s="228">
        <v>-0.6</v>
      </c>
      <c r="AF13" s="229">
        <v>3.5000000000000001E-3</v>
      </c>
      <c r="AG13" s="228">
        <v>16.600000000000001</v>
      </c>
      <c r="AH13" s="228">
        <v>16</v>
      </c>
      <c r="AI13" s="228">
        <v>0.6</v>
      </c>
      <c r="AJ13" s="229">
        <v>9.5999999999999992E-3</v>
      </c>
      <c r="AK13" s="228">
        <v>22</v>
      </c>
      <c r="AL13" s="228">
        <v>29.8</v>
      </c>
      <c r="AM13" s="228">
        <v>-7.8</v>
      </c>
      <c r="AN13" s="229">
        <v>1.2699999999999999E-2</v>
      </c>
      <c r="AO13" s="231">
        <v>1733.59</v>
      </c>
      <c r="AP13" s="231">
        <v>1742.91</v>
      </c>
      <c r="AQ13" s="228">
        <v>0</v>
      </c>
      <c r="AR13" s="230">
        <v>555450</v>
      </c>
      <c r="AS13" s="230">
        <v>434350</v>
      </c>
      <c r="AT13" s="230">
        <v>121100</v>
      </c>
      <c r="AU13" s="229">
        <v>0.27879999999999999</v>
      </c>
      <c r="AV13" s="230">
        <v>516600</v>
      </c>
      <c r="AW13" s="230">
        <v>406700</v>
      </c>
      <c r="AX13" s="230">
        <v>109900</v>
      </c>
      <c r="AY13" s="229">
        <v>0.2702</v>
      </c>
      <c r="AZ13" s="230">
        <v>37100</v>
      </c>
      <c r="BA13" s="230">
        <v>27650</v>
      </c>
      <c r="BB13" s="230">
        <v>9450</v>
      </c>
      <c r="BC13" s="229">
        <v>0.34179999999999999</v>
      </c>
      <c r="BD13" s="230">
        <v>1750</v>
      </c>
      <c r="BE13" s="228">
        <v>0</v>
      </c>
      <c r="BF13" s="230">
        <v>1750</v>
      </c>
      <c r="BG13" s="229">
        <v>0</v>
      </c>
      <c r="BH13" s="230">
        <v>557900</v>
      </c>
      <c r="BI13" s="230">
        <v>502950</v>
      </c>
      <c r="BJ13" s="230">
        <v>54950</v>
      </c>
      <c r="BK13" s="229">
        <v>0.10929999999999999</v>
      </c>
      <c r="BL13" s="230">
        <v>181650</v>
      </c>
      <c r="BM13" s="230">
        <v>207200</v>
      </c>
      <c r="BN13" s="230">
        <v>-25550</v>
      </c>
      <c r="BO13" s="229">
        <v>-0.12330000000000001</v>
      </c>
      <c r="BP13" s="230">
        <v>1295000</v>
      </c>
      <c r="BQ13" s="230">
        <v>1144500</v>
      </c>
      <c r="BR13" s="230">
        <v>150500</v>
      </c>
      <c r="BS13" s="229">
        <v>0.13150000000000001</v>
      </c>
      <c r="BT13" s="230">
        <v>440368</v>
      </c>
      <c r="BU13" s="230">
        <v>333447</v>
      </c>
      <c r="BV13" s="230">
        <v>106921</v>
      </c>
      <c r="BW13" s="229">
        <v>0.32069999999999999</v>
      </c>
      <c r="BX13" s="230">
        <v>9705850</v>
      </c>
      <c r="BY13" s="230">
        <v>9662450</v>
      </c>
      <c r="BZ13" s="230">
        <v>43400</v>
      </c>
      <c r="CA13" s="229">
        <v>4.4999999999999997E-3</v>
      </c>
      <c r="CB13" s="230">
        <v>9598750</v>
      </c>
      <c r="CC13" s="230">
        <v>9567600</v>
      </c>
      <c r="CD13" s="230">
        <v>31150</v>
      </c>
      <c r="CE13" s="229">
        <v>3.3E-3</v>
      </c>
      <c r="CF13" s="230">
        <v>101150</v>
      </c>
      <c r="CG13" s="230">
        <v>89950</v>
      </c>
      <c r="CH13" s="230">
        <v>11200</v>
      </c>
      <c r="CI13" s="229">
        <v>0.1245</v>
      </c>
      <c r="CJ13" s="230">
        <v>5950</v>
      </c>
      <c r="CK13" s="230">
        <v>4900</v>
      </c>
      <c r="CL13" s="230">
        <v>1050</v>
      </c>
      <c r="CM13" s="229">
        <v>0.21429999999999999</v>
      </c>
      <c r="CN13" s="230">
        <v>1187900</v>
      </c>
      <c r="CO13" s="230">
        <v>1168300</v>
      </c>
      <c r="CP13" s="230">
        <v>19600</v>
      </c>
      <c r="CQ13" s="229">
        <v>1.6799999999999999E-2</v>
      </c>
      <c r="CR13" s="230">
        <v>599200</v>
      </c>
      <c r="CS13" s="230">
        <v>610750</v>
      </c>
      <c r="CT13" s="230">
        <v>-11550</v>
      </c>
      <c r="CU13" s="229">
        <v>-1.89E-2</v>
      </c>
      <c r="CV13" s="230">
        <v>11492950</v>
      </c>
      <c r="CW13" s="230">
        <v>11441500</v>
      </c>
      <c r="CX13" s="230">
        <v>51450</v>
      </c>
      <c r="CY13" s="229">
        <v>4.4999999999999997E-3</v>
      </c>
      <c r="CZ13" s="228">
        <v>22.53</v>
      </c>
      <c r="DA13" s="228">
        <v>23.48</v>
      </c>
      <c r="DB13" s="228">
        <v>-0.95</v>
      </c>
      <c r="DC13" s="228">
        <v>-0.95</v>
      </c>
      <c r="DD13" s="228">
        <v>34.72</v>
      </c>
      <c r="DE13" s="228">
        <v>34.799999999999997</v>
      </c>
      <c r="DF13" s="228">
        <v>-12.19</v>
      </c>
      <c r="DG13" s="228">
        <v>-0.08</v>
      </c>
      <c r="DH13" s="228">
        <v>22.07</v>
      </c>
      <c r="DI13" s="228">
        <v>22.72</v>
      </c>
      <c r="DJ13" s="228">
        <v>-0.65</v>
      </c>
      <c r="DK13" s="228">
        <v>-0.65</v>
      </c>
      <c r="DL13" s="228">
        <v>23.92</v>
      </c>
      <c r="DM13" s="228">
        <v>25.32</v>
      </c>
      <c r="DN13" s="228">
        <v>-1.4</v>
      </c>
      <c r="DO13" s="228">
        <v>-1.4</v>
      </c>
      <c r="DP13" s="228">
        <v>0.5</v>
      </c>
      <c r="DQ13" s="228">
        <v>0.52</v>
      </c>
      <c r="DR13" s="228">
        <v>-0.02</v>
      </c>
      <c r="DS13" s="229">
        <v>-3.85E-2</v>
      </c>
      <c r="DT13" s="231">
        <v>1740</v>
      </c>
      <c r="DU13" s="231">
        <v>1700</v>
      </c>
      <c r="DV13" s="228">
        <v>0.33</v>
      </c>
      <c r="DW13" s="228">
        <v>0.41</v>
      </c>
      <c r="DX13" s="228">
        <v>-0.08</v>
      </c>
      <c r="DY13" s="229">
        <v>-0.1951</v>
      </c>
      <c r="DZ13" s="229">
        <v>1.0999999999999999E-2</v>
      </c>
      <c r="EA13" s="230">
        <v>94850</v>
      </c>
      <c r="EB13" s="229">
        <v>6.1000000000000004E-3</v>
      </c>
      <c r="EC13" s="229">
        <v>1.0999999999999999E-2</v>
      </c>
      <c r="ED13" s="228">
        <v>9.32</v>
      </c>
      <c r="EE13" s="229">
        <v>5.4000000000000003E-3</v>
      </c>
      <c r="EF13" s="230">
        <v>308830</v>
      </c>
      <c r="EG13" s="230">
        <v>242993</v>
      </c>
      <c r="EH13" s="229">
        <v>0.27089999999999997</v>
      </c>
      <c r="EI13" s="229">
        <v>0.70130000000000003</v>
      </c>
      <c r="EJ13" s="231">
        <v>9949.4500000000007</v>
      </c>
      <c r="EK13" s="231">
        <v>3133.99</v>
      </c>
      <c r="EL13" s="231">
        <v>9632.9699999999993</v>
      </c>
      <c r="EM13" s="231">
        <v>1407</v>
      </c>
      <c r="EN13" s="231">
        <v>22716.41</v>
      </c>
      <c r="EO13" s="231">
        <v>20147.990000000002</v>
      </c>
      <c r="EP13" s="231">
        <v>2568.42</v>
      </c>
      <c r="EQ13" s="229">
        <v>0.1275</v>
      </c>
      <c r="ER13" s="231">
        <v>20826</v>
      </c>
      <c r="ES13" s="231">
        <v>9992</v>
      </c>
      <c r="ET13" s="231">
        <v>168311</v>
      </c>
      <c r="EU13" s="231">
        <v>27232196</v>
      </c>
      <c r="EV13" s="231">
        <v>199130</v>
      </c>
      <c r="EW13" s="231">
        <v>198900</v>
      </c>
      <c r="EX13" s="228">
        <v>230</v>
      </c>
      <c r="EY13" s="229">
        <v>1.1999999999999999E-3</v>
      </c>
      <c r="EZ13" s="229">
        <v>0.42199999999999999</v>
      </c>
      <c r="FA13" s="227" t="s">
        <v>567</v>
      </c>
      <c r="FB13" s="161">
        <f t="shared" si="0"/>
        <v>107100</v>
      </c>
    </row>
    <row r="14" spans="1:158" ht="17.25" hidden="1" thickBot="1" x14ac:dyDescent="0.3">
      <c r="A14" s="226">
        <v>45946</v>
      </c>
      <c r="B14" s="227" t="s">
        <v>170</v>
      </c>
      <c r="C14" s="227" t="s">
        <v>165</v>
      </c>
      <c r="D14" s="228">
        <v>125</v>
      </c>
      <c r="E14" s="231">
        <v>7860.5</v>
      </c>
      <c r="F14" s="231">
        <v>7838</v>
      </c>
      <c r="G14" s="228">
        <v>22.5</v>
      </c>
      <c r="H14" s="229">
        <v>2.8999999999999998E-3</v>
      </c>
      <c r="I14" s="231">
        <v>7833.5</v>
      </c>
      <c r="J14" s="231">
        <v>7826</v>
      </c>
      <c r="K14" s="228">
        <v>7.5</v>
      </c>
      <c r="L14" s="229">
        <v>1E-3</v>
      </c>
      <c r="M14" s="231">
        <v>7860.5</v>
      </c>
      <c r="N14" s="231">
        <v>7838</v>
      </c>
      <c r="O14" s="228">
        <v>22.5</v>
      </c>
      <c r="P14" s="229">
        <v>2.8999999999999998E-3</v>
      </c>
      <c r="Q14" s="231">
        <v>7902</v>
      </c>
      <c r="R14" s="231">
        <v>7882</v>
      </c>
      <c r="S14" s="228">
        <v>20</v>
      </c>
      <c r="T14" s="229">
        <v>2.5000000000000001E-3</v>
      </c>
      <c r="U14" s="231">
        <v>7942</v>
      </c>
      <c r="V14" s="231">
        <v>7927.5</v>
      </c>
      <c r="W14" s="228">
        <v>14.5</v>
      </c>
      <c r="X14" s="229">
        <v>1.8E-3</v>
      </c>
      <c r="Y14" s="228">
        <v>27</v>
      </c>
      <c r="Z14" s="228">
        <v>12</v>
      </c>
      <c r="AA14" s="228">
        <v>15</v>
      </c>
      <c r="AB14" s="229">
        <v>3.3999999999999998E-3</v>
      </c>
      <c r="AC14" s="228">
        <v>27</v>
      </c>
      <c r="AD14" s="228">
        <v>12</v>
      </c>
      <c r="AE14" s="228">
        <v>15</v>
      </c>
      <c r="AF14" s="229">
        <v>3.3999999999999998E-3</v>
      </c>
      <c r="AG14" s="228">
        <v>68.5</v>
      </c>
      <c r="AH14" s="228">
        <v>56</v>
      </c>
      <c r="AI14" s="228">
        <v>12.5</v>
      </c>
      <c r="AJ14" s="229">
        <v>8.6999999999999994E-3</v>
      </c>
      <c r="AK14" s="228">
        <v>108.5</v>
      </c>
      <c r="AL14" s="228">
        <v>101.5</v>
      </c>
      <c r="AM14" s="228">
        <v>7</v>
      </c>
      <c r="AN14" s="229">
        <v>1.3899999999999999E-2</v>
      </c>
      <c r="AO14" s="231">
        <v>7862.21</v>
      </c>
      <c r="AP14" s="231">
        <v>7906.18</v>
      </c>
      <c r="AQ14" s="228">
        <v>0</v>
      </c>
      <c r="AR14" s="230">
        <v>222375</v>
      </c>
      <c r="AS14" s="230">
        <v>276750</v>
      </c>
      <c r="AT14" s="230">
        <v>-54375</v>
      </c>
      <c r="AU14" s="229">
        <v>-0.19650000000000001</v>
      </c>
      <c r="AV14" s="230">
        <v>204750</v>
      </c>
      <c r="AW14" s="230">
        <v>246875</v>
      </c>
      <c r="AX14" s="230">
        <v>-42125</v>
      </c>
      <c r="AY14" s="229">
        <v>-0.1706</v>
      </c>
      <c r="AZ14" s="230">
        <v>16500</v>
      </c>
      <c r="BA14" s="230">
        <v>28125</v>
      </c>
      <c r="BB14" s="230">
        <v>-11625</v>
      </c>
      <c r="BC14" s="229">
        <v>-0.4133</v>
      </c>
      <c r="BD14" s="230">
        <v>1125</v>
      </c>
      <c r="BE14" s="230">
        <v>1750</v>
      </c>
      <c r="BF14" s="228">
        <v>-625</v>
      </c>
      <c r="BG14" s="229">
        <v>-0.35709999999999997</v>
      </c>
      <c r="BH14" s="230">
        <v>941750</v>
      </c>
      <c r="BI14" s="230">
        <v>1723875</v>
      </c>
      <c r="BJ14" s="230">
        <v>-782125</v>
      </c>
      <c r="BK14" s="229">
        <v>-0.45369999999999999</v>
      </c>
      <c r="BL14" s="230">
        <v>578000</v>
      </c>
      <c r="BM14" s="230">
        <v>1093375</v>
      </c>
      <c r="BN14" s="230">
        <v>-515375</v>
      </c>
      <c r="BO14" s="229">
        <v>-0.47139999999999999</v>
      </c>
      <c r="BP14" s="230">
        <v>1742125</v>
      </c>
      <c r="BQ14" s="230">
        <v>3094000</v>
      </c>
      <c r="BR14" s="230">
        <v>-1351875</v>
      </c>
      <c r="BS14" s="229">
        <v>-0.43690000000000001</v>
      </c>
      <c r="BT14" s="230">
        <v>179699</v>
      </c>
      <c r="BU14" s="230">
        <v>215702</v>
      </c>
      <c r="BV14" s="230">
        <v>-36003</v>
      </c>
      <c r="BW14" s="229">
        <v>-0.16689999999999999</v>
      </c>
      <c r="BX14" s="230">
        <v>2804375</v>
      </c>
      <c r="BY14" s="230">
        <v>2801375</v>
      </c>
      <c r="BZ14" s="230">
        <v>3000</v>
      </c>
      <c r="CA14" s="229">
        <v>1.1000000000000001E-3</v>
      </c>
      <c r="CB14" s="230">
        <v>2743375</v>
      </c>
      <c r="CC14" s="230">
        <v>2746000</v>
      </c>
      <c r="CD14" s="230">
        <v>-2625</v>
      </c>
      <c r="CE14" s="229">
        <v>-1E-3</v>
      </c>
      <c r="CF14" s="230">
        <v>53625</v>
      </c>
      <c r="CG14" s="230">
        <v>47875</v>
      </c>
      <c r="CH14" s="230">
        <v>5750</v>
      </c>
      <c r="CI14" s="229">
        <v>0.1201</v>
      </c>
      <c r="CJ14" s="230">
        <v>7375</v>
      </c>
      <c r="CK14" s="230">
        <v>7500</v>
      </c>
      <c r="CL14" s="228">
        <v>-125</v>
      </c>
      <c r="CM14" s="229">
        <v>-1.67E-2</v>
      </c>
      <c r="CN14" s="230">
        <v>603000</v>
      </c>
      <c r="CO14" s="230">
        <v>642750</v>
      </c>
      <c r="CP14" s="230">
        <v>-39750</v>
      </c>
      <c r="CQ14" s="229">
        <v>-6.1800000000000001E-2</v>
      </c>
      <c r="CR14" s="230">
        <v>524875</v>
      </c>
      <c r="CS14" s="230">
        <v>520250</v>
      </c>
      <c r="CT14" s="230">
        <v>4625</v>
      </c>
      <c r="CU14" s="229">
        <v>8.8999999999999999E-3</v>
      </c>
      <c r="CV14" s="230">
        <v>3932250</v>
      </c>
      <c r="CW14" s="230">
        <v>3964375</v>
      </c>
      <c r="CX14" s="230">
        <v>-32125</v>
      </c>
      <c r="CY14" s="229">
        <v>-8.0999999999999996E-3</v>
      </c>
      <c r="CZ14" s="228">
        <v>16.34</v>
      </c>
      <c r="DA14" s="228">
        <v>16.89</v>
      </c>
      <c r="DB14" s="228">
        <v>-0.55000000000000004</v>
      </c>
      <c r="DC14" s="228">
        <v>-0.55000000000000004</v>
      </c>
      <c r="DD14" s="228">
        <v>26.45</v>
      </c>
      <c r="DE14" s="228">
        <v>26.52</v>
      </c>
      <c r="DF14" s="228">
        <v>-10.11</v>
      </c>
      <c r="DG14" s="228">
        <v>-7.0000000000000007E-2</v>
      </c>
      <c r="DH14" s="228">
        <v>16.07</v>
      </c>
      <c r="DI14" s="228">
        <v>16.36</v>
      </c>
      <c r="DJ14" s="228">
        <v>-0.28999999999999998</v>
      </c>
      <c r="DK14" s="228">
        <v>-0.28999999999999998</v>
      </c>
      <c r="DL14" s="228">
        <v>16.77</v>
      </c>
      <c r="DM14" s="228">
        <v>17.73</v>
      </c>
      <c r="DN14" s="228">
        <v>-0.96</v>
      </c>
      <c r="DO14" s="228">
        <v>-0.96</v>
      </c>
      <c r="DP14" s="228">
        <v>0.87</v>
      </c>
      <c r="DQ14" s="228">
        <v>0.81</v>
      </c>
      <c r="DR14" s="228">
        <v>0.06</v>
      </c>
      <c r="DS14" s="229">
        <v>7.4099999999999999E-2</v>
      </c>
      <c r="DT14" s="231">
        <v>8000</v>
      </c>
      <c r="DU14" s="231">
        <v>7700</v>
      </c>
      <c r="DV14" s="228">
        <v>0.61</v>
      </c>
      <c r="DW14" s="228">
        <v>0.63</v>
      </c>
      <c r="DX14" s="228">
        <v>-0.02</v>
      </c>
      <c r="DY14" s="229">
        <v>-3.1699999999999999E-2</v>
      </c>
      <c r="DZ14" s="229">
        <v>2.18E-2</v>
      </c>
      <c r="EA14" s="230">
        <v>55375</v>
      </c>
      <c r="EB14" s="229">
        <v>5.3E-3</v>
      </c>
      <c r="EC14" s="229">
        <v>2.18E-2</v>
      </c>
      <c r="ED14" s="228">
        <v>43.97</v>
      </c>
      <c r="EE14" s="229">
        <v>5.5999999999999999E-3</v>
      </c>
      <c r="EF14" s="230">
        <v>119854</v>
      </c>
      <c r="EG14" s="230">
        <v>127087</v>
      </c>
      <c r="EH14" s="229">
        <v>-5.6899999999999999E-2</v>
      </c>
      <c r="EI14" s="229">
        <v>0.66700000000000004</v>
      </c>
      <c r="EJ14" s="231">
        <v>75446.69</v>
      </c>
      <c r="EK14" s="231">
        <v>44816.75</v>
      </c>
      <c r="EL14" s="231">
        <v>17491.77</v>
      </c>
      <c r="EM14" s="231">
        <v>2177</v>
      </c>
      <c r="EN14" s="231">
        <v>137755.21</v>
      </c>
      <c r="EO14" s="231">
        <v>243260.33</v>
      </c>
      <c r="EP14" s="231">
        <v>-105505.12</v>
      </c>
      <c r="EQ14" s="229">
        <v>-0.43369999999999997</v>
      </c>
      <c r="ER14" s="231">
        <v>47745</v>
      </c>
      <c r="ES14" s="231">
        <v>39397</v>
      </c>
      <c r="ET14" s="231">
        <v>220466</v>
      </c>
      <c r="EU14" s="231">
        <v>15240043</v>
      </c>
      <c r="EV14" s="231">
        <v>307608</v>
      </c>
      <c r="EW14" s="231">
        <v>309462</v>
      </c>
      <c r="EX14" s="231">
        <v>-1854</v>
      </c>
      <c r="EY14" s="229">
        <v>-6.0000000000000001E-3</v>
      </c>
      <c r="EZ14" s="229">
        <v>0.25800000000000001</v>
      </c>
      <c r="FA14" s="227" t="s">
        <v>555</v>
      </c>
      <c r="FB14" s="161">
        <f t="shared" si="0"/>
        <v>61000</v>
      </c>
    </row>
    <row r="15" spans="1:158" ht="17.25" hidden="1" thickBot="1" x14ac:dyDescent="0.3">
      <c r="A15" s="226">
        <v>45946</v>
      </c>
      <c r="B15" s="227" t="s">
        <v>162</v>
      </c>
      <c r="C15" s="227" t="s">
        <v>167</v>
      </c>
      <c r="D15" s="228">
        <v>5000</v>
      </c>
      <c r="E15" s="228">
        <v>137.08000000000001</v>
      </c>
      <c r="F15" s="228">
        <v>135.97999999999999</v>
      </c>
      <c r="G15" s="228">
        <v>1.1000000000000001</v>
      </c>
      <c r="H15" s="229">
        <v>8.0999999999999996E-3</v>
      </c>
      <c r="I15" s="228">
        <v>137.24</v>
      </c>
      <c r="J15" s="228">
        <v>135.69</v>
      </c>
      <c r="K15" s="228">
        <v>1.55</v>
      </c>
      <c r="L15" s="229">
        <v>1.14E-2</v>
      </c>
      <c r="M15" s="228">
        <v>137.08000000000001</v>
      </c>
      <c r="N15" s="228">
        <v>135.97999999999999</v>
      </c>
      <c r="O15" s="228">
        <v>1.1000000000000001</v>
      </c>
      <c r="P15" s="229">
        <v>8.0999999999999996E-3</v>
      </c>
      <c r="Q15" s="228">
        <v>134.99</v>
      </c>
      <c r="R15" s="228">
        <v>134.16</v>
      </c>
      <c r="S15" s="228">
        <v>0.83</v>
      </c>
      <c r="T15" s="229">
        <v>6.1999999999999998E-3</v>
      </c>
      <c r="U15" s="228">
        <v>134.25</v>
      </c>
      <c r="V15" s="228">
        <v>133.38</v>
      </c>
      <c r="W15" s="228">
        <v>0.87</v>
      </c>
      <c r="X15" s="229">
        <v>6.4999999999999997E-3</v>
      </c>
      <c r="Y15" s="228">
        <v>-0.16</v>
      </c>
      <c r="Z15" s="228">
        <v>0.28999999999999998</v>
      </c>
      <c r="AA15" s="228">
        <v>-0.45</v>
      </c>
      <c r="AB15" s="229">
        <v>-1.1999999999999999E-3</v>
      </c>
      <c r="AC15" s="228">
        <v>-0.16</v>
      </c>
      <c r="AD15" s="228">
        <v>0.28999999999999998</v>
      </c>
      <c r="AE15" s="228">
        <v>-0.45</v>
      </c>
      <c r="AF15" s="229">
        <v>-1.1999999999999999E-3</v>
      </c>
      <c r="AG15" s="228">
        <v>-2.25</v>
      </c>
      <c r="AH15" s="228">
        <v>-1.53</v>
      </c>
      <c r="AI15" s="228">
        <v>-0.72</v>
      </c>
      <c r="AJ15" s="229">
        <v>-1.6400000000000001E-2</v>
      </c>
      <c r="AK15" s="228">
        <v>-2.99</v>
      </c>
      <c r="AL15" s="228">
        <v>-2.31</v>
      </c>
      <c r="AM15" s="228">
        <v>-0.68</v>
      </c>
      <c r="AN15" s="229">
        <v>-2.18E-2</v>
      </c>
      <c r="AO15" s="228">
        <v>137.30000000000001</v>
      </c>
      <c r="AP15" s="228">
        <v>135.22</v>
      </c>
      <c r="AQ15" s="228">
        <v>0</v>
      </c>
      <c r="AR15" s="230">
        <v>27150000</v>
      </c>
      <c r="AS15" s="230">
        <v>16145000</v>
      </c>
      <c r="AT15" s="230">
        <v>11005000</v>
      </c>
      <c r="AU15" s="229">
        <v>0.68159999999999998</v>
      </c>
      <c r="AV15" s="230">
        <v>20620000</v>
      </c>
      <c r="AW15" s="230">
        <v>13090000</v>
      </c>
      <c r="AX15" s="230">
        <v>7530000</v>
      </c>
      <c r="AY15" s="229">
        <v>0.57520000000000004</v>
      </c>
      <c r="AZ15" s="230">
        <v>6170000</v>
      </c>
      <c r="BA15" s="230">
        <v>2835000</v>
      </c>
      <c r="BB15" s="230">
        <v>3335000</v>
      </c>
      <c r="BC15" s="229">
        <v>1.1763999999999999</v>
      </c>
      <c r="BD15" s="230">
        <v>360000</v>
      </c>
      <c r="BE15" s="230">
        <v>220000</v>
      </c>
      <c r="BF15" s="230">
        <v>140000</v>
      </c>
      <c r="BG15" s="229">
        <v>0.63639999999999997</v>
      </c>
      <c r="BH15" s="230">
        <v>58420000</v>
      </c>
      <c r="BI15" s="230">
        <v>45580000</v>
      </c>
      <c r="BJ15" s="230">
        <v>12840000</v>
      </c>
      <c r="BK15" s="229">
        <v>0.28170000000000001</v>
      </c>
      <c r="BL15" s="230">
        <v>23435000</v>
      </c>
      <c r="BM15" s="230">
        <v>14970000</v>
      </c>
      <c r="BN15" s="230">
        <v>8465000</v>
      </c>
      <c r="BO15" s="229">
        <v>0.5655</v>
      </c>
      <c r="BP15" s="230">
        <v>109005000</v>
      </c>
      <c r="BQ15" s="230">
        <v>76695000</v>
      </c>
      <c r="BR15" s="230">
        <v>32310000</v>
      </c>
      <c r="BS15" s="229">
        <v>0.42130000000000001</v>
      </c>
      <c r="BT15" s="230">
        <v>10467295</v>
      </c>
      <c r="BU15" s="230">
        <v>9219252</v>
      </c>
      <c r="BV15" s="230">
        <v>1248043</v>
      </c>
      <c r="BW15" s="229">
        <v>0.13539999999999999</v>
      </c>
      <c r="BX15" s="230">
        <v>148750000</v>
      </c>
      <c r="BY15" s="230">
        <v>141320000</v>
      </c>
      <c r="BZ15" s="230">
        <v>7430000</v>
      </c>
      <c r="CA15" s="229">
        <v>5.2600000000000001E-2</v>
      </c>
      <c r="CB15" s="230">
        <v>135335000</v>
      </c>
      <c r="CC15" s="230">
        <v>131495000</v>
      </c>
      <c r="CD15" s="230">
        <v>3840000</v>
      </c>
      <c r="CE15" s="229">
        <v>2.92E-2</v>
      </c>
      <c r="CF15" s="230">
        <v>12385000</v>
      </c>
      <c r="CG15" s="230">
        <v>8920000</v>
      </c>
      <c r="CH15" s="230">
        <v>3465000</v>
      </c>
      <c r="CI15" s="229">
        <v>0.38850000000000001</v>
      </c>
      <c r="CJ15" s="230">
        <v>1030000</v>
      </c>
      <c r="CK15" s="230">
        <v>905000</v>
      </c>
      <c r="CL15" s="230">
        <v>125000</v>
      </c>
      <c r="CM15" s="229">
        <v>0.1381</v>
      </c>
      <c r="CN15" s="230">
        <v>88350000</v>
      </c>
      <c r="CO15" s="230">
        <v>88865000</v>
      </c>
      <c r="CP15" s="230">
        <v>-515000</v>
      </c>
      <c r="CQ15" s="229">
        <v>-5.7999999999999996E-3</v>
      </c>
      <c r="CR15" s="230">
        <v>36940000</v>
      </c>
      <c r="CS15" s="230">
        <v>36690000</v>
      </c>
      <c r="CT15" s="230">
        <v>250000</v>
      </c>
      <c r="CU15" s="229">
        <v>6.7999999999999996E-3</v>
      </c>
      <c r="CV15" s="230">
        <v>274040000</v>
      </c>
      <c r="CW15" s="230">
        <v>266875000</v>
      </c>
      <c r="CX15" s="230">
        <v>7165000</v>
      </c>
      <c r="CY15" s="229">
        <v>2.6800000000000001E-2</v>
      </c>
      <c r="CZ15" s="228">
        <v>27.43</v>
      </c>
      <c r="DA15" s="228">
        <v>28.88</v>
      </c>
      <c r="DB15" s="228">
        <v>-1.45</v>
      </c>
      <c r="DC15" s="228">
        <v>-1.45</v>
      </c>
      <c r="DD15" s="228">
        <v>35.01</v>
      </c>
      <c r="DE15" s="228">
        <v>35.06</v>
      </c>
      <c r="DF15" s="228">
        <v>-7.58</v>
      </c>
      <c r="DG15" s="228">
        <v>-0.05</v>
      </c>
      <c r="DH15" s="228">
        <v>28.31</v>
      </c>
      <c r="DI15" s="228">
        <v>29.88</v>
      </c>
      <c r="DJ15" s="228">
        <v>-1.57</v>
      </c>
      <c r="DK15" s="228">
        <v>-1.57</v>
      </c>
      <c r="DL15" s="228">
        <v>25.22</v>
      </c>
      <c r="DM15" s="228">
        <v>25.82</v>
      </c>
      <c r="DN15" s="228">
        <v>-0.6</v>
      </c>
      <c r="DO15" s="228">
        <v>-0.6</v>
      </c>
      <c r="DP15" s="228">
        <v>0.42</v>
      </c>
      <c r="DQ15" s="228">
        <v>0.41</v>
      </c>
      <c r="DR15" s="228">
        <v>0.01</v>
      </c>
      <c r="DS15" s="229">
        <v>2.4400000000000002E-2</v>
      </c>
      <c r="DT15" s="228">
        <v>140</v>
      </c>
      <c r="DU15" s="228">
        <v>135</v>
      </c>
      <c r="DV15" s="228">
        <v>0.4</v>
      </c>
      <c r="DW15" s="228">
        <v>0.33</v>
      </c>
      <c r="DX15" s="228">
        <v>7.0000000000000007E-2</v>
      </c>
      <c r="DY15" s="229">
        <v>0.21210000000000001</v>
      </c>
      <c r="DZ15" s="229">
        <v>9.0200000000000002E-2</v>
      </c>
      <c r="EA15" s="230">
        <v>9825000</v>
      </c>
      <c r="EB15" s="229">
        <v>-1.52E-2</v>
      </c>
      <c r="EC15" s="229">
        <v>9.0200000000000002E-2</v>
      </c>
      <c r="ED15" s="228">
        <v>-2.08</v>
      </c>
      <c r="EE15" s="229">
        <v>-1.5100000000000001E-2</v>
      </c>
      <c r="EF15" s="230">
        <v>4904309</v>
      </c>
      <c r="EG15" s="230">
        <v>5345774</v>
      </c>
      <c r="EH15" s="229">
        <v>-8.2600000000000007E-2</v>
      </c>
      <c r="EI15" s="229">
        <v>0.46850000000000003</v>
      </c>
      <c r="EJ15" s="231">
        <v>83582.47</v>
      </c>
      <c r="EK15" s="231">
        <v>31916.47</v>
      </c>
      <c r="EL15" s="231">
        <v>37137.58</v>
      </c>
      <c r="EM15" s="231">
        <v>3298</v>
      </c>
      <c r="EN15" s="231">
        <v>152636.51999999999</v>
      </c>
      <c r="EO15" s="231">
        <v>108084.98</v>
      </c>
      <c r="EP15" s="231">
        <v>44551.54</v>
      </c>
      <c r="EQ15" s="229">
        <v>0.41220000000000001</v>
      </c>
      <c r="ER15" s="231">
        <v>128939</v>
      </c>
      <c r="ES15" s="231">
        <v>49341</v>
      </c>
      <c r="ET15" s="231">
        <v>203619</v>
      </c>
      <c r="EU15" s="231">
        <v>409181558</v>
      </c>
      <c r="EV15" s="231">
        <v>381899</v>
      </c>
      <c r="EW15" s="231">
        <v>370795</v>
      </c>
      <c r="EX15" s="231">
        <v>11104</v>
      </c>
      <c r="EY15" s="229">
        <v>2.9899999999999999E-2</v>
      </c>
      <c r="EZ15" s="229">
        <v>0.66969999999999996</v>
      </c>
      <c r="FA15" s="227" t="s">
        <v>555</v>
      </c>
      <c r="FB15" s="161">
        <f t="shared" si="0"/>
        <v>13415000</v>
      </c>
    </row>
    <row r="16" spans="1:158" ht="17.25" hidden="1" thickBot="1" x14ac:dyDescent="0.3">
      <c r="A16" s="226">
        <v>45946</v>
      </c>
      <c r="B16" s="227" t="s">
        <v>168</v>
      </c>
      <c r="C16" s="227" t="s">
        <v>169</v>
      </c>
      <c r="D16" s="228">
        <v>250</v>
      </c>
      <c r="E16" s="231">
        <v>2417.9</v>
      </c>
      <c r="F16" s="231">
        <v>2384.9</v>
      </c>
      <c r="G16" s="228">
        <v>33</v>
      </c>
      <c r="H16" s="229">
        <v>1.38E-2</v>
      </c>
      <c r="I16" s="231">
        <v>2409.6999999999998</v>
      </c>
      <c r="J16" s="231">
        <v>2375.1</v>
      </c>
      <c r="K16" s="228">
        <v>34.6</v>
      </c>
      <c r="L16" s="229">
        <v>1.46E-2</v>
      </c>
      <c r="M16" s="231">
        <v>2417.9</v>
      </c>
      <c r="N16" s="231">
        <v>2384.9</v>
      </c>
      <c r="O16" s="228">
        <v>33</v>
      </c>
      <c r="P16" s="229">
        <v>1.38E-2</v>
      </c>
      <c r="Q16" s="231">
        <v>2425.6</v>
      </c>
      <c r="R16" s="231">
        <v>2392.6999999999998</v>
      </c>
      <c r="S16" s="228">
        <v>32.9</v>
      </c>
      <c r="T16" s="229">
        <v>1.38E-2</v>
      </c>
      <c r="U16" s="231">
        <v>2441.8000000000002</v>
      </c>
      <c r="V16" s="231">
        <v>2407.1</v>
      </c>
      <c r="W16" s="228">
        <v>34.700000000000003</v>
      </c>
      <c r="X16" s="229">
        <v>1.44E-2</v>
      </c>
      <c r="Y16" s="228">
        <v>8.1999999999999993</v>
      </c>
      <c r="Z16" s="228">
        <v>9.8000000000000007</v>
      </c>
      <c r="AA16" s="228">
        <v>-1.6</v>
      </c>
      <c r="AB16" s="229">
        <v>3.3999999999999998E-3</v>
      </c>
      <c r="AC16" s="228">
        <v>8.1999999999999993</v>
      </c>
      <c r="AD16" s="228">
        <v>9.8000000000000007</v>
      </c>
      <c r="AE16" s="228">
        <v>-1.6</v>
      </c>
      <c r="AF16" s="229">
        <v>3.3999999999999998E-3</v>
      </c>
      <c r="AG16" s="228">
        <v>15.9</v>
      </c>
      <c r="AH16" s="228">
        <v>17.600000000000001</v>
      </c>
      <c r="AI16" s="228">
        <v>-1.7</v>
      </c>
      <c r="AJ16" s="229">
        <v>6.6E-3</v>
      </c>
      <c r="AK16" s="228">
        <v>32.1</v>
      </c>
      <c r="AL16" s="228">
        <v>32</v>
      </c>
      <c r="AM16" s="228">
        <v>0.1</v>
      </c>
      <c r="AN16" s="229">
        <v>1.3299999999999999E-2</v>
      </c>
      <c r="AO16" s="231">
        <v>2404.4899999999998</v>
      </c>
      <c r="AP16" s="231">
        <v>2413.1799999999998</v>
      </c>
      <c r="AQ16" s="228">
        <v>0</v>
      </c>
      <c r="AR16" s="230">
        <v>2199250</v>
      </c>
      <c r="AS16" s="230">
        <v>2485000</v>
      </c>
      <c r="AT16" s="230">
        <v>-285750</v>
      </c>
      <c r="AU16" s="229">
        <v>-0.115</v>
      </c>
      <c r="AV16" s="230">
        <v>1752000</v>
      </c>
      <c r="AW16" s="230">
        <v>2030250</v>
      </c>
      <c r="AX16" s="230">
        <v>-278250</v>
      </c>
      <c r="AY16" s="229">
        <v>-0.1371</v>
      </c>
      <c r="AZ16" s="230">
        <v>416250</v>
      </c>
      <c r="BA16" s="230">
        <v>424500</v>
      </c>
      <c r="BB16" s="230">
        <v>-8250</v>
      </c>
      <c r="BC16" s="229">
        <v>-1.9400000000000001E-2</v>
      </c>
      <c r="BD16" s="230">
        <v>31000</v>
      </c>
      <c r="BE16" s="230">
        <v>30250</v>
      </c>
      <c r="BF16" s="228">
        <v>750</v>
      </c>
      <c r="BG16" s="229">
        <v>2.4799999999999999E-2</v>
      </c>
      <c r="BH16" s="230">
        <v>10943000</v>
      </c>
      <c r="BI16" s="230">
        <v>13274500</v>
      </c>
      <c r="BJ16" s="230">
        <v>-2331500</v>
      </c>
      <c r="BK16" s="229">
        <v>-0.17560000000000001</v>
      </c>
      <c r="BL16" s="230">
        <v>5257500</v>
      </c>
      <c r="BM16" s="230">
        <v>5726250</v>
      </c>
      <c r="BN16" s="230">
        <v>-468750</v>
      </c>
      <c r="BO16" s="229">
        <v>-8.1900000000000001E-2</v>
      </c>
      <c r="BP16" s="230">
        <v>18399750</v>
      </c>
      <c r="BQ16" s="230">
        <v>21485750</v>
      </c>
      <c r="BR16" s="230">
        <v>-3086000</v>
      </c>
      <c r="BS16" s="229">
        <v>-0.14360000000000001</v>
      </c>
      <c r="BT16" s="230">
        <v>736968</v>
      </c>
      <c r="BU16" s="230">
        <v>784901</v>
      </c>
      <c r="BV16" s="230">
        <v>-47933</v>
      </c>
      <c r="BW16" s="229">
        <v>-6.1100000000000002E-2</v>
      </c>
      <c r="BX16" s="230">
        <v>13501250</v>
      </c>
      <c r="BY16" s="230">
        <v>13561250</v>
      </c>
      <c r="BZ16" s="230">
        <v>-60000</v>
      </c>
      <c r="CA16" s="229">
        <v>-4.4000000000000003E-3</v>
      </c>
      <c r="CB16" s="230">
        <v>12585000</v>
      </c>
      <c r="CC16" s="230">
        <v>12697000</v>
      </c>
      <c r="CD16" s="230">
        <v>-112000</v>
      </c>
      <c r="CE16" s="229">
        <v>-8.8000000000000005E-3</v>
      </c>
      <c r="CF16" s="230">
        <v>858000</v>
      </c>
      <c r="CG16" s="230">
        <v>801000</v>
      </c>
      <c r="CH16" s="230">
        <v>57000</v>
      </c>
      <c r="CI16" s="229">
        <v>7.1199999999999999E-2</v>
      </c>
      <c r="CJ16" s="230">
        <v>58250</v>
      </c>
      <c r="CK16" s="230">
        <v>63250</v>
      </c>
      <c r="CL16" s="230">
        <v>-5000</v>
      </c>
      <c r="CM16" s="229">
        <v>-7.9100000000000004E-2</v>
      </c>
      <c r="CN16" s="230">
        <v>5833000</v>
      </c>
      <c r="CO16" s="230">
        <v>5791250</v>
      </c>
      <c r="CP16" s="230">
        <v>41750</v>
      </c>
      <c r="CQ16" s="229">
        <v>7.1999999999999998E-3</v>
      </c>
      <c r="CR16" s="230">
        <v>3665250</v>
      </c>
      <c r="CS16" s="230">
        <v>3734250</v>
      </c>
      <c r="CT16" s="230">
        <v>-69000</v>
      </c>
      <c r="CU16" s="229">
        <v>-1.8499999999999999E-2</v>
      </c>
      <c r="CV16" s="230">
        <v>22999500</v>
      </c>
      <c r="CW16" s="230">
        <v>23086750</v>
      </c>
      <c r="CX16" s="230">
        <v>-87250</v>
      </c>
      <c r="CY16" s="229">
        <v>-3.8E-3</v>
      </c>
      <c r="CZ16" s="228">
        <v>20.48</v>
      </c>
      <c r="DA16" s="228">
        <v>19.579999999999998</v>
      </c>
      <c r="DB16" s="228">
        <v>0.9</v>
      </c>
      <c r="DC16" s="228">
        <v>0.9</v>
      </c>
      <c r="DD16" s="228">
        <v>23.57</v>
      </c>
      <c r="DE16" s="228">
        <v>23.55</v>
      </c>
      <c r="DF16" s="228">
        <v>-3.09</v>
      </c>
      <c r="DG16" s="228">
        <v>0.02</v>
      </c>
      <c r="DH16" s="228">
        <v>20.239999999999998</v>
      </c>
      <c r="DI16" s="228">
        <v>19.260000000000002</v>
      </c>
      <c r="DJ16" s="228">
        <v>0.98</v>
      </c>
      <c r="DK16" s="228">
        <v>0.98</v>
      </c>
      <c r="DL16" s="228">
        <v>20.99</v>
      </c>
      <c r="DM16" s="228">
        <v>20.3</v>
      </c>
      <c r="DN16" s="228">
        <v>0.69</v>
      </c>
      <c r="DO16" s="228">
        <v>0.69</v>
      </c>
      <c r="DP16" s="228">
        <v>0.63</v>
      </c>
      <c r="DQ16" s="228">
        <v>0.64</v>
      </c>
      <c r="DR16" s="228">
        <v>-0.01</v>
      </c>
      <c r="DS16" s="229">
        <v>-1.5599999999999999E-2</v>
      </c>
      <c r="DT16" s="231">
        <v>2500</v>
      </c>
      <c r="DU16" s="231">
        <v>2300</v>
      </c>
      <c r="DV16" s="228">
        <v>0.48</v>
      </c>
      <c r="DW16" s="228">
        <v>0.43</v>
      </c>
      <c r="DX16" s="228">
        <v>0.05</v>
      </c>
      <c r="DY16" s="229">
        <v>0.1163</v>
      </c>
      <c r="DZ16" s="229">
        <v>6.7900000000000002E-2</v>
      </c>
      <c r="EA16" s="230">
        <v>864250</v>
      </c>
      <c r="EB16" s="229">
        <v>3.2000000000000002E-3</v>
      </c>
      <c r="EC16" s="229">
        <v>6.7900000000000002E-2</v>
      </c>
      <c r="ED16" s="228">
        <v>8.69</v>
      </c>
      <c r="EE16" s="229">
        <v>3.5999999999999999E-3</v>
      </c>
      <c r="EF16" s="230">
        <v>383454</v>
      </c>
      <c r="EG16" s="230">
        <v>344100</v>
      </c>
      <c r="EH16" s="229">
        <v>0.1144</v>
      </c>
      <c r="EI16" s="229">
        <v>0.52029999999999998</v>
      </c>
      <c r="EJ16" s="231">
        <v>270410.37</v>
      </c>
      <c r="EK16" s="231">
        <v>123925.02</v>
      </c>
      <c r="EL16" s="231">
        <v>52925.11</v>
      </c>
      <c r="EM16" s="231">
        <v>6012</v>
      </c>
      <c r="EN16" s="231">
        <v>447260.5</v>
      </c>
      <c r="EO16" s="231">
        <v>516130.77</v>
      </c>
      <c r="EP16" s="231">
        <v>-68870.27</v>
      </c>
      <c r="EQ16" s="229">
        <v>-0.13339999999999999</v>
      </c>
      <c r="ER16" s="231">
        <v>145158</v>
      </c>
      <c r="ES16" s="231">
        <v>84732</v>
      </c>
      <c r="ET16" s="231">
        <v>326527</v>
      </c>
      <c r="EU16" s="231">
        <v>52357280</v>
      </c>
      <c r="EV16" s="231">
        <v>556416</v>
      </c>
      <c r="EW16" s="231">
        <v>553313</v>
      </c>
      <c r="EX16" s="231">
        <v>3103</v>
      </c>
      <c r="EY16" s="229">
        <v>5.5999999999999999E-3</v>
      </c>
      <c r="EZ16" s="229">
        <v>0.43930000000000002</v>
      </c>
      <c r="FA16" s="227" t="s">
        <v>556</v>
      </c>
      <c r="FB16" s="161">
        <f t="shared" si="0"/>
        <v>916250</v>
      </c>
    </row>
    <row r="17" spans="1:158" ht="17.25" hidden="1" thickBot="1" x14ac:dyDescent="0.3">
      <c r="A17" s="226">
        <v>45946</v>
      </c>
      <c r="B17" s="227" t="s">
        <v>184</v>
      </c>
      <c r="C17" s="227" t="s">
        <v>503</v>
      </c>
      <c r="D17" s="228">
        <v>425</v>
      </c>
      <c r="E17" s="231">
        <v>1445.3</v>
      </c>
      <c r="F17" s="231">
        <v>1444.6</v>
      </c>
      <c r="G17" s="228">
        <v>0.7</v>
      </c>
      <c r="H17" s="229">
        <v>5.0000000000000001E-4</v>
      </c>
      <c r="I17" s="231">
        <v>1444.8</v>
      </c>
      <c r="J17" s="231">
        <v>1438.8</v>
      </c>
      <c r="K17" s="228">
        <v>6</v>
      </c>
      <c r="L17" s="229">
        <v>4.1999999999999997E-3</v>
      </c>
      <c r="M17" s="231">
        <v>1445.3</v>
      </c>
      <c r="N17" s="231">
        <v>1444.6</v>
      </c>
      <c r="O17" s="228">
        <v>0.7</v>
      </c>
      <c r="P17" s="229">
        <v>5.0000000000000001E-4</v>
      </c>
      <c r="Q17" s="231">
        <v>1450.5</v>
      </c>
      <c r="R17" s="231">
        <v>1449.2</v>
      </c>
      <c r="S17" s="228">
        <v>1.3</v>
      </c>
      <c r="T17" s="229">
        <v>8.9999999999999998E-4</v>
      </c>
      <c r="U17" s="231">
        <v>1458.4</v>
      </c>
      <c r="V17" s="231">
        <v>1459.5</v>
      </c>
      <c r="W17" s="228">
        <v>-1.1000000000000001</v>
      </c>
      <c r="X17" s="229">
        <v>-8.0000000000000004E-4</v>
      </c>
      <c r="Y17" s="228">
        <v>0.5</v>
      </c>
      <c r="Z17" s="228">
        <v>5.8</v>
      </c>
      <c r="AA17" s="228">
        <v>-5.3</v>
      </c>
      <c r="AB17" s="229">
        <v>2.9999999999999997E-4</v>
      </c>
      <c r="AC17" s="228">
        <v>0.5</v>
      </c>
      <c r="AD17" s="228">
        <v>5.8</v>
      </c>
      <c r="AE17" s="228">
        <v>-5.3</v>
      </c>
      <c r="AF17" s="229">
        <v>2.9999999999999997E-4</v>
      </c>
      <c r="AG17" s="228">
        <v>5.7</v>
      </c>
      <c r="AH17" s="228">
        <v>10.4</v>
      </c>
      <c r="AI17" s="228">
        <v>-4.7</v>
      </c>
      <c r="AJ17" s="229">
        <v>3.8999999999999998E-3</v>
      </c>
      <c r="AK17" s="228">
        <v>13.6</v>
      </c>
      <c r="AL17" s="228">
        <v>20.7</v>
      </c>
      <c r="AM17" s="228">
        <v>-7.1</v>
      </c>
      <c r="AN17" s="229">
        <v>9.4000000000000004E-3</v>
      </c>
      <c r="AO17" s="231">
        <v>1442.19</v>
      </c>
      <c r="AP17" s="231">
        <v>1447.65</v>
      </c>
      <c r="AQ17" s="228">
        <v>0</v>
      </c>
      <c r="AR17" s="230">
        <v>1207000</v>
      </c>
      <c r="AS17" s="230">
        <v>2404225</v>
      </c>
      <c r="AT17" s="230">
        <v>-1197225</v>
      </c>
      <c r="AU17" s="229">
        <v>-0.498</v>
      </c>
      <c r="AV17" s="230">
        <v>1070575</v>
      </c>
      <c r="AW17" s="230">
        <v>2147100</v>
      </c>
      <c r="AX17" s="230">
        <v>-1076525</v>
      </c>
      <c r="AY17" s="229">
        <v>-0.50139999999999996</v>
      </c>
      <c r="AZ17" s="230">
        <v>123675</v>
      </c>
      <c r="BA17" s="230">
        <v>236725</v>
      </c>
      <c r="BB17" s="230">
        <v>-113050</v>
      </c>
      <c r="BC17" s="229">
        <v>-0.47760000000000002</v>
      </c>
      <c r="BD17" s="230">
        <v>12750</v>
      </c>
      <c r="BE17" s="230">
        <v>20400</v>
      </c>
      <c r="BF17" s="230">
        <v>-7650</v>
      </c>
      <c r="BG17" s="229">
        <v>-0.375</v>
      </c>
      <c r="BH17" s="230">
        <v>1625625</v>
      </c>
      <c r="BI17" s="230">
        <v>6019275</v>
      </c>
      <c r="BJ17" s="230">
        <v>-4393650</v>
      </c>
      <c r="BK17" s="229">
        <v>-0.72989999999999999</v>
      </c>
      <c r="BL17" s="230">
        <v>635800</v>
      </c>
      <c r="BM17" s="230">
        <v>2240175</v>
      </c>
      <c r="BN17" s="230">
        <v>-1604375</v>
      </c>
      <c r="BO17" s="229">
        <v>-0.71619999999999995</v>
      </c>
      <c r="BP17" s="230">
        <v>3468425</v>
      </c>
      <c r="BQ17" s="230">
        <v>10663675</v>
      </c>
      <c r="BR17" s="230">
        <v>-7195250</v>
      </c>
      <c r="BS17" s="229">
        <v>-0.67469999999999997</v>
      </c>
      <c r="BT17" s="230">
        <v>476696</v>
      </c>
      <c r="BU17" s="230">
        <v>580878</v>
      </c>
      <c r="BV17" s="230">
        <v>-104182</v>
      </c>
      <c r="BW17" s="229">
        <v>-0.1794</v>
      </c>
      <c r="BX17" s="230">
        <v>9120925</v>
      </c>
      <c r="BY17" s="230">
        <v>9164275</v>
      </c>
      <c r="BZ17" s="230">
        <v>-43350</v>
      </c>
      <c r="CA17" s="229">
        <v>-4.7000000000000002E-3</v>
      </c>
      <c r="CB17" s="230">
        <v>8714200</v>
      </c>
      <c r="CC17" s="230">
        <v>8793250</v>
      </c>
      <c r="CD17" s="230">
        <v>-79050</v>
      </c>
      <c r="CE17" s="229">
        <v>-8.9999999999999993E-3</v>
      </c>
      <c r="CF17" s="230">
        <v>373150</v>
      </c>
      <c r="CG17" s="230">
        <v>340425</v>
      </c>
      <c r="CH17" s="230">
        <v>32725</v>
      </c>
      <c r="CI17" s="229">
        <v>9.6100000000000005E-2</v>
      </c>
      <c r="CJ17" s="230">
        <v>33575</v>
      </c>
      <c r="CK17" s="230">
        <v>30600</v>
      </c>
      <c r="CL17" s="230">
        <v>2975</v>
      </c>
      <c r="CM17" s="229">
        <v>9.7199999999999995E-2</v>
      </c>
      <c r="CN17" s="230">
        <v>3167950</v>
      </c>
      <c r="CO17" s="230">
        <v>3178575</v>
      </c>
      <c r="CP17" s="230">
        <v>-10625</v>
      </c>
      <c r="CQ17" s="229">
        <v>-3.3E-3</v>
      </c>
      <c r="CR17" s="230">
        <v>1507900</v>
      </c>
      <c r="CS17" s="230">
        <v>1477300</v>
      </c>
      <c r="CT17" s="230">
        <v>30600</v>
      </c>
      <c r="CU17" s="229">
        <v>2.07E-2</v>
      </c>
      <c r="CV17" s="230">
        <v>13796775</v>
      </c>
      <c r="CW17" s="230">
        <v>13820150</v>
      </c>
      <c r="CX17" s="230">
        <v>-23375</v>
      </c>
      <c r="CY17" s="229">
        <v>-1.6999999999999999E-3</v>
      </c>
      <c r="CZ17" s="228">
        <v>25.54</v>
      </c>
      <c r="DA17" s="228">
        <v>25.56</v>
      </c>
      <c r="DB17" s="228">
        <v>-0.02</v>
      </c>
      <c r="DC17" s="228">
        <v>-0.02</v>
      </c>
      <c r="DD17" s="228">
        <v>33.47</v>
      </c>
      <c r="DE17" s="228">
        <v>33.549999999999997</v>
      </c>
      <c r="DF17" s="228">
        <v>-7.93</v>
      </c>
      <c r="DG17" s="228">
        <v>-0.08</v>
      </c>
      <c r="DH17" s="228">
        <v>25.36</v>
      </c>
      <c r="DI17" s="228">
        <v>25.53</v>
      </c>
      <c r="DJ17" s="228">
        <v>-0.17</v>
      </c>
      <c r="DK17" s="228">
        <v>-0.17</v>
      </c>
      <c r="DL17" s="228">
        <v>26</v>
      </c>
      <c r="DM17" s="228">
        <v>25.66</v>
      </c>
      <c r="DN17" s="228">
        <v>0.34</v>
      </c>
      <c r="DO17" s="228">
        <v>0.34</v>
      </c>
      <c r="DP17" s="228">
        <v>0.48</v>
      </c>
      <c r="DQ17" s="228">
        <v>0.46</v>
      </c>
      <c r="DR17" s="228">
        <v>0.02</v>
      </c>
      <c r="DS17" s="229">
        <v>4.3499999999999997E-2</v>
      </c>
      <c r="DT17" s="231">
        <v>1500</v>
      </c>
      <c r="DU17" s="231">
        <v>1400</v>
      </c>
      <c r="DV17" s="228">
        <v>0.39</v>
      </c>
      <c r="DW17" s="228">
        <v>0.37</v>
      </c>
      <c r="DX17" s="228">
        <v>0.02</v>
      </c>
      <c r="DY17" s="229">
        <v>5.4100000000000002E-2</v>
      </c>
      <c r="DZ17" s="229">
        <v>4.4600000000000001E-2</v>
      </c>
      <c r="EA17" s="230">
        <v>371025</v>
      </c>
      <c r="EB17" s="229">
        <v>3.5999999999999999E-3</v>
      </c>
      <c r="EC17" s="229">
        <v>4.4600000000000001E-2</v>
      </c>
      <c r="ED17" s="228">
        <v>5.46</v>
      </c>
      <c r="EE17" s="229">
        <v>3.8E-3</v>
      </c>
      <c r="EF17" s="230">
        <v>344323</v>
      </c>
      <c r="EG17" s="230">
        <v>298787</v>
      </c>
      <c r="EH17" s="229">
        <v>0.15240000000000001</v>
      </c>
      <c r="EI17" s="229">
        <v>0.72230000000000005</v>
      </c>
      <c r="EJ17" s="231">
        <v>24365.75</v>
      </c>
      <c r="EK17" s="231">
        <v>9083.61</v>
      </c>
      <c r="EL17" s="231">
        <v>17415.580000000002</v>
      </c>
      <c r="EM17" s="231">
        <v>3695</v>
      </c>
      <c r="EN17" s="231">
        <v>50864.94</v>
      </c>
      <c r="EO17" s="231">
        <v>156157.12</v>
      </c>
      <c r="EP17" s="231">
        <v>-105292.18</v>
      </c>
      <c r="EQ17" s="229">
        <v>-0.67430000000000001</v>
      </c>
      <c r="ER17" s="231">
        <v>47230</v>
      </c>
      <c r="ES17" s="231">
        <v>20945</v>
      </c>
      <c r="ET17" s="231">
        <v>131849</v>
      </c>
      <c r="EU17" s="231">
        <v>18495534</v>
      </c>
      <c r="EV17" s="231">
        <v>200024</v>
      </c>
      <c r="EW17" s="231">
        <v>200292</v>
      </c>
      <c r="EX17" s="228">
        <v>-268</v>
      </c>
      <c r="EY17" s="229">
        <v>-1.2999999999999999E-3</v>
      </c>
      <c r="EZ17" s="229">
        <v>0.746</v>
      </c>
      <c r="FA17" s="227" t="s">
        <v>556</v>
      </c>
      <c r="FB17" s="161">
        <f t="shared" si="0"/>
        <v>406725</v>
      </c>
    </row>
    <row r="18" spans="1:158" ht="17.25" hidden="1" thickBot="1" x14ac:dyDescent="0.3">
      <c r="A18" s="226">
        <v>45946</v>
      </c>
      <c r="B18" s="227" t="s">
        <v>172</v>
      </c>
      <c r="C18" s="227" t="s">
        <v>495</v>
      </c>
      <c r="D18" s="228">
        <v>1000</v>
      </c>
      <c r="E18" s="228">
        <v>799</v>
      </c>
      <c r="F18" s="228">
        <v>802.7</v>
      </c>
      <c r="G18" s="228">
        <v>-3.7</v>
      </c>
      <c r="H18" s="229">
        <v>-4.5999999999999999E-3</v>
      </c>
      <c r="I18" s="228">
        <v>798.5</v>
      </c>
      <c r="J18" s="228">
        <v>802.1</v>
      </c>
      <c r="K18" s="228">
        <v>-3.6</v>
      </c>
      <c r="L18" s="229">
        <v>-4.4999999999999997E-3</v>
      </c>
      <c r="M18" s="228">
        <v>799</v>
      </c>
      <c r="N18" s="228">
        <v>802.7</v>
      </c>
      <c r="O18" s="228">
        <v>-3.7</v>
      </c>
      <c r="P18" s="229">
        <v>-4.5999999999999999E-3</v>
      </c>
      <c r="Q18" s="228">
        <v>801.55</v>
      </c>
      <c r="R18" s="228">
        <v>805</v>
      </c>
      <c r="S18" s="228">
        <v>-3.45</v>
      </c>
      <c r="T18" s="229">
        <v>-4.3E-3</v>
      </c>
      <c r="U18" s="228">
        <v>802.8</v>
      </c>
      <c r="V18" s="228">
        <v>806.5</v>
      </c>
      <c r="W18" s="228">
        <v>-3.7</v>
      </c>
      <c r="X18" s="229">
        <v>-4.5999999999999999E-3</v>
      </c>
      <c r="Y18" s="228">
        <v>0.5</v>
      </c>
      <c r="Z18" s="228">
        <v>0.6</v>
      </c>
      <c r="AA18" s="228">
        <v>-0.1</v>
      </c>
      <c r="AB18" s="229">
        <v>5.9999999999999995E-4</v>
      </c>
      <c r="AC18" s="228">
        <v>0.5</v>
      </c>
      <c r="AD18" s="228">
        <v>0.6</v>
      </c>
      <c r="AE18" s="228">
        <v>-0.1</v>
      </c>
      <c r="AF18" s="229">
        <v>5.9999999999999995E-4</v>
      </c>
      <c r="AG18" s="228">
        <v>3.05</v>
      </c>
      <c r="AH18" s="228">
        <v>2.9</v>
      </c>
      <c r="AI18" s="228">
        <v>0.15</v>
      </c>
      <c r="AJ18" s="229">
        <v>3.8E-3</v>
      </c>
      <c r="AK18" s="228">
        <v>4.3</v>
      </c>
      <c r="AL18" s="228">
        <v>4.4000000000000004</v>
      </c>
      <c r="AM18" s="228">
        <v>-0.1</v>
      </c>
      <c r="AN18" s="229">
        <v>5.4000000000000003E-3</v>
      </c>
      <c r="AO18" s="228">
        <v>806.49</v>
      </c>
      <c r="AP18" s="228">
        <v>807.88</v>
      </c>
      <c r="AQ18" s="228">
        <v>0</v>
      </c>
      <c r="AR18" s="230">
        <v>7593000</v>
      </c>
      <c r="AS18" s="230">
        <v>10592000</v>
      </c>
      <c r="AT18" s="230">
        <v>-2999000</v>
      </c>
      <c r="AU18" s="229">
        <v>-0.28310000000000002</v>
      </c>
      <c r="AV18" s="230">
        <v>6834000</v>
      </c>
      <c r="AW18" s="230">
        <v>9963000</v>
      </c>
      <c r="AX18" s="230">
        <v>-3129000</v>
      </c>
      <c r="AY18" s="229">
        <v>-0.31409999999999999</v>
      </c>
      <c r="AZ18" s="230">
        <v>722000</v>
      </c>
      <c r="BA18" s="230">
        <v>564000</v>
      </c>
      <c r="BB18" s="230">
        <v>158000</v>
      </c>
      <c r="BC18" s="229">
        <v>0.28010000000000002</v>
      </c>
      <c r="BD18" s="230">
        <v>37000</v>
      </c>
      <c r="BE18" s="230">
        <v>65000</v>
      </c>
      <c r="BF18" s="230">
        <v>-28000</v>
      </c>
      <c r="BG18" s="229">
        <v>-0.43080000000000002</v>
      </c>
      <c r="BH18" s="230">
        <v>15390000</v>
      </c>
      <c r="BI18" s="230">
        <v>30931000</v>
      </c>
      <c r="BJ18" s="230">
        <v>-15541000</v>
      </c>
      <c r="BK18" s="229">
        <v>-0.50239999999999996</v>
      </c>
      <c r="BL18" s="230">
        <v>8738000</v>
      </c>
      <c r="BM18" s="230">
        <v>18994000</v>
      </c>
      <c r="BN18" s="230">
        <v>-10256000</v>
      </c>
      <c r="BO18" s="229">
        <v>-0.54</v>
      </c>
      <c r="BP18" s="230">
        <v>31721000</v>
      </c>
      <c r="BQ18" s="230">
        <v>60517000</v>
      </c>
      <c r="BR18" s="230">
        <v>-28796000</v>
      </c>
      <c r="BS18" s="229">
        <v>-0.4758</v>
      </c>
      <c r="BT18" s="230">
        <v>1917635</v>
      </c>
      <c r="BU18" s="230">
        <v>3957773</v>
      </c>
      <c r="BV18" s="230">
        <v>-2040138</v>
      </c>
      <c r="BW18" s="229">
        <v>-0.51549999999999996</v>
      </c>
      <c r="BX18" s="230">
        <v>21423000</v>
      </c>
      <c r="BY18" s="230">
        <v>21562000</v>
      </c>
      <c r="BZ18" s="230">
        <v>-139000</v>
      </c>
      <c r="CA18" s="229">
        <v>-6.4000000000000003E-3</v>
      </c>
      <c r="CB18" s="230">
        <v>20700000</v>
      </c>
      <c r="CC18" s="230">
        <v>21058000</v>
      </c>
      <c r="CD18" s="230">
        <v>-358000</v>
      </c>
      <c r="CE18" s="229">
        <v>-1.7000000000000001E-2</v>
      </c>
      <c r="CF18" s="230">
        <v>660000</v>
      </c>
      <c r="CG18" s="230">
        <v>446000</v>
      </c>
      <c r="CH18" s="230">
        <v>214000</v>
      </c>
      <c r="CI18" s="229">
        <v>0.4798</v>
      </c>
      <c r="CJ18" s="230">
        <v>63000</v>
      </c>
      <c r="CK18" s="230">
        <v>58000</v>
      </c>
      <c r="CL18" s="230">
        <v>5000</v>
      </c>
      <c r="CM18" s="229">
        <v>8.6199999999999999E-2</v>
      </c>
      <c r="CN18" s="230">
        <v>6634000</v>
      </c>
      <c r="CO18" s="230">
        <v>6079000</v>
      </c>
      <c r="CP18" s="230">
        <v>555000</v>
      </c>
      <c r="CQ18" s="229">
        <v>9.1300000000000006E-2</v>
      </c>
      <c r="CR18" s="230">
        <v>6309000</v>
      </c>
      <c r="CS18" s="230">
        <v>6360000</v>
      </c>
      <c r="CT18" s="230">
        <v>-51000</v>
      </c>
      <c r="CU18" s="229">
        <v>-8.0000000000000002E-3</v>
      </c>
      <c r="CV18" s="230">
        <v>34366000</v>
      </c>
      <c r="CW18" s="230">
        <v>34001000</v>
      </c>
      <c r="CX18" s="230">
        <v>365000</v>
      </c>
      <c r="CY18" s="229">
        <v>1.0699999999999999E-2</v>
      </c>
      <c r="CZ18" s="228">
        <v>36.549999999999997</v>
      </c>
      <c r="DA18" s="228">
        <v>34.76</v>
      </c>
      <c r="DB18" s="228">
        <v>1.79</v>
      </c>
      <c r="DC18" s="228">
        <v>1.79</v>
      </c>
      <c r="DD18" s="228">
        <v>36.04</v>
      </c>
      <c r="DE18" s="228">
        <v>36.119999999999997</v>
      </c>
      <c r="DF18" s="228">
        <v>0.51</v>
      </c>
      <c r="DG18" s="228">
        <v>-0.08</v>
      </c>
      <c r="DH18" s="228">
        <v>36.14</v>
      </c>
      <c r="DI18" s="228">
        <v>33.5</v>
      </c>
      <c r="DJ18" s="228">
        <v>2.64</v>
      </c>
      <c r="DK18" s="228">
        <v>2.64</v>
      </c>
      <c r="DL18" s="228">
        <v>37.28</v>
      </c>
      <c r="DM18" s="228">
        <v>36.799999999999997</v>
      </c>
      <c r="DN18" s="228">
        <v>0.48</v>
      </c>
      <c r="DO18" s="228">
        <v>0.48</v>
      </c>
      <c r="DP18" s="228">
        <v>0.95</v>
      </c>
      <c r="DQ18" s="228">
        <v>1.05</v>
      </c>
      <c r="DR18" s="228">
        <v>-0.1</v>
      </c>
      <c r="DS18" s="229">
        <v>-9.5200000000000007E-2</v>
      </c>
      <c r="DT18" s="228">
        <v>810</v>
      </c>
      <c r="DU18" s="228">
        <v>750</v>
      </c>
      <c r="DV18" s="228">
        <v>0.56999999999999995</v>
      </c>
      <c r="DW18" s="228">
        <v>0.61</v>
      </c>
      <c r="DX18" s="228">
        <v>-0.04</v>
      </c>
      <c r="DY18" s="229">
        <v>-6.5600000000000006E-2</v>
      </c>
      <c r="DZ18" s="229">
        <v>3.3700000000000001E-2</v>
      </c>
      <c r="EA18" s="230">
        <v>504000</v>
      </c>
      <c r="EB18" s="229">
        <v>3.2000000000000002E-3</v>
      </c>
      <c r="EC18" s="229">
        <v>3.3700000000000001E-2</v>
      </c>
      <c r="ED18" s="228">
        <v>1.39</v>
      </c>
      <c r="EE18" s="229">
        <v>1.6999999999999999E-3</v>
      </c>
      <c r="EF18" s="230">
        <v>918548</v>
      </c>
      <c r="EG18" s="230">
        <v>1376499</v>
      </c>
      <c r="EH18" s="229">
        <v>-0.3327</v>
      </c>
      <c r="EI18" s="229">
        <v>0.47899999999999998</v>
      </c>
      <c r="EJ18" s="231">
        <v>128711.01</v>
      </c>
      <c r="EK18" s="231">
        <v>68779.64</v>
      </c>
      <c r="EL18" s="231">
        <v>61248.81</v>
      </c>
      <c r="EM18" s="231">
        <v>5289</v>
      </c>
      <c r="EN18" s="231">
        <v>258739.46</v>
      </c>
      <c r="EO18" s="231">
        <v>487830.73</v>
      </c>
      <c r="EP18" s="231">
        <v>-229091.27</v>
      </c>
      <c r="EQ18" s="229">
        <v>-0.46960000000000002</v>
      </c>
      <c r="ER18" s="231">
        <v>53234</v>
      </c>
      <c r="ES18" s="231">
        <v>46964</v>
      </c>
      <c r="ET18" s="231">
        <v>171189</v>
      </c>
      <c r="EU18" s="231">
        <v>86234186</v>
      </c>
      <c r="EV18" s="231">
        <v>271387</v>
      </c>
      <c r="EW18" s="231">
        <v>268771</v>
      </c>
      <c r="EX18" s="231">
        <v>2616</v>
      </c>
      <c r="EY18" s="229">
        <v>9.7000000000000003E-3</v>
      </c>
      <c r="EZ18" s="229">
        <v>0.39850000000000002</v>
      </c>
      <c r="FA18" s="227" t="s">
        <v>568</v>
      </c>
      <c r="FB18" s="161">
        <f t="shared" si="0"/>
        <v>723000</v>
      </c>
    </row>
    <row r="19" spans="1:158" ht="17.25" hidden="1" thickBot="1" x14ac:dyDescent="0.3">
      <c r="A19" s="226">
        <v>45946</v>
      </c>
      <c r="B19" s="227" t="s">
        <v>170</v>
      </c>
      <c r="C19" s="227" t="s">
        <v>171</v>
      </c>
      <c r="D19" s="228">
        <v>550</v>
      </c>
      <c r="E19" s="231">
        <v>1110.7</v>
      </c>
      <c r="F19" s="231">
        <v>1114.5999999999999</v>
      </c>
      <c r="G19" s="228">
        <v>-3.9</v>
      </c>
      <c r="H19" s="229">
        <v>-3.5000000000000001E-3</v>
      </c>
      <c r="I19" s="231">
        <v>1106.3</v>
      </c>
      <c r="J19" s="231">
        <v>1109</v>
      </c>
      <c r="K19" s="228">
        <v>-2.7</v>
      </c>
      <c r="L19" s="229">
        <v>-2.3999999999999998E-3</v>
      </c>
      <c r="M19" s="231">
        <v>1110.7</v>
      </c>
      <c r="N19" s="231">
        <v>1114.5999999999999</v>
      </c>
      <c r="O19" s="228">
        <v>-3.9</v>
      </c>
      <c r="P19" s="229">
        <v>-3.5000000000000001E-3</v>
      </c>
      <c r="Q19" s="231">
        <v>1116.4000000000001</v>
      </c>
      <c r="R19" s="231">
        <v>1119.8</v>
      </c>
      <c r="S19" s="228">
        <v>-3.4</v>
      </c>
      <c r="T19" s="229">
        <v>-3.0000000000000001E-3</v>
      </c>
      <c r="U19" s="231">
        <v>1123.9000000000001</v>
      </c>
      <c r="V19" s="231">
        <v>1127.4000000000001</v>
      </c>
      <c r="W19" s="228">
        <v>-3.5</v>
      </c>
      <c r="X19" s="229">
        <v>-3.0999999999999999E-3</v>
      </c>
      <c r="Y19" s="228">
        <v>4.4000000000000004</v>
      </c>
      <c r="Z19" s="228">
        <v>5.6</v>
      </c>
      <c r="AA19" s="228">
        <v>-1.2</v>
      </c>
      <c r="AB19" s="229">
        <v>4.0000000000000001E-3</v>
      </c>
      <c r="AC19" s="228">
        <v>4.4000000000000004</v>
      </c>
      <c r="AD19" s="228">
        <v>5.6</v>
      </c>
      <c r="AE19" s="228">
        <v>-1.2</v>
      </c>
      <c r="AF19" s="229">
        <v>4.0000000000000001E-3</v>
      </c>
      <c r="AG19" s="228">
        <v>10.1</v>
      </c>
      <c r="AH19" s="228">
        <v>10.8</v>
      </c>
      <c r="AI19" s="228">
        <v>-0.7</v>
      </c>
      <c r="AJ19" s="229">
        <v>9.1000000000000004E-3</v>
      </c>
      <c r="AK19" s="228">
        <v>17.600000000000001</v>
      </c>
      <c r="AL19" s="228">
        <v>18.399999999999999</v>
      </c>
      <c r="AM19" s="228">
        <v>-0.8</v>
      </c>
      <c r="AN19" s="229">
        <v>1.5900000000000001E-2</v>
      </c>
      <c r="AO19" s="231">
        <v>1111.3699999999999</v>
      </c>
      <c r="AP19" s="231">
        <v>1115.8499999999999</v>
      </c>
      <c r="AQ19" s="228">
        <v>0</v>
      </c>
      <c r="AR19" s="230">
        <v>3062400</v>
      </c>
      <c r="AS19" s="230">
        <v>2229700</v>
      </c>
      <c r="AT19" s="230">
        <v>832700</v>
      </c>
      <c r="AU19" s="229">
        <v>0.3735</v>
      </c>
      <c r="AV19" s="230">
        <v>2660900</v>
      </c>
      <c r="AW19" s="230">
        <v>1919500</v>
      </c>
      <c r="AX19" s="230">
        <v>741400</v>
      </c>
      <c r="AY19" s="229">
        <v>0.38619999999999999</v>
      </c>
      <c r="AZ19" s="230">
        <v>390500</v>
      </c>
      <c r="BA19" s="230">
        <v>302500</v>
      </c>
      <c r="BB19" s="230">
        <v>88000</v>
      </c>
      <c r="BC19" s="229">
        <v>0.29089999999999999</v>
      </c>
      <c r="BD19" s="230">
        <v>11000</v>
      </c>
      <c r="BE19" s="230">
        <v>7700</v>
      </c>
      <c r="BF19" s="230">
        <v>3300</v>
      </c>
      <c r="BG19" s="229">
        <v>0.42859999999999998</v>
      </c>
      <c r="BH19" s="230">
        <v>4711300</v>
      </c>
      <c r="BI19" s="230">
        <v>3204300</v>
      </c>
      <c r="BJ19" s="230">
        <v>1507000</v>
      </c>
      <c r="BK19" s="229">
        <v>0.4703</v>
      </c>
      <c r="BL19" s="230">
        <v>1805650</v>
      </c>
      <c r="BM19" s="230">
        <v>1949750</v>
      </c>
      <c r="BN19" s="230">
        <v>-144100</v>
      </c>
      <c r="BO19" s="229">
        <v>-7.3899999999999993E-2</v>
      </c>
      <c r="BP19" s="230">
        <v>9579350</v>
      </c>
      <c r="BQ19" s="230">
        <v>7383750</v>
      </c>
      <c r="BR19" s="230">
        <v>2195600</v>
      </c>
      <c r="BS19" s="229">
        <v>0.2974</v>
      </c>
      <c r="BT19" s="230">
        <v>1733236</v>
      </c>
      <c r="BU19" s="230">
        <v>554326</v>
      </c>
      <c r="BV19" s="230">
        <v>1178910</v>
      </c>
      <c r="BW19" s="229">
        <v>2.1267</v>
      </c>
      <c r="BX19" s="230">
        <v>23064250</v>
      </c>
      <c r="BY19" s="230">
        <v>22733150</v>
      </c>
      <c r="BZ19" s="230">
        <v>331100</v>
      </c>
      <c r="CA19" s="229">
        <v>1.46E-2</v>
      </c>
      <c r="CB19" s="230">
        <v>22243650</v>
      </c>
      <c r="CC19" s="230">
        <v>22097350</v>
      </c>
      <c r="CD19" s="230">
        <v>146300</v>
      </c>
      <c r="CE19" s="229">
        <v>6.6E-3</v>
      </c>
      <c r="CF19" s="230">
        <v>787050</v>
      </c>
      <c r="CG19" s="230">
        <v>607200</v>
      </c>
      <c r="CH19" s="230">
        <v>179850</v>
      </c>
      <c r="CI19" s="229">
        <v>0.29620000000000002</v>
      </c>
      <c r="CJ19" s="230">
        <v>33550</v>
      </c>
      <c r="CK19" s="230">
        <v>28600</v>
      </c>
      <c r="CL19" s="230">
        <v>4950</v>
      </c>
      <c r="CM19" s="229">
        <v>0.1731</v>
      </c>
      <c r="CN19" s="230">
        <v>4691500</v>
      </c>
      <c r="CO19" s="230">
        <v>4606800</v>
      </c>
      <c r="CP19" s="230">
        <v>84700</v>
      </c>
      <c r="CQ19" s="229">
        <v>1.84E-2</v>
      </c>
      <c r="CR19" s="230">
        <v>3005200</v>
      </c>
      <c r="CS19" s="230">
        <v>2934800</v>
      </c>
      <c r="CT19" s="230">
        <v>70400</v>
      </c>
      <c r="CU19" s="229">
        <v>2.4E-2</v>
      </c>
      <c r="CV19" s="230">
        <v>30760950</v>
      </c>
      <c r="CW19" s="230">
        <v>30274750</v>
      </c>
      <c r="CX19" s="230">
        <v>486200</v>
      </c>
      <c r="CY19" s="229">
        <v>1.61E-2</v>
      </c>
      <c r="CZ19" s="228">
        <v>28.39</v>
      </c>
      <c r="DA19" s="228">
        <v>28.93</v>
      </c>
      <c r="DB19" s="228">
        <v>-0.54</v>
      </c>
      <c r="DC19" s="228">
        <v>-0.54</v>
      </c>
      <c r="DD19" s="228">
        <v>34.79</v>
      </c>
      <c r="DE19" s="228">
        <v>34.869999999999997</v>
      </c>
      <c r="DF19" s="228">
        <v>-6.4</v>
      </c>
      <c r="DG19" s="228">
        <v>-0.08</v>
      </c>
      <c r="DH19" s="228">
        <v>28.47</v>
      </c>
      <c r="DI19" s="228">
        <v>28.86</v>
      </c>
      <c r="DJ19" s="228">
        <v>-0.39</v>
      </c>
      <c r="DK19" s="228">
        <v>-0.39</v>
      </c>
      <c r="DL19" s="228">
        <v>28.2</v>
      </c>
      <c r="DM19" s="228">
        <v>29.04</v>
      </c>
      <c r="DN19" s="228">
        <v>-0.84</v>
      </c>
      <c r="DO19" s="228">
        <v>-0.84</v>
      </c>
      <c r="DP19" s="228">
        <v>0.64</v>
      </c>
      <c r="DQ19" s="228">
        <v>0.64</v>
      </c>
      <c r="DR19" s="228">
        <v>0</v>
      </c>
      <c r="DS19" s="229">
        <v>0</v>
      </c>
      <c r="DT19" s="231">
        <v>1100</v>
      </c>
      <c r="DU19" s="231">
        <v>1100</v>
      </c>
      <c r="DV19" s="228">
        <v>0.38</v>
      </c>
      <c r="DW19" s="228">
        <v>0.61</v>
      </c>
      <c r="DX19" s="228">
        <v>-0.23</v>
      </c>
      <c r="DY19" s="229">
        <v>-0.377</v>
      </c>
      <c r="DZ19" s="229">
        <v>3.56E-2</v>
      </c>
      <c r="EA19" s="230">
        <v>635800</v>
      </c>
      <c r="EB19" s="229">
        <v>5.1000000000000004E-3</v>
      </c>
      <c r="EC19" s="229">
        <v>3.56E-2</v>
      </c>
      <c r="ED19" s="228">
        <v>4.4800000000000004</v>
      </c>
      <c r="EE19" s="229">
        <v>4.0000000000000001E-3</v>
      </c>
      <c r="EF19" s="230">
        <v>1145380</v>
      </c>
      <c r="EG19" s="230">
        <v>304510</v>
      </c>
      <c r="EH19" s="229">
        <v>2.7614000000000001</v>
      </c>
      <c r="EI19" s="229">
        <v>0.66080000000000005</v>
      </c>
      <c r="EJ19" s="231">
        <v>54525.05</v>
      </c>
      <c r="EK19" s="231">
        <v>20213.55</v>
      </c>
      <c r="EL19" s="231">
        <v>34053.089999999997</v>
      </c>
      <c r="EM19" s="231">
        <v>6746</v>
      </c>
      <c r="EN19" s="231">
        <v>108791.69</v>
      </c>
      <c r="EO19" s="231">
        <v>84049.43</v>
      </c>
      <c r="EP19" s="231">
        <v>24742.26</v>
      </c>
      <c r="EQ19" s="229">
        <v>0.2944</v>
      </c>
      <c r="ER19" s="231">
        <v>54197</v>
      </c>
      <c r="ES19" s="231">
        <v>32215</v>
      </c>
      <c r="ET19" s="231">
        <v>256224</v>
      </c>
      <c r="EU19" s="231">
        <v>41977935</v>
      </c>
      <c r="EV19" s="231">
        <v>342635</v>
      </c>
      <c r="EW19" s="231">
        <v>338118</v>
      </c>
      <c r="EX19" s="231">
        <v>4517</v>
      </c>
      <c r="EY19" s="229">
        <v>1.34E-2</v>
      </c>
      <c r="EZ19" s="229">
        <v>0.73280000000000001</v>
      </c>
      <c r="FA19" s="227" t="s">
        <v>567</v>
      </c>
      <c r="FB19" s="161">
        <f t="shared" si="0"/>
        <v>820600</v>
      </c>
    </row>
    <row r="20" spans="1:158" ht="17.25" hidden="1" thickBot="1" x14ac:dyDescent="0.3">
      <c r="A20" s="226">
        <v>45946</v>
      </c>
      <c r="B20" s="227" t="s">
        <v>172</v>
      </c>
      <c r="C20" s="227" t="s">
        <v>173</v>
      </c>
      <c r="D20" s="228">
        <v>625</v>
      </c>
      <c r="E20" s="231">
        <v>1197.5999999999999</v>
      </c>
      <c r="F20" s="231">
        <v>1174.5999999999999</v>
      </c>
      <c r="G20" s="228">
        <v>23</v>
      </c>
      <c r="H20" s="229">
        <v>1.9599999999999999E-2</v>
      </c>
      <c r="I20" s="231">
        <v>1196.3</v>
      </c>
      <c r="J20" s="231">
        <v>1169.5999999999999</v>
      </c>
      <c r="K20" s="228">
        <v>26.7</v>
      </c>
      <c r="L20" s="229">
        <v>2.2800000000000001E-2</v>
      </c>
      <c r="M20" s="231">
        <v>1197.5999999999999</v>
      </c>
      <c r="N20" s="231">
        <v>1174.5999999999999</v>
      </c>
      <c r="O20" s="228">
        <v>23</v>
      </c>
      <c r="P20" s="229">
        <v>1.9599999999999999E-2</v>
      </c>
      <c r="Q20" s="231">
        <v>1204.3</v>
      </c>
      <c r="R20" s="231">
        <v>1180.7</v>
      </c>
      <c r="S20" s="228">
        <v>23.6</v>
      </c>
      <c r="T20" s="229">
        <v>0.02</v>
      </c>
      <c r="U20" s="231">
        <v>1211.2</v>
      </c>
      <c r="V20" s="231">
        <v>1188.5999999999999</v>
      </c>
      <c r="W20" s="228">
        <v>22.6</v>
      </c>
      <c r="X20" s="229">
        <v>1.9E-2</v>
      </c>
      <c r="Y20" s="228">
        <v>1.3</v>
      </c>
      <c r="Z20" s="228">
        <v>5</v>
      </c>
      <c r="AA20" s="228">
        <v>-3.7</v>
      </c>
      <c r="AB20" s="229">
        <v>1.1000000000000001E-3</v>
      </c>
      <c r="AC20" s="228">
        <v>1.3</v>
      </c>
      <c r="AD20" s="228">
        <v>5</v>
      </c>
      <c r="AE20" s="228">
        <v>-3.7</v>
      </c>
      <c r="AF20" s="229">
        <v>1.1000000000000001E-3</v>
      </c>
      <c r="AG20" s="228">
        <v>8</v>
      </c>
      <c r="AH20" s="228">
        <v>11.1</v>
      </c>
      <c r="AI20" s="228">
        <v>-3.1</v>
      </c>
      <c r="AJ20" s="229">
        <v>6.7000000000000002E-3</v>
      </c>
      <c r="AK20" s="228">
        <v>14.9</v>
      </c>
      <c r="AL20" s="228">
        <v>19</v>
      </c>
      <c r="AM20" s="228">
        <v>-4.0999999999999996</v>
      </c>
      <c r="AN20" s="229">
        <v>1.2500000000000001E-2</v>
      </c>
      <c r="AO20" s="231">
        <v>1200.3499999999999</v>
      </c>
      <c r="AP20" s="231">
        <v>1206.1400000000001</v>
      </c>
      <c r="AQ20" s="228">
        <v>0</v>
      </c>
      <c r="AR20" s="230">
        <v>28277500</v>
      </c>
      <c r="AS20" s="230">
        <v>16728125</v>
      </c>
      <c r="AT20" s="230">
        <v>11549375</v>
      </c>
      <c r="AU20" s="229">
        <v>0.69040000000000001</v>
      </c>
      <c r="AV20" s="230">
        <v>25667500</v>
      </c>
      <c r="AW20" s="230">
        <v>15325000</v>
      </c>
      <c r="AX20" s="230">
        <v>10342500</v>
      </c>
      <c r="AY20" s="229">
        <v>0.67490000000000006</v>
      </c>
      <c r="AZ20" s="230">
        <v>2495000</v>
      </c>
      <c r="BA20" s="230">
        <v>1358125</v>
      </c>
      <c r="BB20" s="230">
        <v>1136875</v>
      </c>
      <c r="BC20" s="229">
        <v>0.83709999999999996</v>
      </c>
      <c r="BD20" s="230">
        <v>115000</v>
      </c>
      <c r="BE20" s="230">
        <v>45000</v>
      </c>
      <c r="BF20" s="230">
        <v>70000</v>
      </c>
      <c r="BG20" s="229">
        <v>1.5556000000000001</v>
      </c>
      <c r="BH20" s="230">
        <v>123824375</v>
      </c>
      <c r="BI20" s="230">
        <v>49746250</v>
      </c>
      <c r="BJ20" s="230">
        <v>74078125</v>
      </c>
      <c r="BK20" s="229">
        <v>1.4891000000000001</v>
      </c>
      <c r="BL20" s="230">
        <v>89415000</v>
      </c>
      <c r="BM20" s="230">
        <v>37412500</v>
      </c>
      <c r="BN20" s="230">
        <v>52002500</v>
      </c>
      <c r="BO20" s="229">
        <v>1.39</v>
      </c>
      <c r="BP20" s="230">
        <v>241516875</v>
      </c>
      <c r="BQ20" s="230">
        <v>103886875</v>
      </c>
      <c r="BR20" s="230">
        <v>137630000</v>
      </c>
      <c r="BS20" s="229">
        <v>1.3248</v>
      </c>
      <c r="BT20" s="230">
        <v>18646244</v>
      </c>
      <c r="BU20" s="230">
        <v>6532725</v>
      </c>
      <c r="BV20" s="230">
        <v>12113519</v>
      </c>
      <c r="BW20" s="229">
        <v>1.8543000000000001</v>
      </c>
      <c r="BX20" s="230">
        <v>76499375</v>
      </c>
      <c r="BY20" s="230">
        <v>79362500</v>
      </c>
      <c r="BZ20" s="230">
        <v>-2863125</v>
      </c>
      <c r="CA20" s="229">
        <v>-3.61E-2</v>
      </c>
      <c r="CB20" s="230">
        <v>73357500</v>
      </c>
      <c r="CC20" s="230">
        <v>76843750</v>
      </c>
      <c r="CD20" s="230">
        <v>-3486250</v>
      </c>
      <c r="CE20" s="229">
        <v>-4.5400000000000003E-2</v>
      </c>
      <c r="CF20" s="230">
        <v>2936250</v>
      </c>
      <c r="CG20" s="230">
        <v>2331875</v>
      </c>
      <c r="CH20" s="230">
        <v>604375</v>
      </c>
      <c r="CI20" s="229">
        <v>0.25919999999999999</v>
      </c>
      <c r="CJ20" s="230">
        <v>205625</v>
      </c>
      <c r="CK20" s="230">
        <v>186875</v>
      </c>
      <c r="CL20" s="230">
        <v>18750</v>
      </c>
      <c r="CM20" s="229">
        <v>0.1003</v>
      </c>
      <c r="CN20" s="230">
        <v>32700000</v>
      </c>
      <c r="CO20" s="230">
        <v>32116250</v>
      </c>
      <c r="CP20" s="230">
        <v>583750</v>
      </c>
      <c r="CQ20" s="229">
        <v>1.8200000000000001E-2</v>
      </c>
      <c r="CR20" s="230">
        <v>18995000</v>
      </c>
      <c r="CS20" s="230">
        <v>19630625</v>
      </c>
      <c r="CT20" s="230">
        <v>-635625</v>
      </c>
      <c r="CU20" s="229">
        <v>-3.2399999999999998E-2</v>
      </c>
      <c r="CV20" s="230">
        <v>128194375</v>
      </c>
      <c r="CW20" s="230">
        <v>131109375</v>
      </c>
      <c r="CX20" s="230">
        <v>-2915000</v>
      </c>
      <c r="CY20" s="229">
        <v>-2.2200000000000001E-2</v>
      </c>
      <c r="CZ20" s="228">
        <v>19.309999999999999</v>
      </c>
      <c r="DA20" s="228">
        <v>28.3</v>
      </c>
      <c r="DB20" s="228">
        <v>-8.99</v>
      </c>
      <c r="DC20" s="228">
        <v>-8.99</v>
      </c>
      <c r="DD20" s="228">
        <v>26.99</v>
      </c>
      <c r="DE20" s="228">
        <v>26.88</v>
      </c>
      <c r="DF20" s="228">
        <v>-7.68</v>
      </c>
      <c r="DG20" s="228">
        <v>0.11</v>
      </c>
      <c r="DH20" s="228">
        <v>18.38</v>
      </c>
      <c r="DI20" s="228">
        <v>27.37</v>
      </c>
      <c r="DJ20" s="228">
        <v>-8.99</v>
      </c>
      <c r="DK20" s="228">
        <v>-8.99</v>
      </c>
      <c r="DL20" s="228">
        <v>20.6</v>
      </c>
      <c r="DM20" s="228">
        <v>29.53</v>
      </c>
      <c r="DN20" s="228">
        <v>-8.93</v>
      </c>
      <c r="DO20" s="228">
        <v>-8.93</v>
      </c>
      <c r="DP20" s="228">
        <v>0.57999999999999996</v>
      </c>
      <c r="DQ20" s="228">
        <v>0.61</v>
      </c>
      <c r="DR20" s="228">
        <v>-0.03</v>
      </c>
      <c r="DS20" s="229">
        <v>-4.9200000000000001E-2</v>
      </c>
      <c r="DT20" s="231">
        <v>1200</v>
      </c>
      <c r="DU20" s="231">
        <v>1200</v>
      </c>
      <c r="DV20" s="228">
        <v>0.72</v>
      </c>
      <c r="DW20" s="228">
        <v>0.75</v>
      </c>
      <c r="DX20" s="228">
        <v>-0.03</v>
      </c>
      <c r="DY20" s="229">
        <v>-0.04</v>
      </c>
      <c r="DZ20" s="229">
        <v>4.1099999999999998E-2</v>
      </c>
      <c r="EA20" s="230">
        <v>2518750</v>
      </c>
      <c r="EB20" s="229">
        <v>5.5999999999999999E-3</v>
      </c>
      <c r="EC20" s="229">
        <v>4.1099999999999998E-2</v>
      </c>
      <c r="ED20" s="228">
        <v>5.79</v>
      </c>
      <c r="EE20" s="229">
        <v>4.7999999999999996E-3</v>
      </c>
      <c r="EF20" s="230">
        <v>11057192</v>
      </c>
      <c r="EG20" s="230">
        <v>4217733</v>
      </c>
      <c r="EH20" s="229">
        <v>1.6215999999999999</v>
      </c>
      <c r="EI20" s="229">
        <v>0.59299999999999997</v>
      </c>
      <c r="EJ20" s="231">
        <v>1523422.61</v>
      </c>
      <c r="EK20" s="231">
        <v>1050616.57</v>
      </c>
      <c r="EL20" s="231">
        <v>339588.3</v>
      </c>
      <c r="EM20" s="231">
        <v>21128</v>
      </c>
      <c r="EN20" s="231">
        <v>2913627.48</v>
      </c>
      <c r="EO20" s="231">
        <v>1235428.43</v>
      </c>
      <c r="EP20" s="231">
        <v>1678199.05</v>
      </c>
      <c r="EQ20" s="229">
        <v>1.3584000000000001</v>
      </c>
      <c r="ER20" s="231">
        <v>395954</v>
      </c>
      <c r="ES20" s="231">
        <v>218000</v>
      </c>
      <c r="ET20" s="231">
        <v>916381</v>
      </c>
      <c r="EU20" s="231">
        <v>316147681</v>
      </c>
      <c r="EV20" s="231">
        <v>1530335</v>
      </c>
      <c r="EW20" s="231">
        <v>1542904</v>
      </c>
      <c r="EX20" s="231">
        <v>-12569</v>
      </c>
      <c r="EY20" s="229">
        <v>-8.0999999999999996E-3</v>
      </c>
      <c r="EZ20" s="229">
        <v>0.40550000000000003</v>
      </c>
      <c r="FA20" s="227" t="s">
        <v>556</v>
      </c>
      <c r="FB20" s="161">
        <f t="shared" si="0"/>
        <v>3141875</v>
      </c>
    </row>
    <row r="21" spans="1:158" ht="17.25" hidden="1" thickBot="1" x14ac:dyDescent="0.3">
      <c r="A21" s="226">
        <v>45946</v>
      </c>
      <c r="B21" s="227" t="s">
        <v>162</v>
      </c>
      <c r="C21" s="227" t="s">
        <v>174</v>
      </c>
      <c r="D21" s="228">
        <v>75</v>
      </c>
      <c r="E21" s="231">
        <v>9158</v>
      </c>
      <c r="F21" s="231">
        <v>9036.5</v>
      </c>
      <c r="G21" s="228">
        <v>121.5</v>
      </c>
      <c r="H21" s="229">
        <v>1.34E-2</v>
      </c>
      <c r="I21" s="231">
        <v>9151.5</v>
      </c>
      <c r="J21" s="231">
        <v>8998</v>
      </c>
      <c r="K21" s="228">
        <v>153.5</v>
      </c>
      <c r="L21" s="229">
        <v>1.7100000000000001E-2</v>
      </c>
      <c r="M21" s="231">
        <v>9158</v>
      </c>
      <c r="N21" s="231">
        <v>9036.5</v>
      </c>
      <c r="O21" s="228">
        <v>121.5</v>
      </c>
      <c r="P21" s="229">
        <v>1.34E-2</v>
      </c>
      <c r="Q21" s="231">
        <v>9184</v>
      </c>
      <c r="R21" s="231">
        <v>9067.5</v>
      </c>
      <c r="S21" s="228">
        <v>116.5</v>
      </c>
      <c r="T21" s="229">
        <v>1.2800000000000001E-2</v>
      </c>
      <c r="U21" s="231">
        <v>9219.5</v>
      </c>
      <c r="V21" s="231">
        <v>9104.5</v>
      </c>
      <c r="W21" s="228">
        <v>115</v>
      </c>
      <c r="X21" s="229">
        <v>1.26E-2</v>
      </c>
      <c r="Y21" s="228">
        <v>6.5</v>
      </c>
      <c r="Z21" s="228">
        <v>38.5</v>
      </c>
      <c r="AA21" s="228">
        <v>-32</v>
      </c>
      <c r="AB21" s="229">
        <v>6.9999999999999999E-4</v>
      </c>
      <c r="AC21" s="228">
        <v>6.5</v>
      </c>
      <c r="AD21" s="228">
        <v>38.5</v>
      </c>
      <c r="AE21" s="228">
        <v>-32</v>
      </c>
      <c r="AF21" s="229">
        <v>6.9999999999999999E-4</v>
      </c>
      <c r="AG21" s="228">
        <v>32.5</v>
      </c>
      <c r="AH21" s="228">
        <v>69.5</v>
      </c>
      <c r="AI21" s="228">
        <v>-37</v>
      </c>
      <c r="AJ21" s="229">
        <v>3.5999999999999999E-3</v>
      </c>
      <c r="AK21" s="228">
        <v>68</v>
      </c>
      <c r="AL21" s="228">
        <v>106.5</v>
      </c>
      <c r="AM21" s="228">
        <v>-38.5</v>
      </c>
      <c r="AN21" s="229">
        <v>7.4000000000000003E-3</v>
      </c>
      <c r="AO21" s="231">
        <v>9158.2999999999993</v>
      </c>
      <c r="AP21" s="231">
        <v>9178.58</v>
      </c>
      <c r="AQ21" s="228">
        <v>0</v>
      </c>
      <c r="AR21" s="230">
        <v>634800</v>
      </c>
      <c r="AS21" s="230">
        <v>793350</v>
      </c>
      <c r="AT21" s="230">
        <v>-158550</v>
      </c>
      <c r="AU21" s="229">
        <v>-0.19980000000000001</v>
      </c>
      <c r="AV21" s="230">
        <v>549825</v>
      </c>
      <c r="AW21" s="230">
        <v>679200</v>
      </c>
      <c r="AX21" s="230">
        <v>-129375</v>
      </c>
      <c r="AY21" s="229">
        <v>-0.1905</v>
      </c>
      <c r="AZ21" s="230">
        <v>77400</v>
      </c>
      <c r="BA21" s="230">
        <v>107400</v>
      </c>
      <c r="BB21" s="230">
        <v>-30000</v>
      </c>
      <c r="BC21" s="229">
        <v>-0.27929999999999999</v>
      </c>
      <c r="BD21" s="230">
        <v>7575</v>
      </c>
      <c r="BE21" s="230">
        <v>6750</v>
      </c>
      <c r="BF21" s="228">
        <v>825</v>
      </c>
      <c r="BG21" s="229">
        <v>0.1222</v>
      </c>
      <c r="BH21" s="230">
        <v>3465975</v>
      </c>
      <c r="BI21" s="230">
        <v>4300875</v>
      </c>
      <c r="BJ21" s="230">
        <v>-834900</v>
      </c>
      <c r="BK21" s="229">
        <v>-0.19409999999999999</v>
      </c>
      <c r="BL21" s="230">
        <v>1445250</v>
      </c>
      <c r="BM21" s="230">
        <v>2484975</v>
      </c>
      <c r="BN21" s="230">
        <v>-1039725</v>
      </c>
      <c r="BO21" s="229">
        <v>-0.41839999999999999</v>
      </c>
      <c r="BP21" s="230">
        <v>5546025</v>
      </c>
      <c r="BQ21" s="230">
        <v>7579200</v>
      </c>
      <c r="BR21" s="230">
        <v>-2033175</v>
      </c>
      <c r="BS21" s="229">
        <v>-0.26829999999999998</v>
      </c>
      <c r="BT21" s="230">
        <v>356188</v>
      </c>
      <c r="BU21" s="230">
        <v>311090</v>
      </c>
      <c r="BV21" s="230">
        <v>45098</v>
      </c>
      <c r="BW21" s="229">
        <v>0.14499999999999999</v>
      </c>
      <c r="BX21" s="230">
        <v>3056325</v>
      </c>
      <c r="BY21" s="230">
        <v>3063150</v>
      </c>
      <c r="BZ21" s="230">
        <v>-6825</v>
      </c>
      <c r="CA21" s="229">
        <v>-2.2000000000000001E-3</v>
      </c>
      <c r="CB21" s="230">
        <v>2882325</v>
      </c>
      <c r="CC21" s="230">
        <v>2906400</v>
      </c>
      <c r="CD21" s="230">
        <v>-24075</v>
      </c>
      <c r="CE21" s="229">
        <v>-8.3000000000000001E-3</v>
      </c>
      <c r="CF21" s="230">
        <v>155775</v>
      </c>
      <c r="CG21" s="230">
        <v>140400</v>
      </c>
      <c r="CH21" s="230">
        <v>15375</v>
      </c>
      <c r="CI21" s="229">
        <v>0.1095</v>
      </c>
      <c r="CJ21" s="230">
        <v>18225</v>
      </c>
      <c r="CK21" s="230">
        <v>16350</v>
      </c>
      <c r="CL21" s="230">
        <v>1875</v>
      </c>
      <c r="CM21" s="229">
        <v>0.1147</v>
      </c>
      <c r="CN21" s="230">
        <v>1574475</v>
      </c>
      <c r="CO21" s="230">
        <v>1792200</v>
      </c>
      <c r="CP21" s="230">
        <v>-217725</v>
      </c>
      <c r="CQ21" s="229">
        <v>-0.1215</v>
      </c>
      <c r="CR21" s="230">
        <v>1057200</v>
      </c>
      <c r="CS21" s="230">
        <v>1090275</v>
      </c>
      <c r="CT21" s="230">
        <v>-33075</v>
      </c>
      <c r="CU21" s="229">
        <v>-3.0300000000000001E-2</v>
      </c>
      <c r="CV21" s="230">
        <v>5688000</v>
      </c>
      <c r="CW21" s="230">
        <v>5945625</v>
      </c>
      <c r="CX21" s="230">
        <v>-257625</v>
      </c>
      <c r="CY21" s="229">
        <v>-4.3299999999999998E-2</v>
      </c>
      <c r="CZ21" s="228">
        <v>21.52</v>
      </c>
      <c r="DA21" s="228">
        <v>23.41</v>
      </c>
      <c r="DB21" s="228">
        <v>-1.89</v>
      </c>
      <c r="DC21" s="228">
        <v>-1.89</v>
      </c>
      <c r="DD21" s="228">
        <v>30.52</v>
      </c>
      <c r="DE21" s="228">
        <v>30.51</v>
      </c>
      <c r="DF21" s="228">
        <v>-9</v>
      </c>
      <c r="DG21" s="228">
        <v>0.01</v>
      </c>
      <c r="DH21" s="228">
        <v>21.37</v>
      </c>
      <c r="DI21" s="228">
        <v>23.47</v>
      </c>
      <c r="DJ21" s="228">
        <v>-2.1</v>
      </c>
      <c r="DK21" s="228">
        <v>-2.1</v>
      </c>
      <c r="DL21" s="228">
        <v>21.88</v>
      </c>
      <c r="DM21" s="228">
        <v>23.31</v>
      </c>
      <c r="DN21" s="228">
        <v>-1.43</v>
      </c>
      <c r="DO21" s="228">
        <v>-1.43</v>
      </c>
      <c r="DP21" s="228">
        <v>0.67</v>
      </c>
      <c r="DQ21" s="228">
        <v>0.61</v>
      </c>
      <c r="DR21" s="228">
        <v>0.06</v>
      </c>
      <c r="DS21" s="229">
        <v>9.8400000000000001E-2</v>
      </c>
      <c r="DT21" s="231">
        <v>10000</v>
      </c>
      <c r="DU21" s="231">
        <v>8800</v>
      </c>
      <c r="DV21" s="228">
        <v>0.42</v>
      </c>
      <c r="DW21" s="228">
        <v>0.57999999999999996</v>
      </c>
      <c r="DX21" s="228">
        <v>-0.16</v>
      </c>
      <c r="DY21" s="229">
        <v>-0.27589999999999998</v>
      </c>
      <c r="DZ21" s="229">
        <v>5.6899999999999999E-2</v>
      </c>
      <c r="EA21" s="230">
        <v>156750</v>
      </c>
      <c r="EB21" s="229">
        <v>2.8E-3</v>
      </c>
      <c r="EC21" s="229">
        <v>5.6899999999999999E-2</v>
      </c>
      <c r="ED21" s="228">
        <v>20.28</v>
      </c>
      <c r="EE21" s="229">
        <v>2.2000000000000001E-3</v>
      </c>
      <c r="EF21" s="230">
        <v>203113</v>
      </c>
      <c r="EG21" s="230">
        <v>140098</v>
      </c>
      <c r="EH21" s="229">
        <v>0.44979999999999998</v>
      </c>
      <c r="EI21" s="229">
        <v>0.57020000000000004</v>
      </c>
      <c r="EJ21" s="231">
        <v>326319.09000000003</v>
      </c>
      <c r="EK21" s="231">
        <v>129348.76</v>
      </c>
      <c r="EL21" s="231">
        <v>58157.02</v>
      </c>
      <c r="EM21" s="231">
        <v>8014</v>
      </c>
      <c r="EN21" s="231">
        <v>513824.87</v>
      </c>
      <c r="EO21" s="231">
        <v>698157.59</v>
      </c>
      <c r="EP21" s="231">
        <v>-184332.72</v>
      </c>
      <c r="EQ21" s="229">
        <v>-0.26400000000000001</v>
      </c>
      <c r="ER21" s="231">
        <v>148076</v>
      </c>
      <c r="ES21" s="231">
        <v>90877</v>
      </c>
      <c r="ET21" s="231">
        <v>279950</v>
      </c>
      <c r="EU21" s="231">
        <v>12547731</v>
      </c>
      <c r="EV21" s="231">
        <v>518902</v>
      </c>
      <c r="EW21" s="231">
        <v>537857</v>
      </c>
      <c r="EX21" s="231">
        <v>-18955</v>
      </c>
      <c r="EY21" s="229">
        <v>-3.5200000000000002E-2</v>
      </c>
      <c r="EZ21" s="229">
        <v>0.45329999999999998</v>
      </c>
      <c r="FA21" s="227" t="s">
        <v>556</v>
      </c>
      <c r="FB21" s="161">
        <f t="shared" si="0"/>
        <v>174000</v>
      </c>
    </row>
    <row r="22" spans="1:158" ht="17.25" hidden="1" thickBot="1" x14ac:dyDescent="0.3">
      <c r="A22" s="226">
        <v>45946</v>
      </c>
      <c r="B22" s="227" t="s">
        <v>175</v>
      </c>
      <c r="C22" s="227" t="s">
        <v>176</v>
      </c>
      <c r="D22" s="228">
        <v>500</v>
      </c>
      <c r="E22" s="231">
        <v>2098</v>
      </c>
      <c r="F22" s="231">
        <v>2088.3000000000002</v>
      </c>
      <c r="G22" s="228">
        <v>9.6999999999999993</v>
      </c>
      <c r="H22" s="229">
        <v>4.5999999999999999E-3</v>
      </c>
      <c r="I22" s="231">
        <v>2090.1999999999998</v>
      </c>
      <c r="J22" s="231">
        <v>2084.1</v>
      </c>
      <c r="K22" s="228">
        <v>6.1</v>
      </c>
      <c r="L22" s="229">
        <v>2.8999999999999998E-3</v>
      </c>
      <c r="M22" s="231">
        <v>2098</v>
      </c>
      <c r="N22" s="231">
        <v>2088.3000000000002</v>
      </c>
      <c r="O22" s="228">
        <v>9.6999999999999993</v>
      </c>
      <c r="P22" s="229">
        <v>4.5999999999999999E-3</v>
      </c>
      <c r="Q22" s="231">
        <v>2109.4</v>
      </c>
      <c r="R22" s="231">
        <v>2099.6</v>
      </c>
      <c r="S22" s="228">
        <v>9.8000000000000007</v>
      </c>
      <c r="T22" s="229">
        <v>4.7000000000000002E-3</v>
      </c>
      <c r="U22" s="231">
        <v>2121.3000000000002</v>
      </c>
      <c r="V22" s="231">
        <v>2111</v>
      </c>
      <c r="W22" s="228">
        <v>10.3</v>
      </c>
      <c r="X22" s="229">
        <v>4.8999999999999998E-3</v>
      </c>
      <c r="Y22" s="228">
        <v>7.8</v>
      </c>
      <c r="Z22" s="228">
        <v>4.2</v>
      </c>
      <c r="AA22" s="228">
        <v>3.6</v>
      </c>
      <c r="AB22" s="229">
        <v>3.7000000000000002E-3</v>
      </c>
      <c r="AC22" s="228">
        <v>7.8</v>
      </c>
      <c r="AD22" s="228">
        <v>4.2</v>
      </c>
      <c r="AE22" s="228">
        <v>3.6</v>
      </c>
      <c r="AF22" s="229">
        <v>3.7000000000000002E-3</v>
      </c>
      <c r="AG22" s="228">
        <v>19.2</v>
      </c>
      <c r="AH22" s="228">
        <v>15.5</v>
      </c>
      <c r="AI22" s="228">
        <v>3.7</v>
      </c>
      <c r="AJ22" s="229">
        <v>9.1999999999999998E-3</v>
      </c>
      <c r="AK22" s="228">
        <v>31.1</v>
      </c>
      <c r="AL22" s="228">
        <v>26.9</v>
      </c>
      <c r="AM22" s="228">
        <v>4.2</v>
      </c>
      <c r="AN22" s="229">
        <v>1.49E-2</v>
      </c>
      <c r="AO22" s="231">
        <v>2096.33</v>
      </c>
      <c r="AP22" s="231">
        <v>2107.29</v>
      </c>
      <c r="AQ22" s="228">
        <v>0</v>
      </c>
      <c r="AR22" s="230">
        <v>1921000</v>
      </c>
      <c r="AS22" s="230">
        <v>2939000</v>
      </c>
      <c r="AT22" s="230">
        <v>-1018000</v>
      </c>
      <c r="AU22" s="229">
        <v>-0.34639999999999999</v>
      </c>
      <c r="AV22" s="230">
        <v>1579000</v>
      </c>
      <c r="AW22" s="230">
        <v>2524500</v>
      </c>
      <c r="AX22" s="230">
        <v>-945500</v>
      </c>
      <c r="AY22" s="229">
        <v>-0.3745</v>
      </c>
      <c r="AZ22" s="230">
        <v>322500</v>
      </c>
      <c r="BA22" s="230">
        <v>364000</v>
      </c>
      <c r="BB22" s="230">
        <v>-41500</v>
      </c>
      <c r="BC22" s="229">
        <v>-0.114</v>
      </c>
      <c r="BD22" s="230">
        <v>19500</v>
      </c>
      <c r="BE22" s="230">
        <v>50500</v>
      </c>
      <c r="BF22" s="230">
        <v>-31000</v>
      </c>
      <c r="BG22" s="229">
        <v>-0.6139</v>
      </c>
      <c r="BH22" s="230">
        <v>11939500</v>
      </c>
      <c r="BI22" s="230">
        <v>19000500</v>
      </c>
      <c r="BJ22" s="230">
        <v>-7061000</v>
      </c>
      <c r="BK22" s="229">
        <v>-0.37159999999999999</v>
      </c>
      <c r="BL22" s="230">
        <v>6213000</v>
      </c>
      <c r="BM22" s="230">
        <v>8098000</v>
      </c>
      <c r="BN22" s="230">
        <v>-1885000</v>
      </c>
      <c r="BO22" s="229">
        <v>-0.23280000000000001</v>
      </c>
      <c r="BP22" s="230">
        <v>20073500</v>
      </c>
      <c r="BQ22" s="230">
        <v>30037500</v>
      </c>
      <c r="BR22" s="230">
        <v>-9964000</v>
      </c>
      <c r="BS22" s="229">
        <v>-0.33169999999999999</v>
      </c>
      <c r="BT22" s="230">
        <v>1620190</v>
      </c>
      <c r="BU22" s="230">
        <v>1664034</v>
      </c>
      <c r="BV22" s="230">
        <v>-43844</v>
      </c>
      <c r="BW22" s="229">
        <v>-2.63E-2</v>
      </c>
      <c r="BX22" s="230">
        <v>18635500</v>
      </c>
      <c r="BY22" s="230">
        <v>18199500</v>
      </c>
      <c r="BZ22" s="230">
        <v>436000</v>
      </c>
      <c r="CA22" s="229">
        <v>2.4E-2</v>
      </c>
      <c r="CB22" s="230">
        <v>18092000</v>
      </c>
      <c r="CC22" s="230">
        <v>17795500</v>
      </c>
      <c r="CD22" s="230">
        <v>296500</v>
      </c>
      <c r="CE22" s="229">
        <v>1.67E-2</v>
      </c>
      <c r="CF22" s="230">
        <v>500500</v>
      </c>
      <c r="CG22" s="230">
        <v>364500</v>
      </c>
      <c r="CH22" s="230">
        <v>136000</v>
      </c>
      <c r="CI22" s="229">
        <v>0.37309999999999999</v>
      </c>
      <c r="CJ22" s="230">
        <v>43000</v>
      </c>
      <c r="CK22" s="230">
        <v>39500</v>
      </c>
      <c r="CL22" s="230">
        <v>3500</v>
      </c>
      <c r="CM22" s="229">
        <v>8.8599999999999998E-2</v>
      </c>
      <c r="CN22" s="230">
        <v>5899000</v>
      </c>
      <c r="CO22" s="230">
        <v>5797000</v>
      </c>
      <c r="CP22" s="230">
        <v>102000</v>
      </c>
      <c r="CQ22" s="229">
        <v>1.7600000000000001E-2</v>
      </c>
      <c r="CR22" s="230">
        <v>4510500</v>
      </c>
      <c r="CS22" s="230">
        <v>4163000</v>
      </c>
      <c r="CT22" s="230">
        <v>347500</v>
      </c>
      <c r="CU22" s="229">
        <v>8.3500000000000005E-2</v>
      </c>
      <c r="CV22" s="230">
        <v>29045000</v>
      </c>
      <c r="CW22" s="230">
        <v>28159500</v>
      </c>
      <c r="CX22" s="230">
        <v>885500</v>
      </c>
      <c r="CY22" s="229">
        <v>3.1399999999999997E-2</v>
      </c>
      <c r="CZ22" s="228">
        <v>19.29</v>
      </c>
      <c r="DA22" s="228">
        <v>21.65</v>
      </c>
      <c r="DB22" s="228">
        <v>-2.36</v>
      </c>
      <c r="DC22" s="228">
        <v>-2.36</v>
      </c>
      <c r="DD22" s="228">
        <v>28.19</v>
      </c>
      <c r="DE22" s="228">
        <v>28.25</v>
      </c>
      <c r="DF22" s="228">
        <v>-8.9</v>
      </c>
      <c r="DG22" s="228">
        <v>-0.06</v>
      </c>
      <c r="DH22" s="228">
        <v>17.940000000000001</v>
      </c>
      <c r="DI22" s="228">
        <v>21.14</v>
      </c>
      <c r="DJ22" s="228">
        <v>-3.2</v>
      </c>
      <c r="DK22" s="228">
        <v>-3.2</v>
      </c>
      <c r="DL22" s="228">
        <v>21.89</v>
      </c>
      <c r="DM22" s="228">
        <v>22.86</v>
      </c>
      <c r="DN22" s="228">
        <v>-0.97</v>
      </c>
      <c r="DO22" s="228">
        <v>-0.97</v>
      </c>
      <c r="DP22" s="228">
        <v>0.76</v>
      </c>
      <c r="DQ22" s="228">
        <v>0.72</v>
      </c>
      <c r="DR22" s="228">
        <v>0.04</v>
      </c>
      <c r="DS22" s="229">
        <v>5.5599999999999997E-2</v>
      </c>
      <c r="DT22" s="231">
        <v>2100</v>
      </c>
      <c r="DU22" s="231">
        <v>1800</v>
      </c>
      <c r="DV22" s="228">
        <v>0.52</v>
      </c>
      <c r="DW22" s="228">
        <v>0.43</v>
      </c>
      <c r="DX22" s="228">
        <v>0.09</v>
      </c>
      <c r="DY22" s="229">
        <v>0.20930000000000001</v>
      </c>
      <c r="DZ22" s="229">
        <v>2.92E-2</v>
      </c>
      <c r="EA22" s="230">
        <v>404000</v>
      </c>
      <c r="EB22" s="229">
        <v>5.4000000000000003E-3</v>
      </c>
      <c r="EC22" s="229">
        <v>2.92E-2</v>
      </c>
      <c r="ED22" s="228">
        <v>10.96</v>
      </c>
      <c r="EE22" s="229">
        <v>5.1999999999999998E-3</v>
      </c>
      <c r="EF22" s="230">
        <v>1078265</v>
      </c>
      <c r="EG22" s="230">
        <v>942087</v>
      </c>
      <c r="EH22" s="229">
        <v>0.14449999999999999</v>
      </c>
      <c r="EI22" s="229">
        <v>0.66549999999999998</v>
      </c>
      <c r="EJ22" s="231">
        <v>255938.53</v>
      </c>
      <c r="EK22" s="231">
        <v>126126.53</v>
      </c>
      <c r="EL22" s="231">
        <v>40310.720000000001</v>
      </c>
      <c r="EM22" s="231">
        <v>3012</v>
      </c>
      <c r="EN22" s="231">
        <v>422375.78</v>
      </c>
      <c r="EO22" s="231">
        <v>629630.11</v>
      </c>
      <c r="EP22" s="231">
        <v>-207254.33</v>
      </c>
      <c r="EQ22" s="229">
        <v>-0.32919999999999999</v>
      </c>
      <c r="ER22" s="231">
        <v>124635</v>
      </c>
      <c r="ES22" s="231">
        <v>88744</v>
      </c>
      <c r="ET22" s="231">
        <v>391040</v>
      </c>
      <c r="EU22" s="231">
        <v>65659712</v>
      </c>
      <c r="EV22" s="231">
        <v>604419</v>
      </c>
      <c r="EW22" s="231">
        <v>584280</v>
      </c>
      <c r="EX22" s="231">
        <v>20139</v>
      </c>
      <c r="EY22" s="229">
        <v>3.4500000000000003E-2</v>
      </c>
      <c r="EZ22" s="229">
        <v>0.44240000000000002</v>
      </c>
      <c r="FA22" s="227" t="s">
        <v>555</v>
      </c>
      <c r="FB22" s="161">
        <f t="shared" si="0"/>
        <v>543500</v>
      </c>
    </row>
    <row r="23" spans="1:158" ht="17.25" hidden="1" thickBot="1" x14ac:dyDescent="0.3">
      <c r="A23" s="226">
        <v>45946</v>
      </c>
      <c r="B23" s="227" t="s">
        <v>175</v>
      </c>
      <c r="C23" s="227" t="s">
        <v>177</v>
      </c>
      <c r="D23" s="228">
        <v>750</v>
      </c>
      <c r="E23" s="231">
        <v>1066.45</v>
      </c>
      <c r="F23" s="231">
        <v>1060.9000000000001</v>
      </c>
      <c r="G23" s="228">
        <v>5.55</v>
      </c>
      <c r="H23" s="229">
        <v>5.1999999999999998E-3</v>
      </c>
      <c r="I23" s="231">
        <v>1065.75</v>
      </c>
      <c r="J23" s="231">
        <v>1059.9000000000001</v>
      </c>
      <c r="K23" s="228">
        <v>5.85</v>
      </c>
      <c r="L23" s="229">
        <v>5.4999999999999997E-3</v>
      </c>
      <c r="M23" s="231">
        <v>1066.45</v>
      </c>
      <c r="N23" s="231">
        <v>1060.9000000000001</v>
      </c>
      <c r="O23" s="228">
        <v>5.55</v>
      </c>
      <c r="P23" s="229">
        <v>5.1999999999999998E-3</v>
      </c>
      <c r="Q23" s="231">
        <v>1072.0999999999999</v>
      </c>
      <c r="R23" s="231">
        <v>1066.3</v>
      </c>
      <c r="S23" s="228">
        <v>5.8</v>
      </c>
      <c r="T23" s="229">
        <v>5.4000000000000003E-3</v>
      </c>
      <c r="U23" s="231">
        <v>1078.45</v>
      </c>
      <c r="V23" s="231">
        <v>1072.5999999999999</v>
      </c>
      <c r="W23" s="228">
        <v>5.85</v>
      </c>
      <c r="X23" s="229">
        <v>5.4999999999999997E-3</v>
      </c>
      <c r="Y23" s="228">
        <v>0.7</v>
      </c>
      <c r="Z23" s="228">
        <v>1</v>
      </c>
      <c r="AA23" s="228">
        <v>-0.3</v>
      </c>
      <c r="AB23" s="229">
        <v>6.9999999999999999E-4</v>
      </c>
      <c r="AC23" s="228">
        <v>0.7</v>
      </c>
      <c r="AD23" s="228">
        <v>1</v>
      </c>
      <c r="AE23" s="228">
        <v>-0.3</v>
      </c>
      <c r="AF23" s="229">
        <v>6.9999999999999999E-4</v>
      </c>
      <c r="AG23" s="228">
        <v>6.35</v>
      </c>
      <c r="AH23" s="228">
        <v>6.4</v>
      </c>
      <c r="AI23" s="228">
        <v>-0.05</v>
      </c>
      <c r="AJ23" s="229">
        <v>6.0000000000000001E-3</v>
      </c>
      <c r="AK23" s="228">
        <v>12.7</v>
      </c>
      <c r="AL23" s="228">
        <v>12.7</v>
      </c>
      <c r="AM23" s="228">
        <v>0</v>
      </c>
      <c r="AN23" s="229">
        <v>1.1900000000000001E-2</v>
      </c>
      <c r="AO23" s="231">
        <v>1069.81</v>
      </c>
      <c r="AP23" s="231">
        <v>1076.44</v>
      </c>
      <c r="AQ23" s="228">
        <v>0</v>
      </c>
      <c r="AR23" s="230">
        <v>12587250</v>
      </c>
      <c r="AS23" s="230">
        <v>13360500</v>
      </c>
      <c r="AT23" s="230">
        <v>-773250</v>
      </c>
      <c r="AU23" s="229">
        <v>-5.79E-2</v>
      </c>
      <c r="AV23" s="230">
        <v>10804500</v>
      </c>
      <c r="AW23" s="230">
        <v>11586750</v>
      </c>
      <c r="AX23" s="230">
        <v>-782250</v>
      </c>
      <c r="AY23" s="229">
        <v>-6.7500000000000004E-2</v>
      </c>
      <c r="AZ23" s="230">
        <v>1667250</v>
      </c>
      <c r="BA23" s="230">
        <v>1603500</v>
      </c>
      <c r="BB23" s="230">
        <v>63750</v>
      </c>
      <c r="BC23" s="229">
        <v>3.9800000000000002E-2</v>
      </c>
      <c r="BD23" s="230">
        <v>115500</v>
      </c>
      <c r="BE23" s="230">
        <v>170250</v>
      </c>
      <c r="BF23" s="230">
        <v>-54750</v>
      </c>
      <c r="BG23" s="229">
        <v>-0.3216</v>
      </c>
      <c r="BH23" s="230">
        <v>57305250</v>
      </c>
      <c r="BI23" s="230">
        <v>61202250</v>
      </c>
      <c r="BJ23" s="230">
        <v>-3897000</v>
      </c>
      <c r="BK23" s="229">
        <v>-6.3700000000000007E-2</v>
      </c>
      <c r="BL23" s="230">
        <v>36077250</v>
      </c>
      <c r="BM23" s="230">
        <v>34223250</v>
      </c>
      <c r="BN23" s="230">
        <v>1854000</v>
      </c>
      <c r="BO23" s="229">
        <v>5.4199999999999998E-2</v>
      </c>
      <c r="BP23" s="230">
        <v>105969750</v>
      </c>
      <c r="BQ23" s="230">
        <v>108786000</v>
      </c>
      <c r="BR23" s="230">
        <v>-2816250</v>
      </c>
      <c r="BS23" s="229">
        <v>-2.5899999999999999E-2</v>
      </c>
      <c r="BT23" s="230">
        <v>11510799</v>
      </c>
      <c r="BU23" s="230">
        <v>10627512</v>
      </c>
      <c r="BV23" s="230">
        <v>883287</v>
      </c>
      <c r="BW23" s="229">
        <v>8.3099999999999993E-2</v>
      </c>
      <c r="BX23" s="230">
        <v>90078750</v>
      </c>
      <c r="BY23" s="230">
        <v>89824500</v>
      </c>
      <c r="BZ23" s="230">
        <v>254250</v>
      </c>
      <c r="CA23" s="229">
        <v>2.8E-3</v>
      </c>
      <c r="CB23" s="230">
        <v>87235500</v>
      </c>
      <c r="CC23" s="230">
        <v>87404250</v>
      </c>
      <c r="CD23" s="230">
        <v>-168750</v>
      </c>
      <c r="CE23" s="229">
        <v>-1.9E-3</v>
      </c>
      <c r="CF23" s="230">
        <v>2625000</v>
      </c>
      <c r="CG23" s="230">
        <v>2218500</v>
      </c>
      <c r="CH23" s="230">
        <v>406500</v>
      </c>
      <c r="CI23" s="229">
        <v>0.1832</v>
      </c>
      <c r="CJ23" s="230">
        <v>218250</v>
      </c>
      <c r="CK23" s="230">
        <v>201750</v>
      </c>
      <c r="CL23" s="230">
        <v>16500</v>
      </c>
      <c r="CM23" s="229">
        <v>8.1799999999999998E-2</v>
      </c>
      <c r="CN23" s="230">
        <v>19024500</v>
      </c>
      <c r="CO23" s="230">
        <v>18126750</v>
      </c>
      <c r="CP23" s="230">
        <v>897750</v>
      </c>
      <c r="CQ23" s="229">
        <v>4.9500000000000002E-2</v>
      </c>
      <c r="CR23" s="230">
        <v>17023500</v>
      </c>
      <c r="CS23" s="230">
        <v>15591000</v>
      </c>
      <c r="CT23" s="230">
        <v>1432500</v>
      </c>
      <c r="CU23" s="229">
        <v>9.1899999999999996E-2</v>
      </c>
      <c r="CV23" s="230">
        <v>126126750</v>
      </c>
      <c r="CW23" s="230">
        <v>123542250</v>
      </c>
      <c r="CX23" s="230">
        <v>2584500</v>
      </c>
      <c r="CY23" s="229">
        <v>2.0899999999999998E-2</v>
      </c>
      <c r="CZ23" s="228">
        <v>22.56</v>
      </c>
      <c r="DA23" s="228">
        <v>28.23</v>
      </c>
      <c r="DB23" s="228">
        <v>-5.67</v>
      </c>
      <c r="DC23" s="228">
        <v>-5.67</v>
      </c>
      <c r="DD23" s="228">
        <v>31.39</v>
      </c>
      <c r="DE23" s="228">
        <v>31.46</v>
      </c>
      <c r="DF23" s="228">
        <v>-8.83</v>
      </c>
      <c r="DG23" s="228">
        <v>-7.0000000000000007E-2</v>
      </c>
      <c r="DH23" s="228">
        <v>21.68</v>
      </c>
      <c r="DI23" s="228">
        <v>27.37</v>
      </c>
      <c r="DJ23" s="228">
        <v>-5.69</v>
      </c>
      <c r="DK23" s="228">
        <v>-5.69</v>
      </c>
      <c r="DL23" s="228">
        <v>23.96</v>
      </c>
      <c r="DM23" s="228">
        <v>29.76</v>
      </c>
      <c r="DN23" s="228">
        <v>-5.8</v>
      </c>
      <c r="DO23" s="228">
        <v>-5.8</v>
      </c>
      <c r="DP23" s="228">
        <v>0.89</v>
      </c>
      <c r="DQ23" s="228">
        <v>0.86</v>
      </c>
      <c r="DR23" s="228">
        <v>0.03</v>
      </c>
      <c r="DS23" s="229">
        <v>3.49E-2</v>
      </c>
      <c r="DT23" s="231">
        <v>1100</v>
      </c>
      <c r="DU23" s="231">
        <v>1000</v>
      </c>
      <c r="DV23" s="228">
        <v>0.63</v>
      </c>
      <c r="DW23" s="228">
        <v>0.56000000000000005</v>
      </c>
      <c r="DX23" s="228">
        <v>7.0000000000000007E-2</v>
      </c>
      <c r="DY23" s="229">
        <v>0.125</v>
      </c>
      <c r="DZ23" s="229">
        <v>3.1600000000000003E-2</v>
      </c>
      <c r="EA23" s="230">
        <v>2420250</v>
      </c>
      <c r="EB23" s="229">
        <v>5.3E-3</v>
      </c>
      <c r="EC23" s="229">
        <v>3.1600000000000003E-2</v>
      </c>
      <c r="ED23" s="228">
        <v>6.63</v>
      </c>
      <c r="EE23" s="229">
        <v>6.1999999999999998E-3</v>
      </c>
      <c r="EF23" s="230">
        <v>6748719</v>
      </c>
      <c r="EG23" s="230">
        <v>6455368</v>
      </c>
      <c r="EH23" s="229">
        <v>4.5400000000000003E-2</v>
      </c>
      <c r="EI23" s="229">
        <v>0.58630000000000004</v>
      </c>
      <c r="EJ23" s="231">
        <v>631614.03</v>
      </c>
      <c r="EK23" s="231">
        <v>378525.18</v>
      </c>
      <c r="EL23" s="231">
        <v>134784.16</v>
      </c>
      <c r="EM23" s="231">
        <v>10654</v>
      </c>
      <c r="EN23" s="231">
        <v>1144923.3700000001</v>
      </c>
      <c r="EO23" s="231">
        <v>1154100.68</v>
      </c>
      <c r="EP23" s="231">
        <v>-9177.31</v>
      </c>
      <c r="EQ23" s="229">
        <v>-8.0000000000000002E-3</v>
      </c>
      <c r="ER23" s="231">
        <v>202846</v>
      </c>
      <c r="ES23" s="231">
        <v>169756</v>
      </c>
      <c r="ET23" s="231">
        <v>960819</v>
      </c>
      <c r="EU23" s="231">
        <v>281116345</v>
      </c>
      <c r="EV23" s="231">
        <v>1333421</v>
      </c>
      <c r="EW23" s="231">
        <v>1298752</v>
      </c>
      <c r="EX23" s="231">
        <v>34669</v>
      </c>
      <c r="EY23" s="229">
        <v>2.6700000000000002E-2</v>
      </c>
      <c r="EZ23" s="229">
        <v>0.44869999999999999</v>
      </c>
      <c r="FA23" s="227" t="s">
        <v>555</v>
      </c>
      <c r="FB23" s="161">
        <f t="shared" si="0"/>
        <v>2843250</v>
      </c>
    </row>
    <row r="24" spans="1:158" ht="17.25" hidden="1" thickBot="1" x14ac:dyDescent="0.3">
      <c r="A24" s="226">
        <v>45946</v>
      </c>
      <c r="B24" s="227" t="s">
        <v>172</v>
      </c>
      <c r="C24" s="227" t="s">
        <v>179</v>
      </c>
      <c r="D24" s="228">
        <v>3600</v>
      </c>
      <c r="E24" s="228">
        <v>161.85</v>
      </c>
      <c r="F24" s="228">
        <v>163.74</v>
      </c>
      <c r="G24" s="228">
        <v>-1.89</v>
      </c>
      <c r="H24" s="229">
        <v>-1.15E-2</v>
      </c>
      <c r="I24" s="228">
        <v>161.56</v>
      </c>
      <c r="J24" s="228">
        <v>163.19999999999999</v>
      </c>
      <c r="K24" s="228">
        <v>-1.64</v>
      </c>
      <c r="L24" s="229">
        <v>-0.01</v>
      </c>
      <c r="M24" s="228">
        <v>161.85</v>
      </c>
      <c r="N24" s="228">
        <v>163.74</v>
      </c>
      <c r="O24" s="228">
        <v>-1.89</v>
      </c>
      <c r="P24" s="229">
        <v>-1.15E-2</v>
      </c>
      <c r="Q24" s="228">
        <v>162.81</v>
      </c>
      <c r="R24" s="228">
        <v>164.61</v>
      </c>
      <c r="S24" s="228">
        <v>-1.8</v>
      </c>
      <c r="T24" s="229">
        <v>-1.09E-2</v>
      </c>
      <c r="U24" s="228">
        <v>163.9</v>
      </c>
      <c r="V24" s="228">
        <v>165.69</v>
      </c>
      <c r="W24" s="228">
        <v>-1.79</v>
      </c>
      <c r="X24" s="229">
        <v>-1.0800000000000001E-2</v>
      </c>
      <c r="Y24" s="228">
        <v>0.28999999999999998</v>
      </c>
      <c r="Z24" s="228">
        <v>0.54</v>
      </c>
      <c r="AA24" s="228">
        <v>-0.25</v>
      </c>
      <c r="AB24" s="229">
        <v>1.8E-3</v>
      </c>
      <c r="AC24" s="228">
        <v>0.28999999999999998</v>
      </c>
      <c r="AD24" s="228">
        <v>0.54</v>
      </c>
      <c r="AE24" s="228">
        <v>-0.25</v>
      </c>
      <c r="AF24" s="229">
        <v>1.8E-3</v>
      </c>
      <c r="AG24" s="228">
        <v>1.25</v>
      </c>
      <c r="AH24" s="228">
        <v>1.41</v>
      </c>
      <c r="AI24" s="228">
        <v>-0.16</v>
      </c>
      <c r="AJ24" s="229">
        <v>7.7000000000000002E-3</v>
      </c>
      <c r="AK24" s="228">
        <v>2.34</v>
      </c>
      <c r="AL24" s="228">
        <v>2.4900000000000002</v>
      </c>
      <c r="AM24" s="228">
        <v>-0.15</v>
      </c>
      <c r="AN24" s="229">
        <v>1.4500000000000001E-2</v>
      </c>
      <c r="AO24" s="228">
        <v>162.38999999999999</v>
      </c>
      <c r="AP24" s="228">
        <v>163.28</v>
      </c>
      <c r="AQ24" s="228">
        <v>0</v>
      </c>
      <c r="AR24" s="230">
        <v>18698400</v>
      </c>
      <c r="AS24" s="230">
        <v>24670800</v>
      </c>
      <c r="AT24" s="230">
        <v>-5972400</v>
      </c>
      <c r="AU24" s="229">
        <v>-0.24210000000000001</v>
      </c>
      <c r="AV24" s="230">
        <v>13327200</v>
      </c>
      <c r="AW24" s="230">
        <v>17121600</v>
      </c>
      <c r="AX24" s="230">
        <v>-3794400</v>
      </c>
      <c r="AY24" s="229">
        <v>-0.22159999999999999</v>
      </c>
      <c r="AZ24" s="230">
        <v>5011200</v>
      </c>
      <c r="BA24" s="230">
        <v>7336800</v>
      </c>
      <c r="BB24" s="230">
        <v>-2325600</v>
      </c>
      <c r="BC24" s="229">
        <v>-0.317</v>
      </c>
      <c r="BD24" s="230">
        <v>360000</v>
      </c>
      <c r="BE24" s="230">
        <v>212400</v>
      </c>
      <c r="BF24" s="230">
        <v>147600</v>
      </c>
      <c r="BG24" s="229">
        <v>0.69489999999999996</v>
      </c>
      <c r="BH24" s="230">
        <v>34387200</v>
      </c>
      <c r="BI24" s="230">
        <v>27514800</v>
      </c>
      <c r="BJ24" s="230">
        <v>6872400</v>
      </c>
      <c r="BK24" s="229">
        <v>0.24979999999999999</v>
      </c>
      <c r="BL24" s="230">
        <v>15728400</v>
      </c>
      <c r="BM24" s="230">
        <v>14202000</v>
      </c>
      <c r="BN24" s="230">
        <v>1526400</v>
      </c>
      <c r="BO24" s="229">
        <v>0.1075</v>
      </c>
      <c r="BP24" s="230">
        <v>68814000</v>
      </c>
      <c r="BQ24" s="230">
        <v>66387600</v>
      </c>
      <c r="BR24" s="230">
        <v>2426400</v>
      </c>
      <c r="BS24" s="229">
        <v>3.6499999999999998E-2</v>
      </c>
      <c r="BT24" s="230">
        <v>6212585</v>
      </c>
      <c r="BU24" s="230">
        <v>5473265</v>
      </c>
      <c r="BV24" s="230">
        <v>739320</v>
      </c>
      <c r="BW24" s="229">
        <v>0.1351</v>
      </c>
      <c r="BX24" s="230">
        <v>108172800</v>
      </c>
      <c r="BY24" s="230">
        <v>105253200</v>
      </c>
      <c r="BZ24" s="230">
        <v>2919600</v>
      </c>
      <c r="CA24" s="229">
        <v>2.7699999999999999E-2</v>
      </c>
      <c r="CB24" s="230">
        <v>88308000</v>
      </c>
      <c r="CC24" s="230">
        <v>88142400</v>
      </c>
      <c r="CD24" s="230">
        <v>165600</v>
      </c>
      <c r="CE24" s="229">
        <v>1.9E-3</v>
      </c>
      <c r="CF24" s="230">
        <v>18687600</v>
      </c>
      <c r="CG24" s="230">
        <v>16131600</v>
      </c>
      <c r="CH24" s="230">
        <v>2556000</v>
      </c>
      <c r="CI24" s="229">
        <v>0.15840000000000001</v>
      </c>
      <c r="CJ24" s="230">
        <v>1177200</v>
      </c>
      <c r="CK24" s="230">
        <v>979200</v>
      </c>
      <c r="CL24" s="230">
        <v>198000</v>
      </c>
      <c r="CM24" s="229">
        <v>0.20219999999999999</v>
      </c>
      <c r="CN24" s="230">
        <v>48153600</v>
      </c>
      <c r="CO24" s="230">
        <v>42865200</v>
      </c>
      <c r="CP24" s="230">
        <v>5288400</v>
      </c>
      <c r="CQ24" s="229">
        <v>0.1234</v>
      </c>
      <c r="CR24" s="230">
        <v>34092000</v>
      </c>
      <c r="CS24" s="230">
        <v>32947200</v>
      </c>
      <c r="CT24" s="230">
        <v>1144800</v>
      </c>
      <c r="CU24" s="229">
        <v>3.4700000000000002E-2</v>
      </c>
      <c r="CV24" s="230">
        <v>190418400</v>
      </c>
      <c r="CW24" s="230">
        <v>181065600</v>
      </c>
      <c r="CX24" s="230">
        <v>9352800</v>
      </c>
      <c r="CY24" s="229">
        <v>5.1700000000000003E-2</v>
      </c>
      <c r="CZ24" s="228">
        <v>34.79</v>
      </c>
      <c r="DA24" s="228">
        <v>33.79</v>
      </c>
      <c r="DB24" s="228">
        <v>1</v>
      </c>
      <c r="DC24" s="228">
        <v>1</v>
      </c>
      <c r="DD24" s="228">
        <v>42.03</v>
      </c>
      <c r="DE24" s="228">
        <v>42.11</v>
      </c>
      <c r="DF24" s="228">
        <v>-7.24</v>
      </c>
      <c r="DG24" s="228">
        <v>-0.08</v>
      </c>
      <c r="DH24" s="228">
        <v>35.07</v>
      </c>
      <c r="DI24" s="228">
        <v>33.81</v>
      </c>
      <c r="DJ24" s="228">
        <v>1.26</v>
      </c>
      <c r="DK24" s="228">
        <v>1.26</v>
      </c>
      <c r="DL24" s="228">
        <v>34.200000000000003</v>
      </c>
      <c r="DM24" s="228">
        <v>33.76</v>
      </c>
      <c r="DN24" s="228">
        <v>0.44</v>
      </c>
      <c r="DO24" s="228">
        <v>0.44</v>
      </c>
      <c r="DP24" s="228">
        <v>0.71</v>
      </c>
      <c r="DQ24" s="228">
        <v>0.77</v>
      </c>
      <c r="DR24" s="228">
        <v>-0.06</v>
      </c>
      <c r="DS24" s="229">
        <v>-7.7899999999999997E-2</v>
      </c>
      <c r="DT24" s="228">
        <v>165</v>
      </c>
      <c r="DU24" s="228">
        <v>150</v>
      </c>
      <c r="DV24" s="228">
        <v>0.46</v>
      </c>
      <c r="DW24" s="228">
        <v>0.52</v>
      </c>
      <c r="DX24" s="228">
        <v>-0.06</v>
      </c>
      <c r="DY24" s="229">
        <v>-0.1154</v>
      </c>
      <c r="DZ24" s="229">
        <v>0.18360000000000001</v>
      </c>
      <c r="EA24" s="230">
        <v>17110800</v>
      </c>
      <c r="EB24" s="229">
        <v>5.8999999999999999E-3</v>
      </c>
      <c r="EC24" s="229">
        <v>0.18360000000000001</v>
      </c>
      <c r="ED24" s="228">
        <v>0.89</v>
      </c>
      <c r="EE24" s="229">
        <v>5.4999999999999997E-3</v>
      </c>
      <c r="EF24" s="230">
        <v>2631298</v>
      </c>
      <c r="EG24" s="230">
        <v>2670176</v>
      </c>
      <c r="EH24" s="229">
        <v>-1.46E-2</v>
      </c>
      <c r="EI24" s="229">
        <v>0.42349999999999999</v>
      </c>
      <c r="EJ24" s="231">
        <v>58473.83</v>
      </c>
      <c r="EK24" s="231">
        <v>25549.16</v>
      </c>
      <c r="EL24" s="231">
        <v>30417.46</v>
      </c>
      <c r="EM24" s="231">
        <v>5969</v>
      </c>
      <c r="EN24" s="231">
        <v>114440.45</v>
      </c>
      <c r="EO24" s="231">
        <v>111217.31</v>
      </c>
      <c r="EP24" s="231">
        <v>3223.14</v>
      </c>
      <c r="EQ24" s="229">
        <v>2.9000000000000001E-2</v>
      </c>
      <c r="ER24" s="231">
        <v>82077</v>
      </c>
      <c r="ES24" s="231">
        <v>54199</v>
      </c>
      <c r="ET24" s="231">
        <v>175281</v>
      </c>
      <c r="EU24" s="231">
        <v>142752962</v>
      </c>
      <c r="EV24" s="231">
        <v>311557</v>
      </c>
      <c r="EW24" s="231">
        <v>298247</v>
      </c>
      <c r="EX24" s="231">
        <v>13310</v>
      </c>
      <c r="EY24" s="229">
        <v>4.4600000000000001E-2</v>
      </c>
      <c r="EZ24" s="229">
        <v>1.3339000000000001</v>
      </c>
      <c r="FA24" s="227" t="s">
        <v>567</v>
      </c>
      <c r="FB24" s="161">
        <f t="shared" si="0"/>
        <v>19864800</v>
      </c>
    </row>
    <row r="25" spans="1:158" ht="17.25" hidden="1" thickBot="1" x14ac:dyDescent="0.3">
      <c r="A25" s="226">
        <v>45946</v>
      </c>
      <c r="B25" s="227" t="s">
        <v>172</v>
      </c>
      <c r="C25" s="227" t="s">
        <v>180</v>
      </c>
      <c r="D25" s="228">
        <v>2925</v>
      </c>
      <c r="E25" s="228">
        <v>266.85000000000002</v>
      </c>
      <c r="F25" s="228">
        <v>268.85000000000002</v>
      </c>
      <c r="G25" s="228">
        <v>-2</v>
      </c>
      <c r="H25" s="229">
        <v>-7.4000000000000003E-3</v>
      </c>
      <c r="I25" s="228">
        <v>266.14999999999998</v>
      </c>
      <c r="J25" s="228">
        <v>268.39999999999998</v>
      </c>
      <c r="K25" s="228">
        <v>-2.25</v>
      </c>
      <c r="L25" s="229">
        <v>-8.3999999999999995E-3</v>
      </c>
      <c r="M25" s="228">
        <v>266.85000000000002</v>
      </c>
      <c r="N25" s="228">
        <v>268.85000000000002</v>
      </c>
      <c r="O25" s="228">
        <v>-2</v>
      </c>
      <c r="P25" s="229">
        <v>-7.4000000000000003E-3</v>
      </c>
      <c r="Q25" s="228">
        <v>268.3</v>
      </c>
      <c r="R25" s="228">
        <v>270.3</v>
      </c>
      <c r="S25" s="228">
        <v>-2</v>
      </c>
      <c r="T25" s="229">
        <v>-7.4000000000000003E-3</v>
      </c>
      <c r="U25" s="228">
        <v>270</v>
      </c>
      <c r="V25" s="228">
        <v>271.60000000000002</v>
      </c>
      <c r="W25" s="228">
        <v>-1.6</v>
      </c>
      <c r="X25" s="229">
        <v>-5.8999999999999999E-3</v>
      </c>
      <c r="Y25" s="228">
        <v>0.7</v>
      </c>
      <c r="Z25" s="228">
        <v>0.45</v>
      </c>
      <c r="AA25" s="228">
        <v>0.25</v>
      </c>
      <c r="AB25" s="229">
        <v>2.5999999999999999E-3</v>
      </c>
      <c r="AC25" s="228">
        <v>0.7</v>
      </c>
      <c r="AD25" s="228">
        <v>0.45</v>
      </c>
      <c r="AE25" s="228">
        <v>0.25</v>
      </c>
      <c r="AF25" s="229">
        <v>2.5999999999999999E-3</v>
      </c>
      <c r="AG25" s="228">
        <v>2.15</v>
      </c>
      <c r="AH25" s="228">
        <v>1.9</v>
      </c>
      <c r="AI25" s="228">
        <v>0.25</v>
      </c>
      <c r="AJ25" s="229">
        <v>8.0999999999999996E-3</v>
      </c>
      <c r="AK25" s="228">
        <v>3.85</v>
      </c>
      <c r="AL25" s="228">
        <v>3.2</v>
      </c>
      <c r="AM25" s="228">
        <v>0.65</v>
      </c>
      <c r="AN25" s="229">
        <v>1.4500000000000001E-2</v>
      </c>
      <c r="AO25" s="228">
        <v>267.63</v>
      </c>
      <c r="AP25" s="228">
        <v>269.07</v>
      </c>
      <c r="AQ25" s="228">
        <v>0</v>
      </c>
      <c r="AR25" s="230">
        <v>15882750</v>
      </c>
      <c r="AS25" s="230">
        <v>20229300</v>
      </c>
      <c r="AT25" s="230">
        <v>-4346550</v>
      </c>
      <c r="AU25" s="229">
        <v>-0.21490000000000001</v>
      </c>
      <c r="AV25" s="230">
        <v>13861575</v>
      </c>
      <c r="AW25" s="230">
        <v>17014725</v>
      </c>
      <c r="AX25" s="230">
        <v>-3153150</v>
      </c>
      <c r="AY25" s="229">
        <v>-0.18529999999999999</v>
      </c>
      <c r="AZ25" s="230">
        <v>1965600</v>
      </c>
      <c r="BA25" s="230">
        <v>3147300</v>
      </c>
      <c r="BB25" s="230">
        <v>-1181700</v>
      </c>
      <c r="BC25" s="229">
        <v>-0.3755</v>
      </c>
      <c r="BD25" s="230">
        <v>55575</v>
      </c>
      <c r="BE25" s="230">
        <v>67275</v>
      </c>
      <c r="BF25" s="230">
        <v>-11700</v>
      </c>
      <c r="BG25" s="229">
        <v>-0.1739</v>
      </c>
      <c r="BH25" s="230">
        <v>33798375</v>
      </c>
      <c r="BI25" s="230">
        <v>52863525</v>
      </c>
      <c r="BJ25" s="230">
        <v>-19065150</v>
      </c>
      <c r="BK25" s="229">
        <v>-0.36059999999999998</v>
      </c>
      <c r="BL25" s="230">
        <v>17564625</v>
      </c>
      <c r="BM25" s="230">
        <v>31815225</v>
      </c>
      <c r="BN25" s="230">
        <v>-14250600</v>
      </c>
      <c r="BO25" s="229">
        <v>-0.44790000000000002</v>
      </c>
      <c r="BP25" s="230">
        <v>67245750</v>
      </c>
      <c r="BQ25" s="230">
        <v>104908050</v>
      </c>
      <c r="BR25" s="230">
        <v>-37662300</v>
      </c>
      <c r="BS25" s="229">
        <v>-0.35899999999999999</v>
      </c>
      <c r="BT25" s="230">
        <v>7582506</v>
      </c>
      <c r="BU25" s="230">
        <v>8759913</v>
      </c>
      <c r="BV25" s="230">
        <v>-1177407</v>
      </c>
      <c r="BW25" s="229">
        <v>-0.13439999999999999</v>
      </c>
      <c r="BX25" s="230">
        <v>124017075</v>
      </c>
      <c r="BY25" s="230">
        <v>123353100</v>
      </c>
      <c r="BZ25" s="230">
        <v>663975</v>
      </c>
      <c r="CA25" s="229">
        <v>5.4000000000000003E-3</v>
      </c>
      <c r="CB25" s="230">
        <v>118155375</v>
      </c>
      <c r="CC25" s="230">
        <v>118313325</v>
      </c>
      <c r="CD25" s="230">
        <v>-157950</v>
      </c>
      <c r="CE25" s="229">
        <v>-1.2999999999999999E-3</v>
      </c>
      <c r="CF25" s="230">
        <v>5624775</v>
      </c>
      <c r="CG25" s="230">
        <v>4829175</v>
      </c>
      <c r="CH25" s="230">
        <v>795600</v>
      </c>
      <c r="CI25" s="229">
        <v>0.16470000000000001</v>
      </c>
      <c r="CJ25" s="230">
        <v>236925</v>
      </c>
      <c r="CK25" s="230">
        <v>210600</v>
      </c>
      <c r="CL25" s="230">
        <v>26325</v>
      </c>
      <c r="CM25" s="229">
        <v>0.125</v>
      </c>
      <c r="CN25" s="230">
        <v>47385000</v>
      </c>
      <c r="CO25" s="230">
        <v>45217575</v>
      </c>
      <c r="CP25" s="230">
        <v>2167425</v>
      </c>
      <c r="CQ25" s="229">
        <v>4.7899999999999998E-2</v>
      </c>
      <c r="CR25" s="230">
        <v>32215950</v>
      </c>
      <c r="CS25" s="230">
        <v>32704425</v>
      </c>
      <c r="CT25" s="230">
        <v>-488475</v>
      </c>
      <c r="CU25" s="229">
        <v>-1.49E-2</v>
      </c>
      <c r="CV25" s="230">
        <v>203618025</v>
      </c>
      <c r="CW25" s="230">
        <v>201275100</v>
      </c>
      <c r="CX25" s="230">
        <v>2342925</v>
      </c>
      <c r="CY25" s="229">
        <v>1.1599999999999999E-2</v>
      </c>
      <c r="CZ25" s="228">
        <v>28.27</v>
      </c>
      <c r="DA25" s="228">
        <v>27.99</v>
      </c>
      <c r="DB25" s="228">
        <v>0.28000000000000003</v>
      </c>
      <c r="DC25" s="228">
        <v>0.28000000000000003</v>
      </c>
      <c r="DD25" s="228">
        <v>35.36</v>
      </c>
      <c r="DE25" s="228">
        <v>35.43</v>
      </c>
      <c r="DF25" s="228">
        <v>-7.09</v>
      </c>
      <c r="DG25" s="228">
        <v>-7.0000000000000007E-2</v>
      </c>
      <c r="DH25" s="228">
        <v>28.48</v>
      </c>
      <c r="DI25" s="228">
        <v>27.68</v>
      </c>
      <c r="DJ25" s="228">
        <v>0.8</v>
      </c>
      <c r="DK25" s="228">
        <v>0.8</v>
      </c>
      <c r="DL25" s="228">
        <v>27.86</v>
      </c>
      <c r="DM25" s="228">
        <v>28.51</v>
      </c>
      <c r="DN25" s="228">
        <v>-0.65</v>
      </c>
      <c r="DO25" s="228">
        <v>-0.65</v>
      </c>
      <c r="DP25" s="228">
        <v>0.68</v>
      </c>
      <c r="DQ25" s="228">
        <v>0.72</v>
      </c>
      <c r="DR25" s="228">
        <v>-0.04</v>
      </c>
      <c r="DS25" s="229">
        <v>-5.5599999999999997E-2</v>
      </c>
      <c r="DT25" s="228">
        <v>285</v>
      </c>
      <c r="DU25" s="228">
        <v>250</v>
      </c>
      <c r="DV25" s="228">
        <v>0.52</v>
      </c>
      <c r="DW25" s="228">
        <v>0.6</v>
      </c>
      <c r="DX25" s="228">
        <v>-0.08</v>
      </c>
      <c r="DY25" s="229">
        <v>-0.1333</v>
      </c>
      <c r="DZ25" s="229">
        <v>4.7300000000000002E-2</v>
      </c>
      <c r="EA25" s="230">
        <v>5039775</v>
      </c>
      <c r="EB25" s="229">
        <v>5.4000000000000003E-3</v>
      </c>
      <c r="EC25" s="229">
        <v>4.7300000000000002E-2</v>
      </c>
      <c r="ED25" s="228">
        <v>1.44</v>
      </c>
      <c r="EE25" s="229">
        <v>5.4000000000000003E-3</v>
      </c>
      <c r="EF25" s="230">
        <v>4296948</v>
      </c>
      <c r="EG25" s="230">
        <v>5021471</v>
      </c>
      <c r="EH25" s="229">
        <v>-0.14430000000000001</v>
      </c>
      <c r="EI25" s="229">
        <v>0.56669999999999998</v>
      </c>
      <c r="EJ25" s="231">
        <v>93868.31</v>
      </c>
      <c r="EK25" s="231">
        <v>46643.519999999997</v>
      </c>
      <c r="EL25" s="231">
        <v>42536.67</v>
      </c>
      <c r="EM25" s="231">
        <v>5805</v>
      </c>
      <c r="EN25" s="231">
        <v>183048.5</v>
      </c>
      <c r="EO25" s="231">
        <v>285828.53000000003</v>
      </c>
      <c r="EP25" s="231">
        <v>-102780.03</v>
      </c>
      <c r="EQ25" s="229">
        <v>-0.35959999999999998</v>
      </c>
      <c r="ER25" s="231">
        <v>128599</v>
      </c>
      <c r="ES25" s="231">
        <v>82560</v>
      </c>
      <c r="ET25" s="231">
        <v>331029</v>
      </c>
      <c r="EU25" s="231">
        <v>257509827</v>
      </c>
      <c r="EV25" s="231">
        <v>542187</v>
      </c>
      <c r="EW25" s="231">
        <v>537892</v>
      </c>
      <c r="EX25" s="231">
        <v>4295</v>
      </c>
      <c r="EY25" s="229">
        <v>8.0000000000000002E-3</v>
      </c>
      <c r="EZ25" s="229">
        <v>0.79069999999999996</v>
      </c>
      <c r="FA25" s="227" t="s">
        <v>567</v>
      </c>
      <c r="FB25" s="161">
        <f t="shared" si="0"/>
        <v>5861700</v>
      </c>
    </row>
    <row r="26" spans="1:158" ht="17.25" hidden="1" thickBot="1" x14ac:dyDescent="0.3">
      <c r="A26" s="226">
        <v>45946</v>
      </c>
      <c r="B26" s="227" t="s">
        <v>172</v>
      </c>
      <c r="C26" s="227" t="s">
        <v>602</v>
      </c>
      <c r="D26" s="228">
        <v>5200</v>
      </c>
      <c r="E26" s="228">
        <v>125.76</v>
      </c>
      <c r="F26" s="228">
        <v>126.85</v>
      </c>
      <c r="G26" s="228">
        <v>-1.0900000000000001</v>
      </c>
      <c r="H26" s="229">
        <v>-8.6E-3</v>
      </c>
      <c r="I26" s="228">
        <v>125.42</v>
      </c>
      <c r="J26" s="228">
        <v>126.34</v>
      </c>
      <c r="K26" s="228">
        <v>-0.92</v>
      </c>
      <c r="L26" s="229">
        <v>-7.3000000000000001E-3</v>
      </c>
      <c r="M26" s="228">
        <v>125.76</v>
      </c>
      <c r="N26" s="228">
        <v>126.85</v>
      </c>
      <c r="O26" s="228">
        <v>-1.0900000000000001</v>
      </c>
      <c r="P26" s="229">
        <v>-8.6E-3</v>
      </c>
      <c r="Q26" s="228">
        <v>126.44</v>
      </c>
      <c r="R26" s="228">
        <v>127.52</v>
      </c>
      <c r="S26" s="228">
        <v>-1.08</v>
      </c>
      <c r="T26" s="229">
        <v>-8.5000000000000006E-3</v>
      </c>
      <c r="U26" s="228">
        <v>127.3</v>
      </c>
      <c r="V26" s="228">
        <v>128.33000000000001</v>
      </c>
      <c r="W26" s="228">
        <v>-1.03</v>
      </c>
      <c r="X26" s="229">
        <v>-8.0000000000000002E-3</v>
      </c>
      <c r="Y26" s="228">
        <v>0.34</v>
      </c>
      <c r="Z26" s="228">
        <v>0.51</v>
      </c>
      <c r="AA26" s="228">
        <v>-0.17</v>
      </c>
      <c r="AB26" s="229">
        <v>2.7000000000000001E-3</v>
      </c>
      <c r="AC26" s="228">
        <v>0.34</v>
      </c>
      <c r="AD26" s="228">
        <v>0.51</v>
      </c>
      <c r="AE26" s="228">
        <v>-0.17</v>
      </c>
      <c r="AF26" s="229">
        <v>2.7000000000000001E-3</v>
      </c>
      <c r="AG26" s="228">
        <v>1.02</v>
      </c>
      <c r="AH26" s="228">
        <v>1.18</v>
      </c>
      <c r="AI26" s="228">
        <v>-0.16</v>
      </c>
      <c r="AJ26" s="229">
        <v>8.0999999999999996E-3</v>
      </c>
      <c r="AK26" s="228">
        <v>1.88</v>
      </c>
      <c r="AL26" s="228">
        <v>1.99</v>
      </c>
      <c r="AM26" s="228">
        <v>-0.11</v>
      </c>
      <c r="AN26" s="229">
        <v>1.4999999999999999E-2</v>
      </c>
      <c r="AO26" s="228">
        <v>126.42</v>
      </c>
      <c r="AP26" s="228">
        <v>126.99</v>
      </c>
      <c r="AQ26" s="228">
        <v>0</v>
      </c>
      <c r="AR26" s="230">
        <v>13920400</v>
      </c>
      <c r="AS26" s="230">
        <v>14159600</v>
      </c>
      <c r="AT26" s="230">
        <v>-239200</v>
      </c>
      <c r="AU26" s="229">
        <v>-1.6899999999999998E-2</v>
      </c>
      <c r="AV26" s="230">
        <v>12136800</v>
      </c>
      <c r="AW26" s="230">
        <v>11466000</v>
      </c>
      <c r="AX26" s="230">
        <v>670800</v>
      </c>
      <c r="AY26" s="229">
        <v>5.8500000000000003E-2</v>
      </c>
      <c r="AZ26" s="230">
        <v>1684800</v>
      </c>
      <c r="BA26" s="230">
        <v>2485600</v>
      </c>
      <c r="BB26" s="230">
        <v>-800800</v>
      </c>
      <c r="BC26" s="229">
        <v>-0.32219999999999999</v>
      </c>
      <c r="BD26" s="230">
        <v>98800</v>
      </c>
      <c r="BE26" s="230">
        <v>208000</v>
      </c>
      <c r="BF26" s="230">
        <v>-109200</v>
      </c>
      <c r="BG26" s="229">
        <v>-0.52500000000000002</v>
      </c>
      <c r="BH26" s="230">
        <v>16333200</v>
      </c>
      <c r="BI26" s="230">
        <v>17934800</v>
      </c>
      <c r="BJ26" s="230">
        <v>-1601600</v>
      </c>
      <c r="BK26" s="229">
        <v>-8.9300000000000004E-2</v>
      </c>
      <c r="BL26" s="230">
        <v>5293600</v>
      </c>
      <c r="BM26" s="230">
        <v>5241600</v>
      </c>
      <c r="BN26" s="230">
        <v>52000</v>
      </c>
      <c r="BO26" s="229">
        <v>9.9000000000000008E-3</v>
      </c>
      <c r="BP26" s="230">
        <v>35547200</v>
      </c>
      <c r="BQ26" s="230">
        <v>37336000</v>
      </c>
      <c r="BR26" s="230">
        <v>-1788800</v>
      </c>
      <c r="BS26" s="229">
        <v>-4.7899999999999998E-2</v>
      </c>
      <c r="BT26" s="230">
        <v>5203637</v>
      </c>
      <c r="BU26" s="230">
        <v>6708235</v>
      </c>
      <c r="BV26" s="230">
        <v>-1504598</v>
      </c>
      <c r="BW26" s="229">
        <v>-0.2243</v>
      </c>
      <c r="BX26" s="230">
        <v>70397600</v>
      </c>
      <c r="BY26" s="230">
        <v>70231200</v>
      </c>
      <c r="BZ26" s="230">
        <v>166400</v>
      </c>
      <c r="CA26" s="229">
        <v>2.3999999999999998E-3</v>
      </c>
      <c r="CB26" s="230">
        <v>64844000</v>
      </c>
      <c r="CC26" s="230">
        <v>65421200</v>
      </c>
      <c r="CD26" s="230">
        <v>-577200</v>
      </c>
      <c r="CE26" s="229">
        <v>-8.8000000000000005E-3</v>
      </c>
      <c r="CF26" s="230">
        <v>5090800</v>
      </c>
      <c r="CG26" s="230">
        <v>4399200</v>
      </c>
      <c r="CH26" s="230">
        <v>691600</v>
      </c>
      <c r="CI26" s="229">
        <v>0.15720000000000001</v>
      </c>
      <c r="CJ26" s="230">
        <v>462800</v>
      </c>
      <c r="CK26" s="230">
        <v>410800</v>
      </c>
      <c r="CL26" s="230">
        <v>52000</v>
      </c>
      <c r="CM26" s="229">
        <v>0.12659999999999999</v>
      </c>
      <c r="CN26" s="230">
        <v>31600400</v>
      </c>
      <c r="CO26" s="230">
        <v>31636800</v>
      </c>
      <c r="CP26" s="230">
        <v>-36400</v>
      </c>
      <c r="CQ26" s="229">
        <v>-1.1999999999999999E-3</v>
      </c>
      <c r="CR26" s="230">
        <v>17342000</v>
      </c>
      <c r="CS26" s="230">
        <v>16879200</v>
      </c>
      <c r="CT26" s="230">
        <v>462800</v>
      </c>
      <c r="CU26" s="229">
        <v>2.7400000000000001E-2</v>
      </c>
      <c r="CV26" s="230">
        <v>119340000</v>
      </c>
      <c r="CW26" s="230">
        <v>118747200</v>
      </c>
      <c r="CX26" s="230">
        <v>592800</v>
      </c>
      <c r="CY26" s="229">
        <v>5.0000000000000001E-3</v>
      </c>
      <c r="CZ26" s="228">
        <v>33.68</v>
      </c>
      <c r="DA26" s="228">
        <v>31.67</v>
      </c>
      <c r="DB26" s="228">
        <v>2.0099999999999998</v>
      </c>
      <c r="DC26" s="228">
        <v>2.0099999999999998</v>
      </c>
      <c r="DD26" s="228">
        <v>39.33</v>
      </c>
      <c r="DE26" s="228">
        <v>39.409999999999997</v>
      </c>
      <c r="DF26" s="228">
        <v>-5.65</v>
      </c>
      <c r="DG26" s="228">
        <v>-0.08</v>
      </c>
      <c r="DH26" s="228">
        <v>33.82</v>
      </c>
      <c r="DI26" s="228">
        <v>31.62</v>
      </c>
      <c r="DJ26" s="228">
        <v>2.2000000000000002</v>
      </c>
      <c r="DK26" s="228">
        <v>2.2000000000000002</v>
      </c>
      <c r="DL26" s="228">
        <v>33.22</v>
      </c>
      <c r="DM26" s="228">
        <v>31.85</v>
      </c>
      <c r="DN26" s="228">
        <v>1.37</v>
      </c>
      <c r="DO26" s="228">
        <v>1.37</v>
      </c>
      <c r="DP26" s="228">
        <v>0.55000000000000004</v>
      </c>
      <c r="DQ26" s="228">
        <v>0.53</v>
      </c>
      <c r="DR26" s="228">
        <v>0.02</v>
      </c>
      <c r="DS26" s="229">
        <v>3.7699999999999997E-2</v>
      </c>
      <c r="DT26" s="228">
        <v>130</v>
      </c>
      <c r="DU26" s="228">
        <v>125</v>
      </c>
      <c r="DV26" s="228">
        <v>0.32</v>
      </c>
      <c r="DW26" s="228">
        <v>0.28999999999999998</v>
      </c>
      <c r="DX26" s="228">
        <v>0.03</v>
      </c>
      <c r="DY26" s="229">
        <v>0.10340000000000001</v>
      </c>
      <c r="DZ26" s="229">
        <v>7.8899999999999998E-2</v>
      </c>
      <c r="EA26" s="230">
        <v>4810000</v>
      </c>
      <c r="EB26" s="229">
        <v>5.4000000000000003E-3</v>
      </c>
      <c r="EC26" s="229">
        <v>7.8899999999999998E-2</v>
      </c>
      <c r="ED26" s="228">
        <v>0.56999999999999995</v>
      </c>
      <c r="EE26" s="229">
        <v>4.4999999999999997E-3</v>
      </c>
      <c r="EF26" s="230">
        <v>2279132</v>
      </c>
      <c r="EG26" s="230">
        <v>3456079</v>
      </c>
      <c r="EH26" s="229">
        <v>-0.34050000000000002</v>
      </c>
      <c r="EI26" s="229">
        <v>0.438</v>
      </c>
      <c r="EJ26" s="231">
        <v>21480.68</v>
      </c>
      <c r="EK26" s="231">
        <v>6736.65</v>
      </c>
      <c r="EL26" s="231">
        <v>17609.62</v>
      </c>
      <c r="EM26" s="231">
        <v>2217</v>
      </c>
      <c r="EN26" s="231">
        <v>45826.95</v>
      </c>
      <c r="EO26" s="231">
        <v>48068.86</v>
      </c>
      <c r="EP26" s="231">
        <v>-2241.91</v>
      </c>
      <c r="EQ26" s="229">
        <v>-4.6600000000000003E-2</v>
      </c>
      <c r="ER26" s="231">
        <v>40896</v>
      </c>
      <c r="ES26" s="231">
        <v>20753</v>
      </c>
      <c r="ET26" s="231">
        <v>88574</v>
      </c>
      <c r="EU26" s="231">
        <v>181770921</v>
      </c>
      <c r="EV26" s="231">
        <v>150223</v>
      </c>
      <c r="EW26" s="231">
        <v>150257</v>
      </c>
      <c r="EX26" s="228">
        <v>-34</v>
      </c>
      <c r="EY26" s="229">
        <v>-2.0000000000000001E-4</v>
      </c>
      <c r="EZ26" s="229">
        <v>0.65649999999999997</v>
      </c>
      <c r="FA26" s="227" t="s">
        <v>567</v>
      </c>
      <c r="FB26" s="161">
        <f t="shared" si="0"/>
        <v>5553600</v>
      </c>
    </row>
    <row r="27" spans="1:158" ht="17.25" hidden="1" thickBot="1" x14ac:dyDescent="0.3">
      <c r="A27" s="226">
        <v>45946</v>
      </c>
      <c r="B27" s="227" t="s">
        <v>181</v>
      </c>
      <c r="C27" s="227" t="s">
        <v>182</v>
      </c>
      <c r="D27" s="228">
        <v>35</v>
      </c>
      <c r="E27" s="231">
        <v>57486.2</v>
      </c>
      <c r="F27" s="231">
        <v>56987.199999999997</v>
      </c>
      <c r="G27" s="228">
        <v>499</v>
      </c>
      <c r="H27" s="229">
        <v>8.8000000000000005E-3</v>
      </c>
      <c r="I27" s="231">
        <v>57422.55</v>
      </c>
      <c r="J27" s="231">
        <v>56799.9</v>
      </c>
      <c r="K27" s="228">
        <v>622.65</v>
      </c>
      <c r="L27" s="229">
        <v>1.0999999999999999E-2</v>
      </c>
      <c r="M27" s="231">
        <v>57486.2</v>
      </c>
      <c r="N27" s="231">
        <v>56987.199999999997</v>
      </c>
      <c r="O27" s="228">
        <v>499</v>
      </c>
      <c r="P27" s="229">
        <v>8.8000000000000005E-3</v>
      </c>
      <c r="Q27" s="231">
        <v>57784.800000000003</v>
      </c>
      <c r="R27" s="231">
        <v>57274.6</v>
      </c>
      <c r="S27" s="228">
        <v>510.2</v>
      </c>
      <c r="T27" s="229">
        <v>8.8999999999999999E-3</v>
      </c>
      <c r="U27" s="231">
        <v>58111.4</v>
      </c>
      <c r="V27" s="231">
        <v>57624.800000000003</v>
      </c>
      <c r="W27" s="228">
        <v>486.6</v>
      </c>
      <c r="X27" s="229">
        <v>8.3999999999999995E-3</v>
      </c>
      <c r="Y27" s="228">
        <v>63.65</v>
      </c>
      <c r="Z27" s="228">
        <v>187.3</v>
      </c>
      <c r="AA27" s="228">
        <v>-123.65</v>
      </c>
      <c r="AB27" s="229">
        <v>1.1000000000000001E-3</v>
      </c>
      <c r="AC27" s="228">
        <v>63.65</v>
      </c>
      <c r="AD27" s="228">
        <v>187.3</v>
      </c>
      <c r="AE27" s="228">
        <v>-123.65</v>
      </c>
      <c r="AF27" s="229">
        <v>1.1000000000000001E-3</v>
      </c>
      <c r="AG27" s="228">
        <v>362.25</v>
      </c>
      <c r="AH27" s="228">
        <v>474.7</v>
      </c>
      <c r="AI27" s="228">
        <v>-112.45</v>
      </c>
      <c r="AJ27" s="229">
        <v>6.3E-3</v>
      </c>
      <c r="AK27" s="228">
        <v>688.85</v>
      </c>
      <c r="AL27" s="228">
        <v>824.9</v>
      </c>
      <c r="AM27" s="228">
        <v>-136.05000000000001</v>
      </c>
      <c r="AN27" s="229">
        <v>1.2E-2</v>
      </c>
      <c r="AO27" s="231">
        <v>57363.01</v>
      </c>
      <c r="AP27" s="231">
        <v>57667.78</v>
      </c>
      <c r="AQ27" s="228">
        <v>0</v>
      </c>
      <c r="AR27" s="230">
        <v>1214115</v>
      </c>
      <c r="AS27" s="230">
        <v>857920</v>
      </c>
      <c r="AT27" s="230">
        <v>356195</v>
      </c>
      <c r="AU27" s="229">
        <v>0.41520000000000001</v>
      </c>
      <c r="AV27" s="230">
        <v>1008805</v>
      </c>
      <c r="AW27" s="230">
        <v>751905</v>
      </c>
      <c r="AX27" s="230">
        <v>256900</v>
      </c>
      <c r="AY27" s="229">
        <v>0.3417</v>
      </c>
      <c r="AZ27" s="230">
        <v>137445</v>
      </c>
      <c r="BA27" s="230">
        <v>75390</v>
      </c>
      <c r="BB27" s="230">
        <v>62055</v>
      </c>
      <c r="BC27" s="229">
        <v>0.82310000000000005</v>
      </c>
      <c r="BD27" s="230">
        <v>67865</v>
      </c>
      <c r="BE27" s="230">
        <v>30625</v>
      </c>
      <c r="BF27" s="230">
        <v>37240</v>
      </c>
      <c r="BG27" s="229">
        <v>1.216</v>
      </c>
      <c r="BH27" s="230">
        <v>79310840</v>
      </c>
      <c r="BI27" s="230">
        <v>62327720</v>
      </c>
      <c r="BJ27" s="230">
        <v>16983120</v>
      </c>
      <c r="BK27" s="229">
        <v>0.27250000000000002</v>
      </c>
      <c r="BL27" s="230">
        <v>69322820</v>
      </c>
      <c r="BM27" s="230">
        <v>54056135</v>
      </c>
      <c r="BN27" s="230">
        <v>15266685</v>
      </c>
      <c r="BO27" s="229">
        <v>0.28239999999999998</v>
      </c>
      <c r="BP27" s="230">
        <v>149847775</v>
      </c>
      <c r="BQ27" s="230">
        <v>117241775</v>
      </c>
      <c r="BR27" s="230">
        <v>32606000</v>
      </c>
      <c r="BS27" s="229">
        <v>0.27810000000000001</v>
      </c>
      <c r="BT27" s="228">
        <v>0</v>
      </c>
      <c r="BU27" s="228">
        <v>0</v>
      </c>
      <c r="BV27" s="228">
        <v>0</v>
      </c>
      <c r="BW27" s="229">
        <v>0</v>
      </c>
      <c r="BX27" s="230">
        <v>1983415</v>
      </c>
      <c r="BY27" s="230">
        <v>1947540</v>
      </c>
      <c r="BZ27" s="230">
        <v>35875</v>
      </c>
      <c r="CA27" s="229">
        <v>1.84E-2</v>
      </c>
      <c r="CB27" s="230">
        <v>1692985</v>
      </c>
      <c r="CC27" s="230">
        <v>1694735</v>
      </c>
      <c r="CD27" s="230">
        <v>-1750</v>
      </c>
      <c r="CE27" s="229">
        <v>-1E-3</v>
      </c>
      <c r="CF27" s="230">
        <v>214900</v>
      </c>
      <c r="CG27" s="230">
        <v>197540</v>
      </c>
      <c r="CH27" s="230">
        <v>17360</v>
      </c>
      <c r="CI27" s="229">
        <v>8.7900000000000006E-2</v>
      </c>
      <c r="CJ27" s="230">
        <v>75530</v>
      </c>
      <c r="CK27" s="230">
        <v>55265</v>
      </c>
      <c r="CL27" s="230">
        <v>20265</v>
      </c>
      <c r="CM27" s="229">
        <v>0.36670000000000003</v>
      </c>
      <c r="CN27" s="230">
        <v>19753045</v>
      </c>
      <c r="CO27" s="230">
        <v>20064570</v>
      </c>
      <c r="CP27" s="230">
        <v>-311525</v>
      </c>
      <c r="CQ27" s="229">
        <v>-1.55E-2</v>
      </c>
      <c r="CR27" s="230">
        <v>23391145</v>
      </c>
      <c r="CS27" s="230">
        <v>22053910</v>
      </c>
      <c r="CT27" s="230">
        <v>1337235</v>
      </c>
      <c r="CU27" s="229">
        <v>6.0600000000000001E-2</v>
      </c>
      <c r="CV27" s="230">
        <v>45127605</v>
      </c>
      <c r="CW27" s="230">
        <v>44066020</v>
      </c>
      <c r="CX27" s="230">
        <v>1061585</v>
      </c>
      <c r="CY27" s="229">
        <v>2.41E-2</v>
      </c>
      <c r="CZ27" s="228">
        <v>12.81</v>
      </c>
      <c r="DA27" s="228">
        <v>12.02</v>
      </c>
      <c r="DB27" s="228">
        <v>0.79</v>
      </c>
      <c r="DC27" s="228">
        <v>0.79</v>
      </c>
      <c r="DD27" s="228">
        <v>17.23</v>
      </c>
      <c r="DE27" s="228">
        <v>17.21</v>
      </c>
      <c r="DF27" s="228">
        <v>-4.42</v>
      </c>
      <c r="DG27" s="228">
        <v>0.02</v>
      </c>
      <c r="DH27" s="228">
        <v>11.31</v>
      </c>
      <c r="DI27" s="228">
        <v>10.75</v>
      </c>
      <c r="DJ27" s="228">
        <v>0.56000000000000005</v>
      </c>
      <c r="DK27" s="228">
        <v>0.56000000000000005</v>
      </c>
      <c r="DL27" s="228">
        <v>14.53</v>
      </c>
      <c r="DM27" s="228">
        <v>13.48</v>
      </c>
      <c r="DN27" s="228">
        <v>1.05</v>
      </c>
      <c r="DO27" s="228">
        <v>1.05</v>
      </c>
      <c r="DP27" s="228">
        <v>1.18</v>
      </c>
      <c r="DQ27" s="228">
        <v>1.1000000000000001</v>
      </c>
      <c r="DR27" s="228">
        <v>0.08</v>
      </c>
      <c r="DS27" s="229">
        <v>7.2700000000000001E-2</v>
      </c>
      <c r="DT27" s="231">
        <v>57000</v>
      </c>
      <c r="DU27" s="231">
        <v>57000</v>
      </c>
      <c r="DV27" s="228">
        <v>0.87</v>
      </c>
      <c r="DW27" s="228">
        <v>0.87</v>
      </c>
      <c r="DX27" s="228">
        <v>0</v>
      </c>
      <c r="DY27" s="229">
        <v>0</v>
      </c>
      <c r="DZ27" s="229">
        <v>0.1464</v>
      </c>
      <c r="EA27" s="230">
        <v>252805</v>
      </c>
      <c r="EB27" s="229">
        <v>5.1999999999999998E-3</v>
      </c>
      <c r="EC27" s="229">
        <v>0.1464</v>
      </c>
      <c r="ED27" s="228">
        <v>304.77</v>
      </c>
      <c r="EE27" s="229">
        <v>5.3E-3</v>
      </c>
      <c r="EF27" s="228">
        <v>0</v>
      </c>
      <c r="EG27" s="228">
        <v>0</v>
      </c>
      <c r="EH27" s="229">
        <v>0</v>
      </c>
      <c r="EI27" s="229">
        <v>0</v>
      </c>
      <c r="EJ27" s="231">
        <v>46292690.439999998</v>
      </c>
      <c r="EK27" s="231">
        <v>38677227.899999999</v>
      </c>
      <c r="EL27" s="231">
        <v>697282.29</v>
      </c>
      <c r="EM27" s="228">
        <v>0</v>
      </c>
      <c r="EN27" s="231">
        <v>85667200.629999995</v>
      </c>
      <c r="EO27" s="231">
        <v>66687613.689999998</v>
      </c>
      <c r="EP27" s="231">
        <v>18979586.940000001</v>
      </c>
      <c r="EQ27" s="229">
        <v>0.28460000000000002</v>
      </c>
      <c r="ER27" s="231">
        <v>11409043</v>
      </c>
      <c r="ES27" s="231">
        <v>12829601</v>
      </c>
      <c r="ET27" s="231">
        <v>1141304</v>
      </c>
      <c r="EU27" s="228">
        <v>0</v>
      </c>
      <c r="EV27" s="231">
        <v>25379948</v>
      </c>
      <c r="EW27" s="231">
        <v>24722129</v>
      </c>
      <c r="EX27" s="231">
        <v>657819</v>
      </c>
      <c r="EY27" s="229">
        <v>2.6599999999999999E-2</v>
      </c>
      <c r="EZ27" s="229">
        <v>0</v>
      </c>
      <c r="FA27" s="227" t="s">
        <v>555</v>
      </c>
      <c r="FB27" s="161">
        <f t="shared" si="0"/>
        <v>290430</v>
      </c>
    </row>
    <row r="28" spans="1:158" ht="17.25" hidden="1" thickBot="1" x14ac:dyDescent="0.3">
      <c r="A28" s="226">
        <v>45946</v>
      </c>
      <c r="B28" s="227" t="s">
        <v>184</v>
      </c>
      <c r="C28" s="227" t="s">
        <v>672</v>
      </c>
      <c r="D28" s="228">
        <v>325</v>
      </c>
      <c r="E28" s="231">
        <v>1510.3</v>
      </c>
      <c r="F28" s="231">
        <v>1507</v>
      </c>
      <c r="G28" s="228">
        <v>3.3</v>
      </c>
      <c r="H28" s="229">
        <v>2.2000000000000001E-3</v>
      </c>
      <c r="I28" s="231">
        <v>1504.9</v>
      </c>
      <c r="J28" s="231">
        <v>1500.9</v>
      </c>
      <c r="K28" s="228">
        <v>4</v>
      </c>
      <c r="L28" s="229">
        <v>2.7000000000000001E-3</v>
      </c>
      <c r="M28" s="231">
        <v>1510.3</v>
      </c>
      <c r="N28" s="231">
        <v>1507</v>
      </c>
      <c r="O28" s="228">
        <v>3.3</v>
      </c>
      <c r="P28" s="229">
        <v>2.2000000000000001E-3</v>
      </c>
      <c r="Q28" s="231">
        <v>1518.6</v>
      </c>
      <c r="R28" s="231">
        <v>1515.5</v>
      </c>
      <c r="S28" s="228">
        <v>3.1</v>
      </c>
      <c r="T28" s="229">
        <v>2E-3</v>
      </c>
      <c r="U28" s="231">
        <v>1529.7</v>
      </c>
      <c r="V28" s="231">
        <v>1525.3</v>
      </c>
      <c r="W28" s="228">
        <v>4.4000000000000004</v>
      </c>
      <c r="X28" s="229">
        <v>2.8999999999999998E-3</v>
      </c>
      <c r="Y28" s="228">
        <v>5.4</v>
      </c>
      <c r="Z28" s="228">
        <v>6.1</v>
      </c>
      <c r="AA28" s="228">
        <v>-0.7</v>
      </c>
      <c r="AB28" s="229">
        <v>3.5999999999999999E-3</v>
      </c>
      <c r="AC28" s="228">
        <v>5.4</v>
      </c>
      <c r="AD28" s="228">
        <v>6.1</v>
      </c>
      <c r="AE28" s="228">
        <v>-0.7</v>
      </c>
      <c r="AF28" s="229">
        <v>3.5999999999999999E-3</v>
      </c>
      <c r="AG28" s="228">
        <v>13.7</v>
      </c>
      <c r="AH28" s="228">
        <v>14.6</v>
      </c>
      <c r="AI28" s="228">
        <v>-0.9</v>
      </c>
      <c r="AJ28" s="229">
        <v>9.1000000000000004E-3</v>
      </c>
      <c r="AK28" s="228">
        <v>24.8</v>
      </c>
      <c r="AL28" s="228">
        <v>24.4</v>
      </c>
      <c r="AM28" s="228">
        <v>0.4</v>
      </c>
      <c r="AN28" s="229">
        <v>1.6500000000000001E-2</v>
      </c>
      <c r="AO28" s="231">
        <v>1507.48</v>
      </c>
      <c r="AP28" s="231">
        <v>1514.59</v>
      </c>
      <c r="AQ28" s="228">
        <v>0</v>
      </c>
      <c r="AR28" s="230">
        <v>646425</v>
      </c>
      <c r="AS28" s="230">
        <v>773175</v>
      </c>
      <c r="AT28" s="230">
        <v>-126750</v>
      </c>
      <c r="AU28" s="229">
        <v>-0.16389999999999999</v>
      </c>
      <c r="AV28" s="230">
        <v>489450</v>
      </c>
      <c r="AW28" s="230">
        <v>678600</v>
      </c>
      <c r="AX28" s="230">
        <v>-189150</v>
      </c>
      <c r="AY28" s="229">
        <v>-0.2787</v>
      </c>
      <c r="AZ28" s="230">
        <v>149175</v>
      </c>
      <c r="BA28" s="230">
        <v>85150</v>
      </c>
      <c r="BB28" s="230">
        <v>64025</v>
      </c>
      <c r="BC28" s="229">
        <v>0.75190000000000001</v>
      </c>
      <c r="BD28" s="230">
        <v>7800</v>
      </c>
      <c r="BE28" s="230">
        <v>9425</v>
      </c>
      <c r="BF28" s="230">
        <v>-1625</v>
      </c>
      <c r="BG28" s="229">
        <v>-0.1724</v>
      </c>
      <c r="BH28" s="230">
        <v>3055325</v>
      </c>
      <c r="BI28" s="230">
        <v>3166800</v>
      </c>
      <c r="BJ28" s="230">
        <v>-111475</v>
      </c>
      <c r="BK28" s="229">
        <v>-3.5200000000000002E-2</v>
      </c>
      <c r="BL28" s="230">
        <v>736775</v>
      </c>
      <c r="BM28" s="230">
        <v>1058200</v>
      </c>
      <c r="BN28" s="230">
        <v>-321425</v>
      </c>
      <c r="BO28" s="229">
        <v>-0.30370000000000003</v>
      </c>
      <c r="BP28" s="230">
        <v>4438525</v>
      </c>
      <c r="BQ28" s="230">
        <v>4998175</v>
      </c>
      <c r="BR28" s="230">
        <v>-559650</v>
      </c>
      <c r="BS28" s="229">
        <v>-0.112</v>
      </c>
      <c r="BT28" s="230">
        <v>699615</v>
      </c>
      <c r="BU28" s="230">
        <v>740306</v>
      </c>
      <c r="BV28" s="230">
        <v>-40691</v>
      </c>
      <c r="BW28" s="229">
        <v>-5.5E-2</v>
      </c>
      <c r="BX28" s="230">
        <v>4608175</v>
      </c>
      <c r="BY28" s="230">
        <v>4556500</v>
      </c>
      <c r="BZ28" s="230">
        <v>51675</v>
      </c>
      <c r="CA28" s="229">
        <v>1.1299999999999999E-2</v>
      </c>
      <c r="CB28" s="230">
        <v>4173975</v>
      </c>
      <c r="CC28" s="230">
        <v>4194775</v>
      </c>
      <c r="CD28" s="230">
        <v>-20800</v>
      </c>
      <c r="CE28" s="229">
        <v>-5.0000000000000001E-3</v>
      </c>
      <c r="CF28" s="230">
        <v>381875</v>
      </c>
      <c r="CG28" s="230">
        <v>315575</v>
      </c>
      <c r="CH28" s="230">
        <v>66300</v>
      </c>
      <c r="CI28" s="229">
        <v>0.21010000000000001</v>
      </c>
      <c r="CJ28" s="230">
        <v>52325</v>
      </c>
      <c r="CK28" s="230">
        <v>46150</v>
      </c>
      <c r="CL28" s="230">
        <v>6175</v>
      </c>
      <c r="CM28" s="229">
        <v>0.1338</v>
      </c>
      <c r="CN28" s="230">
        <v>3703375</v>
      </c>
      <c r="CO28" s="230">
        <v>3728725</v>
      </c>
      <c r="CP28" s="230">
        <v>-25350</v>
      </c>
      <c r="CQ28" s="229">
        <v>-6.7999999999999996E-3</v>
      </c>
      <c r="CR28" s="230">
        <v>2152800</v>
      </c>
      <c r="CS28" s="230">
        <v>2108275</v>
      </c>
      <c r="CT28" s="230">
        <v>44525</v>
      </c>
      <c r="CU28" s="229">
        <v>2.1100000000000001E-2</v>
      </c>
      <c r="CV28" s="230">
        <v>10464350</v>
      </c>
      <c r="CW28" s="230">
        <v>10393500</v>
      </c>
      <c r="CX28" s="230">
        <v>70850</v>
      </c>
      <c r="CY28" s="229">
        <v>6.7999999999999996E-3</v>
      </c>
      <c r="CZ28" s="228">
        <v>32.380000000000003</v>
      </c>
      <c r="DA28" s="228">
        <v>34.22</v>
      </c>
      <c r="DB28" s="228">
        <v>-1.84</v>
      </c>
      <c r="DC28" s="228">
        <v>-1.84</v>
      </c>
      <c r="DD28" s="228">
        <v>52.91</v>
      </c>
      <c r="DE28" s="228">
        <v>53.04</v>
      </c>
      <c r="DF28" s="228">
        <v>-20.53</v>
      </c>
      <c r="DG28" s="228">
        <v>-0.13</v>
      </c>
      <c r="DH28" s="228">
        <v>32.729999999999997</v>
      </c>
      <c r="DI28" s="228">
        <v>34.6</v>
      </c>
      <c r="DJ28" s="228">
        <v>-1.87</v>
      </c>
      <c r="DK28" s="228">
        <v>-1.87</v>
      </c>
      <c r="DL28" s="228">
        <v>30.95</v>
      </c>
      <c r="DM28" s="228">
        <v>33.08</v>
      </c>
      <c r="DN28" s="228">
        <v>-2.13</v>
      </c>
      <c r="DO28" s="228">
        <v>-2.13</v>
      </c>
      <c r="DP28" s="228">
        <v>0.57999999999999996</v>
      </c>
      <c r="DQ28" s="228">
        <v>0.56999999999999995</v>
      </c>
      <c r="DR28" s="228">
        <v>0.01</v>
      </c>
      <c r="DS28" s="229">
        <v>1.7500000000000002E-2</v>
      </c>
      <c r="DT28" s="231">
        <v>1600</v>
      </c>
      <c r="DU28" s="231">
        <v>1450</v>
      </c>
      <c r="DV28" s="228">
        <v>0.24</v>
      </c>
      <c r="DW28" s="228">
        <v>0.33</v>
      </c>
      <c r="DX28" s="228">
        <v>-0.09</v>
      </c>
      <c r="DY28" s="229">
        <v>-0.2727</v>
      </c>
      <c r="DZ28" s="229">
        <v>9.4200000000000006E-2</v>
      </c>
      <c r="EA28" s="230">
        <v>361725</v>
      </c>
      <c r="EB28" s="229">
        <v>5.4999999999999997E-3</v>
      </c>
      <c r="EC28" s="229">
        <v>9.4200000000000006E-2</v>
      </c>
      <c r="ED28" s="228">
        <v>7.11</v>
      </c>
      <c r="EE28" s="229">
        <v>4.7000000000000002E-3</v>
      </c>
      <c r="EF28" s="230">
        <v>233312</v>
      </c>
      <c r="EG28" s="230">
        <v>237344</v>
      </c>
      <c r="EH28" s="229">
        <v>-1.7000000000000001E-2</v>
      </c>
      <c r="EI28" s="229">
        <v>0.33350000000000002</v>
      </c>
      <c r="EJ28" s="231">
        <v>48502.9</v>
      </c>
      <c r="EK28" s="231">
        <v>11141.18</v>
      </c>
      <c r="EL28" s="231">
        <v>9756.76</v>
      </c>
      <c r="EM28" s="231">
        <v>2702</v>
      </c>
      <c r="EN28" s="231">
        <v>69400.84</v>
      </c>
      <c r="EO28" s="231">
        <v>78009.39</v>
      </c>
      <c r="EP28" s="231">
        <v>-8608.5499999999993</v>
      </c>
      <c r="EQ28" s="229">
        <v>-0.1104</v>
      </c>
      <c r="ER28" s="231">
        <v>59834</v>
      </c>
      <c r="ES28" s="231">
        <v>32210</v>
      </c>
      <c r="ET28" s="231">
        <v>69639</v>
      </c>
      <c r="EU28" s="231">
        <v>13786716</v>
      </c>
      <c r="EV28" s="231">
        <v>161683</v>
      </c>
      <c r="EW28" s="231">
        <v>160601</v>
      </c>
      <c r="EX28" s="231">
        <v>1082</v>
      </c>
      <c r="EY28" s="229">
        <v>6.7000000000000002E-3</v>
      </c>
      <c r="EZ28" s="229">
        <v>0.75900000000000001</v>
      </c>
      <c r="FA28" s="227" t="s">
        <v>555</v>
      </c>
      <c r="FB28" s="161">
        <f t="shared" si="0"/>
        <v>434200</v>
      </c>
    </row>
    <row r="29" spans="1:158" ht="17.25" thickBot="1" x14ac:dyDescent="0.3">
      <c r="A29" s="226">
        <v>45946</v>
      </c>
      <c r="B29" s="227" t="s">
        <v>184</v>
      </c>
      <c r="C29" s="227" t="s">
        <v>185</v>
      </c>
      <c r="D29" s="228">
        <v>2850</v>
      </c>
      <c r="E29" s="228">
        <v>413.45</v>
      </c>
      <c r="F29" s="228">
        <v>409.95</v>
      </c>
      <c r="G29" s="228">
        <v>3.5</v>
      </c>
      <c r="H29" s="229">
        <v>8.5000000000000006E-3</v>
      </c>
      <c r="I29" s="228">
        <v>411.8</v>
      </c>
      <c r="J29" s="228">
        <v>408.1</v>
      </c>
      <c r="K29" s="228">
        <v>3.7</v>
      </c>
      <c r="L29" s="229">
        <v>9.1000000000000004E-3</v>
      </c>
      <c r="M29" s="228">
        <v>413.45</v>
      </c>
      <c r="N29" s="228">
        <v>409.95</v>
      </c>
      <c r="O29" s="228">
        <v>3.5</v>
      </c>
      <c r="P29" s="229">
        <v>8.5000000000000006E-3</v>
      </c>
      <c r="Q29" s="228">
        <v>415.6</v>
      </c>
      <c r="R29" s="228">
        <v>412.05</v>
      </c>
      <c r="S29" s="228">
        <v>3.55</v>
      </c>
      <c r="T29" s="229">
        <v>8.6E-3</v>
      </c>
      <c r="U29" s="228">
        <v>418.1</v>
      </c>
      <c r="V29" s="228">
        <v>414.7</v>
      </c>
      <c r="W29" s="228">
        <v>3.4</v>
      </c>
      <c r="X29" s="229">
        <v>8.2000000000000007E-3</v>
      </c>
      <c r="Y29" s="228">
        <v>1.65</v>
      </c>
      <c r="Z29" s="228">
        <v>1.85</v>
      </c>
      <c r="AA29" s="228">
        <v>-0.2</v>
      </c>
      <c r="AB29" s="229">
        <v>4.0000000000000001E-3</v>
      </c>
      <c r="AC29" s="228">
        <v>1.65</v>
      </c>
      <c r="AD29" s="228">
        <v>1.85</v>
      </c>
      <c r="AE29" s="228">
        <v>-0.2</v>
      </c>
      <c r="AF29" s="229">
        <v>4.0000000000000001E-3</v>
      </c>
      <c r="AG29" s="228">
        <v>3.8</v>
      </c>
      <c r="AH29" s="228">
        <v>3.95</v>
      </c>
      <c r="AI29" s="228">
        <v>-0.15</v>
      </c>
      <c r="AJ29" s="229">
        <v>9.1999999999999998E-3</v>
      </c>
      <c r="AK29" s="228">
        <v>6.3</v>
      </c>
      <c r="AL29" s="228">
        <v>6.6</v>
      </c>
      <c r="AM29" s="228">
        <v>-0.3</v>
      </c>
      <c r="AN29" s="229">
        <v>1.5299999999999999E-2</v>
      </c>
      <c r="AO29" s="228">
        <v>413.23</v>
      </c>
      <c r="AP29" s="228">
        <v>415.3</v>
      </c>
      <c r="AQ29" s="228">
        <v>0</v>
      </c>
      <c r="AR29" s="230">
        <v>18969600</v>
      </c>
      <c r="AS29" s="230">
        <v>20736600</v>
      </c>
      <c r="AT29" s="230">
        <v>-1767000</v>
      </c>
      <c r="AU29" s="229">
        <v>-8.5199999999999998E-2</v>
      </c>
      <c r="AV29" s="230">
        <v>15273150</v>
      </c>
      <c r="AW29" s="230">
        <v>16929000</v>
      </c>
      <c r="AX29" s="230">
        <v>-1655850</v>
      </c>
      <c r="AY29" s="229">
        <v>-9.7799999999999998E-2</v>
      </c>
      <c r="AZ29" s="230">
        <v>3320250</v>
      </c>
      <c r="BA29" s="230">
        <v>3397200</v>
      </c>
      <c r="BB29" s="230">
        <v>-76950</v>
      </c>
      <c r="BC29" s="229">
        <v>-2.2700000000000001E-2</v>
      </c>
      <c r="BD29" s="230">
        <v>376200</v>
      </c>
      <c r="BE29" s="230">
        <v>410400</v>
      </c>
      <c r="BF29" s="230">
        <v>-34200</v>
      </c>
      <c r="BG29" s="229">
        <v>-8.3299999999999999E-2</v>
      </c>
      <c r="BH29" s="230">
        <v>76171950</v>
      </c>
      <c r="BI29" s="230">
        <v>87785700</v>
      </c>
      <c r="BJ29" s="230">
        <v>-11613750</v>
      </c>
      <c r="BK29" s="229">
        <v>-0.1323</v>
      </c>
      <c r="BL29" s="230">
        <v>40398750</v>
      </c>
      <c r="BM29" s="230">
        <v>46788450</v>
      </c>
      <c r="BN29" s="230">
        <v>-6389700</v>
      </c>
      <c r="BO29" s="229">
        <v>-0.1366</v>
      </c>
      <c r="BP29" s="230">
        <v>135540300</v>
      </c>
      <c r="BQ29" s="230">
        <v>155310750</v>
      </c>
      <c r="BR29" s="230">
        <v>-19770450</v>
      </c>
      <c r="BS29" s="229">
        <v>-0.1273</v>
      </c>
      <c r="BT29" s="230">
        <v>12260675</v>
      </c>
      <c r="BU29" s="230">
        <v>11371081</v>
      </c>
      <c r="BV29" s="230">
        <v>889594</v>
      </c>
      <c r="BW29" s="229">
        <v>7.8200000000000006E-2</v>
      </c>
      <c r="BX29" s="230">
        <v>112375500</v>
      </c>
      <c r="BY29" s="230">
        <v>112150350</v>
      </c>
      <c r="BZ29" s="230">
        <v>225150</v>
      </c>
      <c r="CA29" s="229">
        <v>2E-3</v>
      </c>
      <c r="CB29" s="230">
        <v>100348500</v>
      </c>
      <c r="CC29" s="230">
        <v>100907100</v>
      </c>
      <c r="CD29" s="230">
        <v>-558600</v>
      </c>
      <c r="CE29" s="229">
        <v>-5.4999999999999997E-3</v>
      </c>
      <c r="CF29" s="230">
        <v>10433850</v>
      </c>
      <c r="CG29" s="230">
        <v>9638700</v>
      </c>
      <c r="CH29" s="230">
        <v>795150</v>
      </c>
      <c r="CI29" s="229">
        <v>8.2500000000000004E-2</v>
      </c>
      <c r="CJ29" s="230">
        <v>1593150</v>
      </c>
      <c r="CK29" s="230">
        <v>1604550</v>
      </c>
      <c r="CL29" s="230">
        <v>-11400</v>
      </c>
      <c r="CM29" s="229">
        <v>-7.1000000000000004E-3</v>
      </c>
      <c r="CN29" s="230">
        <v>71971050</v>
      </c>
      <c r="CO29" s="230">
        <v>74732700</v>
      </c>
      <c r="CP29" s="230">
        <v>-2761650</v>
      </c>
      <c r="CQ29" s="229">
        <v>-3.6999999999999998E-2</v>
      </c>
      <c r="CR29" s="230">
        <v>41838000</v>
      </c>
      <c r="CS29" s="230">
        <v>41875050</v>
      </c>
      <c r="CT29" s="230">
        <v>-37050</v>
      </c>
      <c r="CU29" s="229">
        <v>-8.9999999999999998E-4</v>
      </c>
      <c r="CV29" s="230">
        <v>226184550</v>
      </c>
      <c r="CW29" s="230">
        <v>228758100</v>
      </c>
      <c r="CX29" s="230">
        <v>-2573550</v>
      </c>
      <c r="CY29" s="229">
        <v>-1.1299999999999999E-2</v>
      </c>
      <c r="CZ29" s="228">
        <v>23.36</v>
      </c>
      <c r="DA29" s="228">
        <v>24.2</v>
      </c>
      <c r="DB29" s="228">
        <v>-0.84</v>
      </c>
      <c r="DC29" s="228">
        <v>-0.84</v>
      </c>
      <c r="DD29" s="228">
        <v>37.65</v>
      </c>
      <c r="DE29" s="228">
        <v>37.729999999999997</v>
      </c>
      <c r="DF29" s="228">
        <v>-14.29</v>
      </c>
      <c r="DG29" s="228">
        <v>-0.08</v>
      </c>
      <c r="DH29" s="228">
        <v>23.21</v>
      </c>
      <c r="DI29" s="228">
        <v>24.32</v>
      </c>
      <c r="DJ29" s="228">
        <v>-1.1100000000000001</v>
      </c>
      <c r="DK29" s="228">
        <v>-1.1100000000000001</v>
      </c>
      <c r="DL29" s="228">
        <v>23.62</v>
      </c>
      <c r="DM29" s="228">
        <v>23.97</v>
      </c>
      <c r="DN29" s="228">
        <v>-0.35</v>
      </c>
      <c r="DO29" s="228">
        <v>-0.35</v>
      </c>
      <c r="DP29" s="228">
        <v>0.57999999999999996</v>
      </c>
      <c r="DQ29" s="228">
        <v>0.56000000000000005</v>
      </c>
      <c r="DR29" s="228">
        <v>0.02</v>
      </c>
      <c r="DS29" s="229">
        <v>3.5700000000000003E-2</v>
      </c>
      <c r="DT29" s="228">
        <v>420</v>
      </c>
      <c r="DU29" s="228">
        <v>410</v>
      </c>
      <c r="DV29" s="228">
        <v>0.53</v>
      </c>
      <c r="DW29" s="228">
        <v>0.53</v>
      </c>
      <c r="DX29" s="228">
        <v>0</v>
      </c>
      <c r="DY29" s="229">
        <v>0</v>
      </c>
      <c r="DZ29" s="229">
        <v>0.107</v>
      </c>
      <c r="EA29" s="230">
        <v>11243250</v>
      </c>
      <c r="EB29" s="229">
        <v>5.1999999999999998E-3</v>
      </c>
      <c r="EC29" s="229">
        <v>0.107</v>
      </c>
      <c r="ED29" s="228">
        <v>2.0699999999999998</v>
      </c>
      <c r="EE29" s="229">
        <v>5.0000000000000001E-3</v>
      </c>
      <c r="EF29" s="230">
        <v>7087860</v>
      </c>
      <c r="EG29" s="230">
        <v>5978847</v>
      </c>
      <c r="EH29" s="229">
        <v>0.1855</v>
      </c>
      <c r="EI29" s="229">
        <v>0.57809999999999995</v>
      </c>
      <c r="EJ29" s="231">
        <v>325038.19</v>
      </c>
      <c r="EK29" s="231">
        <v>164094.59</v>
      </c>
      <c r="EL29" s="231">
        <v>78474.37</v>
      </c>
      <c r="EM29" s="231">
        <v>7444</v>
      </c>
      <c r="EN29" s="231">
        <v>567607.15</v>
      </c>
      <c r="EO29" s="231">
        <v>646390.74</v>
      </c>
      <c r="EP29" s="231">
        <v>-78783.59</v>
      </c>
      <c r="EQ29" s="229">
        <v>-0.12189999999999999</v>
      </c>
      <c r="ER29" s="231">
        <v>305942</v>
      </c>
      <c r="ES29" s="231">
        <v>166239</v>
      </c>
      <c r="ET29" s="231">
        <v>464915</v>
      </c>
      <c r="EU29" s="231">
        <v>535778534</v>
      </c>
      <c r="EV29" s="231">
        <v>937096</v>
      </c>
      <c r="EW29" s="231">
        <v>943633</v>
      </c>
      <c r="EX29" s="231">
        <v>-6537</v>
      </c>
      <c r="EY29" s="229">
        <v>-6.8999999999999999E-3</v>
      </c>
      <c r="EZ29" s="229">
        <v>0.42220000000000002</v>
      </c>
      <c r="FA29" s="227" t="s">
        <v>555</v>
      </c>
      <c r="FB29" s="161">
        <f t="shared" si="0"/>
        <v>12027000</v>
      </c>
    </row>
    <row r="30" spans="1:158" ht="17.25" hidden="1" thickBot="1" x14ac:dyDescent="0.3">
      <c r="A30" s="226">
        <v>45946</v>
      </c>
      <c r="B30" s="227" t="s">
        <v>162</v>
      </c>
      <c r="C30" s="227" t="s">
        <v>187</v>
      </c>
      <c r="D30" s="228">
        <v>500</v>
      </c>
      <c r="E30" s="231">
        <v>1270.2</v>
      </c>
      <c r="F30" s="231">
        <v>1231.3</v>
      </c>
      <c r="G30" s="228">
        <v>38.9</v>
      </c>
      <c r="H30" s="229">
        <v>3.1600000000000003E-2</v>
      </c>
      <c r="I30" s="231">
        <v>1265.2</v>
      </c>
      <c r="J30" s="231">
        <v>1232.5999999999999</v>
      </c>
      <c r="K30" s="228">
        <v>32.6</v>
      </c>
      <c r="L30" s="229">
        <v>2.64E-2</v>
      </c>
      <c r="M30" s="231">
        <v>1270.2</v>
      </c>
      <c r="N30" s="231">
        <v>1231.3</v>
      </c>
      <c r="O30" s="228">
        <v>38.9</v>
      </c>
      <c r="P30" s="229">
        <v>3.1600000000000003E-2</v>
      </c>
      <c r="Q30" s="231">
        <v>1264.3</v>
      </c>
      <c r="R30" s="231">
        <v>1226.7</v>
      </c>
      <c r="S30" s="228">
        <v>37.6</v>
      </c>
      <c r="T30" s="229">
        <v>3.0700000000000002E-2</v>
      </c>
      <c r="U30" s="231">
        <v>1261.5</v>
      </c>
      <c r="V30" s="231">
        <v>1228</v>
      </c>
      <c r="W30" s="228">
        <v>33.5</v>
      </c>
      <c r="X30" s="229">
        <v>2.7300000000000001E-2</v>
      </c>
      <c r="Y30" s="228">
        <v>5</v>
      </c>
      <c r="Z30" s="228">
        <v>-1.3</v>
      </c>
      <c r="AA30" s="228">
        <v>6.3</v>
      </c>
      <c r="AB30" s="229">
        <v>4.0000000000000001E-3</v>
      </c>
      <c r="AC30" s="228">
        <v>5</v>
      </c>
      <c r="AD30" s="228">
        <v>-1.3</v>
      </c>
      <c r="AE30" s="228">
        <v>6.3</v>
      </c>
      <c r="AF30" s="229">
        <v>4.0000000000000001E-3</v>
      </c>
      <c r="AG30" s="228">
        <v>-0.9</v>
      </c>
      <c r="AH30" s="228">
        <v>-5.9</v>
      </c>
      <c r="AI30" s="228">
        <v>5</v>
      </c>
      <c r="AJ30" s="229">
        <v>-6.9999999999999999E-4</v>
      </c>
      <c r="AK30" s="228">
        <v>-3.7</v>
      </c>
      <c r="AL30" s="228">
        <v>-4.5999999999999996</v>
      </c>
      <c r="AM30" s="228">
        <v>0.9</v>
      </c>
      <c r="AN30" s="229">
        <v>-2.8999999999999998E-3</v>
      </c>
      <c r="AO30" s="231">
        <v>1264.8599999999999</v>
      </c>
      <c r="AP30" s="231">
        <v>1259.9000000000001</v>
      </c>
      <c r="AQ30" s="228">
        <v>0</v>
      </c>
      <c r="AR30" s="230">
        <v>5793000</v>
      </c>
      <c r="AS30" s="230">
        <v>2811500</v>
      </c>
      <c r="AT30" s="230">
        <v>2981500</v>
      </c>
      <c r="AU30" s="229">
        <v>1.0605</v>
      </c>
      <c r="AV30" s="230">
        <v>4523500</v>
      </c>
      <c r="AW30" s="230">
        <v>2214500</v>
      </c>
      <c r="AX30" s="230">
        <v>2309000</v>
      </c>
      <c r="AY30" s="229">
        <v>1.0427</v>
      </c>
      <c r="AZ30" s="230">
        <v>1191000</v>
      </c>
      <c r="BA30" s="230">
        <v>563500</v>
      </c>
      <c r="BB30" s="230">
        <v>627500</v>
      </c>
      <c r="BC30" s="229">
        <v>1.1135999999999999</v>
      </c>
      <c r="BD30" s="230">
        <v>78500</v>
      </c>
      <c r="BE30" s="230">
        <v>33500</v>
      </c>
      <c r="BF30" s="230">
        <v>45000</v>
      </c>
      <c r="BG30" s="229">
        <v>1.3432999999999999</v>
      </c>
      <c r="BH30" s="230">
        <v>20207500</v>
      </c>
      <c r="BI30" s="230">
        <v>5126500</v>
      </c>
      <c r="BJ30" s="230">
        <v>15081000</v>
      </c>
      <c r="BK30" s="229">
        <v>2.9418000000000002</v>
      </c>
      <c r="BL30" s="230">
        <v>5744000</v>
      </c>
      <c r="BM30" s="230">
        <v>2034500</v>
      </c>
      <c r="BN30" s="230">
        <v>3709500</v>
      </c>
      <c r="BO30" s="229">
        <v>1.8232999999999999</v>
      </c>
      <c r="BP30" s="230">
        <v>31744500</v>
      </c>
      <c r="BQ30" s="230">
        <v>9972500</v>
      </c>
      <c r="BR30" s="230">
        <v>21772000</v>
      </c>
      <c r="BS30" s="229">
        <v>2.1831999999999998</v>
      </c>
      <c r="BT30" s="230">
        <v>1763254</v>
      </c>
      <c r="BU30" s="230">
        <v>383051</v>
      </c>
      <c r="BV30" s="230">
        <v>1380203</v>
      </c>
      <c r="BW30" s="229">
        <v>3.6032000000000002</v>
      </c>
      <c r="BX30" s="230">
        <v>11920500</v>
      </c>
      <c r="BY30" s="230">
        <v>12208000</v>
      </c>
      <c r="BZ30" s="230">
        <v>-287500</v>
      </c>
      <c r="CA30" s="229">
        <v>-2.3599999999999999E-2</v>
      </c>
      <c r="CB30" s="230">
        <v>10193500</v>
      </c>
      <c r="CC30" s="230">
        <v>10929500</v>
      </c>
      <c r="CD30" s="230">
        <v>-736000</v>
      </c>
      <c r="CE30" s="229">
        <v>-6.7299999999999999E-2</v>
      </c>
      <c r="CF30" s="230">
        <v>1634000</v>
      </c>
      <c r="CG30" s="230">
        <v>1215500</v>
      </c>
      <c r="CH30" s="230">
        <v>418500</v>
      </c>
      <c r="CI30" s="229">
        <v>0.34429999999999999</v>
      </c>
      <c r="CJ30" s="230">
        <v>93000</v>
      </c>
      <c r="CK30" s="230">
        <v>63000</v>
      </c>
      <c r="CL30" s="230">
        <v>30000</v>
      </c>
      <c r="CM30" s="229">
        <v>0.47620000000000001</v>
      </c>
      <c r="CN30" s="230">
        <v>4081000</v>
      </c>
      <c r="CO30" s="230">
        <v>3364500</v>
      </c>
      <c r="CP30" s="230">
        <v>716500</v>
      </c>
      <c r="CQ30" s="229">
        <v>0.21299999999999999</v>
      </c>
      <c r="CR30" s="230">
        <v>2479000</v>
      </c>
      <c r="CS30" s="230">
        <v>2223000</v>
      </c>
      <c r="CT30" s="230">
        <v>256000</v>
      </c>
      <c r="CU30" s="229">
        <v>0.1152</v>
      </c>
      <c r="CV30" s="230">
        <v>18480500</v>
      </c>
      <c r="CW30" s="230">
        <v>17795500</v>
      </c>
      <c r="CX30" s="230">
        <v>685000</v>
      </c>
      <c r="CY30" s="229">
        <v>3.85E-2</v>
      </c>
      <c r="CZ30" s="228">
        <v>27.49</v>
      </c>
      <c r="DA30" s="228">
        <v>27.5</v>
      </c>
      <c r="DB30" s="228">
        <v>-0.01</v>
      </c>
      <c r="DC30" s="228">
        <v>-0.01</v>
      </c>
      <c r="DD30" s="228">
        <v>38.56</v>
      </c>
      <c r="DE30" s="228">
        <v>38.42</v>
      </c>
      <c r="DF30" s="228">
        <v>-11.07</v>
      </c>
      <c r="DG30" s="228">
        <v>0.14000000000000001</v>
      </c>
      <c r="DH30" s="228">
        <v>27.13</v>
      </c>
      <c r="DI30" s="228">
        <v>27.31</v>
      </c>
      <c r="DJ30" s="228">
        <v>-0.18</v>
      </c>
      <c r="DK30" s="228">
        <v>-0.18</v>
      </c>
      <c r="DL30" s="228">
        <v>28.76</v>
      </c>
      <c r="DM30" s="228">
        <v>27.99</v>
      </c>
      <c r="DN30" s="228">
        <v>0.77</v>
      </c>
      <c r="DO30" s="228">
        <v>0.77</v>
      </c>
      <c r="DP30" s="228">
        <v>0.61</v>
      </c>
      <c r="DQ30" s="228">
        <v>0.66</v>
      </c>
      <c r="DR30" s="228">
        <v>-0.05</v>
      </c>
      <c r="DS30" s="229">
        <v>-7.5800000000000006E-2</v>
      </c>
      <c r="DT30" s="231">
        <v>1300</v>
      </c>
      <c r="DU30" s="231">
        <v>1200</v>
      </c>
      <c r="DV30" s="228">
        <v>0.28000000000000003</v>
      </c>
      <c r="DW30" s="228">
        <v>0.4</v>
      </c>
      <c r="DX30" s="228">
        <v>-0.12</v>
      </c>
      <c r="DY30" s="229">
        <v>-0.3</v>
      </c>
      <c r="DZ30" s="229">
        <v>0.1449</v>
      </c>
      <c r="EA30" s="230">
        <v>1278500</v>
      </c>
      <c r="EB30" s="229">
        <v>-4.5999999999999999E-3</v>
      </c>
      <c r="EC30" s="229">
        <v>0.1449</v>
      </c>
      <c r="ED30" s="228">
        <v>-4.96</v>
      </c>
      <c r="EE30" s="229">
        <v>-3.8999999999999998E-3</v>
      </c>
      <c r="EF30" s="230">
        <v>870045</v>
      </c>
      <c r="EG30" s="230">
        <v>154213</v>
      </c>
      <c r="EH30" s="229">
        <v>4.6417999999999999</v>
      </c>
      <c r="EI30" s="229">
        <v>0.49340000000000001</v>
      </c>
      <c r="EJ30" s="231">
        <v>263789.21999999997</v>
      </c>
      <c r="EK30" s="231">
        <v>70809.63</v>
      </c>
      <c r="EL30" s="231">
        <v>73208.47</v>
      </c>
      <c r="EM30" s="231">
        <v>3992</v>
      </c>
      <c r="EN30" s="231">
        <v>407807.32</v>
      </c>
      <c r="EO30" s="231">
        <v>124732.96</v>
      </c>
      <c r="EP30" s="231">
        <v>283074.36</v>
      </c>
      <c r="EQ30" s="229">
        <v>2.2694000000000001</v>
      </c>
      <c r="ER30" s="231">
        <v>52267</v>
      </c>
      <c r="ES30" s="231">
        <v>29821</v>
      </c>
      <c r="ET30" s="231">
        <v>151310</v>
      </c>
      <c r="EU30" s="231">
        <v>35155737</v>
      </c>
      <c r="EV30" s="231">
        <v>233398</v>
      </c>
      <c r="EW30" s="231">
        <v>219321</v>
      </c>
      <c r="EX30" s="231">
        <v>14077</v>
      </c>
      <c r="EY30" s="229">
        <v>6.4199999999999993E-2</v>
      </c>
      <c r="EZ30" s="229">
        <v>0.52569999999999995</v>
      </c>
      <c r="FA30" s="227" t="s">
        <v>556</v>
      </c>
      <c r="FB30" s="161">
        <f t="shared" si="0"/>
        <v>1727000</v>
      </c>
    </row>
    <row r="31" spans="1:158" ht="17.25" hidden="1" thickBot="1" x14ac:dyDescent="0.3">
      <c r="A31" s="226">
        <v>45946</v>
      </c>
      <c r="B31" s="227" t="s">
        <v>188</v>
      </c>
      <c r="C31" s="227" t="s">
        <v>189</v>
      </c>
      <c r="D31" s="228">
        <v>475</v>
      </c>
      <c r="E31" s="231">
        <v>1974</v>
      </c>
      <c r="F31" s="231">
        <v>1976.3</v>
      </c>
      <c r="G31" s="228">
        <v>-2.2999999999999998</v>
      </c>
      <c r="H31" s="229">
        <v>-1.1999999999999999E-3</v>
      </c>
      <c r="I31" s="231">
        <v>1967.4</v>
      </c>
      <c r="J31" s="231">
        <v>1968.5</v>
      </c>
      <c r="K31" s="228">
        <v>-1.1000000000000001</v>
      </c>
      <c r="L31" s="229">
        <v>-5.9999999999999995E-4</v>
      </c>
      <c r="M31" s="231">
        <v>1974</v>
      </c>
      <c r="N31" s="231">
        <v>1976.3</v>
      </c>
      <c r="O31" s="228">
        <v>-2.2999999999999998</v>
      </c>
      <c r="P31" s="229">
        <v>-1.1999999999999999E-3</v>
      </c>
      <c r="Q31" s="231">
        <v>1985.4</v>
      </c>
      <c r="R31" s="231">
        <v>1987</v>
      </c>
      <c r="S31" s="228">
        <v>-1.6</v>
      </c>
      <c r="T31" s="229">
        <v>-8.0000000000000004E-4</v>
      </c>
      <c r="U31" s="231">
        <v>1997.6</v>
      </c>
      <c r="V31" s="231">
        <v>1999.1</v>
      </c>
      <c r="W31" s="228">
        <v>-1.5</v>
      </c>
      <c r="X31" s="229">
        <v>-8.0000000000000004E-4</v>
      </c>
      <c r="Y31" s="228">
        <v>6.6</v>
      </c>
      <c r="Z31" s="228">
        <v>7.8</v>
      </c>
      <c r="AA31" s="228">
        <v>-1.2</v>
      </c>
      <c r="AB31" s="229">
        <v>3.3999999999999998E-3</v>
      </c>
      <c r="AC31" s="228">
        <v>6.6</v>
      </c>
      <c r="AD31" s="228">
        <v>7.8</v>
      </c>
      <c r="AE31" s="228">
        <v>-1.2</v>
      </c>
      <c r="AF31" s="229">
        <v>3.3999999999999998E-3</v>
      </c>
      <c r="AG31" s="228">
        <v>18</v>
      </c>
      <c r="AH31" s="228">
        <v>18.5</v>
      </c>
      <c r="AI31" s="228">
        <v>-0.5</v>
      </c>
      <c r="AJ31" s="229">
        <v>9.1000000000000004E-3</v>
      </c>
      <c r="AK31" s="228">
        <v>30.2</v>
      </c>
      <c r="AL31" s="228">
        <v>30.6</v>
      </c>
      <c r="AM31" s="228">
        <v>-0.4</v>
      </c>
      <c r="AN31" s="229">
        <v>1.54E-2</v>
      </c>
      <c r="AO31" s="231">
        <v>1979.32</v>
      </c>
      <c r="AP31" s="231">
        <v>1989.61</v>
      </c>
      <c r="AQ31" s="228">
        <v>0</v>
      </c>
      <c r="AR31" s="230">
        <v>6614375</v>
      </c>
      <c r="AS31" s="230">
        <v>4617000</v>
      </c>
      <c r="AT31" s="230">
        <v>1997375</v>
      </c>
      <c r="AU31" s="229">
        <v>0.43259999999999998</v>
      </c>
      <c r="AV31" s="230">
        <v>5622100</v>
      </c>
      <c r="AW31" s="230">
        <v>3968625</v>
      </c>
      <c r="AX31" s="230">
        <v>1653475</v>
      </c>
      <c r="AY31" s="229">
        <v>0.41660000000000003</v>
      </c>
      <c r="AZ31" s="230">
        <v>974700</v>
      </c>
      <c r="BA31" s="230">
        <v>620825</v>
      </c>
      <c r="BB31" s="230">
        <v>353875</v>
      </c>
      <c r="BC31" s="229">
        <v>0.56999999999999995</v>
      </c>
      <c r="BD31" s="230">
        <v>17575</v>
      </c>
      <c r="BE31" s="230">
        <v>27550</v>
      </c>
      <c r="BF31" s="230">
        <v>-9975</v>
      </c>
      <c r="BG31" s="229">
        <v>-0.36209999999999998</v>
      </c>
      <c r="BH31" s="230">
        <v>20260175</v>
      </c>
      <c r="BI31" s="230">
        <v>22557750</v>
      </c>
      <c r="BJ31" s="230">
        <v>-2297575</v>
      </c>
      <c r="BK31" s="229">
        <v>-0.1019</v>
      </c>
      <c r="BL31" s="230">
        <v>11012875</v>
      </c>
      <c r="BM31" s="230">
        <v>11862175</v>
      </c>
      <c r="BN31" s="230">
        <v>-849300</v>
      </c>
      <c r="BO31" s="229">
        <v>-7.1599999999999997E-2</v>
      </c>
      <c r="BP31" s="230">
        <v>37887425</v>
      </c>
      <c r="BQ31" s="230">
        <v>39036925</v>
      </c>
      <c r="BR31" s="230">
        <v>-1149500</v>
      </c>
      <c r="BS31" s="229">
        <v>-2.9399999999999999E-2</v>
      </c>
      <c r="BT31" s="230">
        <v>4073528</v>
      </c>
      <c r="BU31" s="230">
        <v>3624262</v>
      </c>
      <c r="BV31" s="230">
        <v>449266</v>
      </c>
      <c r="BW31" s="229">
        <v>0.124</v>
      </c>
      <c r="BX31" s="230">
        <v>49059425</v>
      </c>
      <c r="BY31" s="230">
        <v>49114050</v>
      </c>
      <c r="BZ31" s="230">
        <v>-54625</v>
      </c>
      <c r="CA31" s="229">
        <v>-1.1000000000000001E-3</v>
      </c>
      <c r="CB31" s="230">
        <v>44776350</v>
      </c>
      <c r="CC31" s="230">
        <v>45488850</v>
      </c>
      <c r="CD31" s="230">
        <v>-712500</v>
      </c>
      <c r="CE31" s="229">
        <v>-1.5699999999999999E-2</v>
      </c>
      <c r="CF31" s="230">
        <v>1760350</v>
      </c>
      <c r="CG31" s="230">
        <v>1105325</v>
      </c>
      <c r="CH31" s="230">
        <v>655025</v>
      </c>
      <c r="CI31" s="229">
        <v>0.59260000000000002</v>
      </c>
      <c r="CJ31" s="230">
        <v>2522725</v>
      </c>
      <c r="CK31" s="230">
        <v>2519875</v>
      </c>
      <c r="CL31" s="230">
        <v>2850</v>
      </c>
      <c r="CM31" s="229">
        <v>1.1000000000000001E-3</v>
      </c>
      <c r="CN31" s="230">
        <v>13123775</v>
      </c>
      <c r="CO31" s="230">
        <v>12903850</v>
      </c>
      <c r="CP31" s="230">
        <v>219925</v>
      </c>
      <c r="CQ31" s="229">
        <v>1.7000000000000001E-2</v>
      </c>
      <c r="CR31" s="230">
        <v>7549175</v>
      </c>
      <c r="CS31" s="230">
        <v>7443725</v>
      </c>
      <c r="CT31" s="230">
        <v>105450</v>
      </c>
      <c r="CU31" s="229">
        <v>1.4200000000000001E-2</v>
      </c>
      <c r="CV31" s="230">
        <v>69732375</v>
      </c>
      <c r="CW31" s="230">
        <v>69461625</v>
      </c>
      <c r="CX31" s="230">
        <v>270750</v>
      </c>
      <c r="CY31" s="229">
        <v>3.8999999999999998E-3</v>
      </c>
      <c r="CZ31" s="228">
        <v>14.89</v>
      </c>
      <c r="DA31" s="228">
        <v>14.82</v>
      </c>
      <c r="DB31" s="228">
        <v>7.0000000000000007E-2</v>
      </c>
      <c r="DC31" s="228">
        <v>7.0000000000000007E-2</v>
      </c>
      <c r="DD31" s="228">
        <v>24.59</v>
      </c>
      <c r="DE31" s="228">
        <v>24.65</v>
      </c>
      <c r="DF31" s="228">
        <v>-9.6999999999999993</v>
      </c>
      <c r="DG31" s="228">
        <v>-0.06</v>
      </c>
      <c r="DH31" s="228">
        <v>14.76</v>
      </c>
      <c r="DI31" s="228">
        <v>14.35</v>
      </c>
      <c r="DJ31" s="228">
        <v>0.41</v>
      </c>
      <c r="DK31" s="228">
        <v>0.41</v>
      </c>
      <c r="DL31" s="228">
        <v>15.12</v>
      </c>
      <c r="DM31" s="228">
        <v>15.73</v>
      </c>
      <c r="DN31" s="228">
        <v>-0.61</v>
      </c>
      <c r="DO31" s="228">
        <v>-0.61</v>
      </c>
      <c r="DP31" s="228">
        <v>0.57999999999999996</v>
      </c>
      <c r="DQ31" s="228">
        <v>0.57999999999999996</v>
      </c>
      <c r="DR31" s="228">
        <v>0</v>
      </c>
      <c r="DS31" s="229">
        <v>0</v>
      </c>
      <c r="DT31" s="231">
        <v>1960</v>
      </c>
      <c r="DU31" s="231">
        <v>1960</v>
      </c>
      <c r="DV31" s="228">
        <v>0.54</v>
      </c>
      <c r="DW31" s="228">
        <v>0.53</v>
      </c>
      <c r="DX31" s="228">
        <v>0.01</v>
      </c>
      <c r="DY31" s="229">
        <v>1.89E-2</v>
      </c>
      <c r="DZ31" s="229">
        <v>8.7300000000000003E-2</v>
      </c>
      <c r="EA31" s="230">
        <v>3625200</v>
      </c>
      <c r="EB31" s="229">
        <v>5.7999999999999996E-3</v>
      </c>
      <c r="EC31" s="229">
        <v>8.7300000000000003E-2</v>
      </c>
      <c r="ED31" s="228">
        <v>10.29</v>
      </c>
      <c r="EE31" s="229">
        <v>5.1999999999999998E-3</v>
      </c>
      <c r="EF31" s="230">
        <v>2328079</v>
      </c>
      <c r="EG31" s="230">
        <v>2055235</v>
      </c>
      <c r="EH31" s="229">
        <v>0.1328</v>
      </c>
      <c r="EI31" s="229">
        <v>0.57150000000000001</v>
      </c>
      <c r="EJ31" s="231">
        <v>408542.77</v>
      </c>
      <c r="EK31" s="231">
        <v>216373.99</v>
      </c>
      <c r="EL31" s="231">
        <v>131024.53</v>
      </c>
      <c r="EM31" s="231">
        <v>8999</v>
      </c>
      <c r="EN31" s="231">
        <v>755941.29</v>
      </c>
      <c r="EO31" s="231">
        <v>774761.09</v>
      </c>
      <c r="EP31" s="231">
        <v>-18819.8</v>
      </c>
      <c r="EQ31" s="229">
        <v>-2.4299999999999999E-2</v>
      </c>
      <c r="ER31" s="231">
        <v>259888</v>
      </c>
      <c r="ES31" s="231">
        <v>143498</v>
      </c>
      <c r="ET31" s="231">
        <v>969229</v>
      </c>
      <c r="EU31" s="231">
        <v>314058656</v>
      </c>
      <c r="EV31" s="231">
        <v>1372615</v>
      </c>
      <c r="EW31" s="231">
        <v>1367894</v>
      </c>
      <c r="EX31" s="231">
        <v>4721</v>
      </c>
      <c r="EY31" s="229">
        <v>3.5000000000000001E-3</v>
      </c>
      <c r="EZ31" s="229">
        <v>0.222</v>
      </c>
      <c r="FA31" s="227" t="s">
        <v>568</v>
      </c>
      <c r="FB31" s="161">
        <f t="shared" si="0"/>
        <v>4283075</v>
      </c>
    </row>
    <row r="32" spans="1:158" ht="17.25" hidden="1" thickBot="1" x14ac:dyDescent="0.3">
      <c r="A32" s="226">
        <v>45946</v>
      </c>
      <c r="B32" s="227" t="s">
        <v>184</v>
      </c>
      <c r="C32" s="227" t="s">
        <v>190</v>
      </c>
      <c r="D32" s="228">
        <v>2625</v>
      </c>
      <c r="E32" s="228">
        <v>236.86</v>
      </c>
      <c r="F32" s="228">
        <v>236.56</v>
      </c>
      <c r="G32" s="228">
        <v>0.3</v>
      </c>
      <c r="H32" s="229">
        <v>1.2999999999999999E-3</v>
      </c>
      <c r="I32" s="228">
        <v>236.17</v>
      </c>
      <c r="J32" s="228">
        <v>235.8</v>
      </c>
      <c r="K32" s="228">
        <v>0.37</v>
      </c>
      <c r="L32" s="229">
        <v>1.6000000000000001E-3</v>
      </c>
      <c r="M32" s="228">
        <v>236.86</v>
      </c>
      <c r="N32" s="228">
        <v>236.56</v>
      </c>
      <c r="O32" s="228">
        <v>0.3</v>
      </c>
      <c r="P32" s="229">
        <v>1.2999999999999999E-3</v>
      </c>
      <c r="Q32" s="228">
        <v>238.2</v>
      </c>
      <c r="R32" s="228">
        <v>237.96</v>
      </c>
      <c r="S32" s="228">
        <v>0.24</v>
      </c>
      <c r="T32" s="229">
        <v>1E-3</v>
      </c>
      <c r="U32" s="228">
        <v>240.06</v>
      </c>
      <c r="V32" s="228">
        <v>239.52</v>
      </c>
      <c r="W32" s="228">
        <v>0.54</v>
      </c>
      <c r="X32" s="229">
        <v>2.3E-3</v>
      </c>
      <c r="Y32" s="228">
        <v>0.69</v>
      </c>
      <c r="Z32" s="228">
        <v>0.76</v>
      </c>
      <c r="AA32" s="228">
        <v>-7.0000000000000007E-2</v>
      </c>
      <c r="AB32" s="229">
        <v>2.8999999999999998E-3</v>
      </c>
      <c r="AC32" s="228">
        <v>0.69</v>
      </c>
      <c r="AD32" s="228">
        <v>0.76</v>
      </c>
      <c r="AE32" s="228">
        <v>-7.0000000000000007E-2</v>
      </c>
      <c r="AF32" s="229">
        <v>2.8999999999999998E-3</v>
      </c>
      <c r="AG32" s="228">
        <v>2.0299999999999998</v>
      </c>
      <c r="AH32" s="228">
        <v>2.16</v>
      </c>
      <c r="AI32" s="228">
        <v>-0.13</v>
      </c>
      <c r="AJ32" s="229">
        <v>8.6E-3</v>
      </c>
      <c r="AK32" s="228">
        <v>3.89</v>
      </c>
      <c r="AL32" s="228">
        <v>3.72</v>
      </c>
      <c r="AM32" s="228">
        <v>0.17</v>
      </c>
      <c r="AN32" s="229">
        <v>1.6500000000000001E-2</v>
      </c>
      <c r="AO32" s="228">
        <v>236.41</v>
      </c>
      <c r="AP32" s="228">
        <v>237.45</v>
      </c>
      <c r="AQ32" s="228">
        <v>0</v>
      </c>
      <c r="AR32" s="230">
        <v>7998375</v>
      </c>
      <c r="AS32" s="230">
        <v>9578625</v>
      </c>
      <c r="AT32" s="230">
        <v>-1580250</v>
      </c>
      <c r="AU32" s="229">
        <v>-0.16500000000000001</v>
      </c>
      <c r="AV32" s="230">
        <v>6664875</v>
      </c>
      <c r="AW32" s="230">
        <v>8691375</v>
      </c>
      <c r="AX32" s="230">
        <v>-2026500</v>
      </c>
      <c r="AY32" s="229">
        <v>-0.23319999999999999</v>
      </c>
      <c r="AZ32" s="230">
        <v>1265250</v>
      </c>
      <c r="BA32" s="230">
        <v>821625</v>
      </c>
      <c r="BB32" s="230">
        <v>443625</v>
      </c>
      <c r="BC32" s="229">
        <v>0.53990000000000005</v>
      </c>
      <c r="BD32" s="230">
        <v>68250</v>
      </c>
      <c r="BE32" s="230">
        <v>65625</v>
      </c>
      <c r="BF32" s="230">
        <v>2625</v>
      </c>
      <c r="BG32" s="229">
        <v>0.04</v>
      </c>
      <c r="BH32" s="230">
        <v>22698375</v>
      </c>
      <c r="BI32" s="230">
        <v>29331750</v>
      </c>
      <c r="BJ32" s="230">
        <v>-6633375</v>
      </c>
      <c r="BK32" s="229">
        <v>-0.2261</v>
      </c>
      <c r="BL32" s="230">
        <v>10245375</v>
      </c>
      <c r="BM32" s="230">
        <v>15786750</v>
      </c>
      <c r="BN32" s="230">
        <v>-5541375</v>
      </c>
      <c r="BO32" s="229">
        <v>-0.35099999999999998</v>
      </c>
      <c r="BP32" s="230">
        <v>40942125</v>
      </c>
      <c r="BQ32" s="230">
        <v>54697125</v>
      </c>
      <c r="BR32" s="230">
        <v>-13755000</v>
      </c>
      <c r="BS32" s="229">
        <v>-0.2515</v>
      </c>
      <c r="BT32" s="230">
        <v>4330555</v>
      </c>
      <c r="BU32" s="230">
        <v>5523995</v>
      </c>
      <c r="BV32" s="230">
        <v>-1193440</v>
      </c>
      <c r="BW32" s="229">
        <v>-0.216</v>
      </c>
      <c r="BX32" s="230">
        <v>60083625</v>
      </c>
      <c r="BY32" s="230">
        <v>59414250</v>
      </c>
      <c r="BZ32" s="230">
        <v>669375</v>
      </c>
      <c r="CA32" s="229">
        <v>1.1299999999999999E-2</v>
      </c>
      <c r="CB32" s="230">
        <v>56917875</v>
      </c>
      <c r="CC32" s="230">
        <v>56705250</v>
      </c>
      <c r="CD32" s="230">
        <v>212625</v>
      </c>
      <c r="CE32" s="229">
        <v>3.7000000000000002E-3</v>
      </c>
      <c r="CF32" s="230">
        <v>2785125</v>
      </c>
      <c r="CG32" s="230">
        <v>2359875</v>
      </c>
      <c r="CH32" s="230">
        <v>425250</v>
      </c>
      <c r="CI32" s="229">
        <v>0.1802</v>
      </c>
      <c r="CJ32" s="230">
        <v>380625</v>
      </c>
      <c r="CK32" s="230">
        <v>349125</v>
      </c>
      <c r="CL32" s="230">
        <v>31500</v>
      </c>
      <c r="CM32" s="229">
        <v>9.0200000000000002E-2</v>
      </c>
      <c r="CN32" s="230">
        <v>27838125</v>
      </c>
      <c r="CO32" s="230">
        <v>27139875</v>
      </c>
      <c r="CP32" s="230">
        <v>698250</v>
      </c>
      <c r="CQ32" s="229">
        <v>2.5700000000000001E-2</v>
      </c>
      <c r="CR32" s="230">
        <v>16149000</v>
      </c>
      <c r="CS32" s="230">
        <v>16487625</v>
      </c>
      <c r="CT32" s="230">
        <v>-338625</v>
      </c>
      <c r="CU32" s="229">
        <v>-2.0500000000000001E-2</v>
      </c>
      <c r="CV32" s="230">
        <v>104070750</v>
      </c>
      <c r="CW32" s="230">
        <v>103041750</v>
      </c>
      <c r="CX32" s="230">
        <v>1029000</v>
      </c>
      <c r="CY32" s="229">
        <v>0.01</v>
      </c>
      <c r="CZ32" s="228">
        <v>27.79</v>
      </c>
      <c r="DA32" s="228">
        <v>28.14</v>
      </c>
      <c r="DB32" s="228">
        <v>-0.35</v>
      </c>
      <c r="DC32" s="228">
        <v>-0.35</v>
      </c>
      <c r="DD32" s="228">
        <v>45.82</v>
      </c>
      <c r="DE32" s="228">
        <v>45.94</v>
      </c>
      <c r="DF32" s="228">
        <v>-18.03</v>
      </c>
      <c r="DG32" s="228">
        <v>-0.12</v>
      </c>
      <c r="DH32" s="228">
        <v>28.1</v>
      </c>
      <c r="DI32" s="228">
        <v>28.31</v>
      </c>
      <c r="DJ32" s="228">
        <v>-0.21</v>
      </c>
      <c r="DK32" s="228">
        <v>-0.21</v>
      </c>
      <c r="DL32" s="228">
        <v>27.09</v>
      </c>
      <c r="DM32" s="228">
        <v>27.82</v>
      </c>
      <c r="DN32" s="228">
        <v>-0.73</v>
      </c>
      <c r="DO32" s="228">
        <v>-0.73</v>
      </c>
      <c r="DP32" s="228">
        <v>0.57999999999999996</v>
      </c>
      <c r="DQ32" s="228">
        <v>0.61</v>
      </c>
      <c r="DR32" s="228">
        <v>-0.03</v>
      </c>
      <c r="DS32" s="229">
        <v>-4.9200000000000001E-2</v>
      </c>
      <c r="DT32" s="228">
        <v>250</v>
      </c>
      <c r="DU32" s="228">
        <v>240</v>
      </c>
      <c r="DV32" s="228">
        <v>0.45</v>
      </c>
      <c r="DW32" s="228">
        <v>0.54</v>
      </c>
      <c r="DX32" s="228">
        <v>-0.09</v>
      </c>
      <c r="DY32" s="229">
        <v>-0.16669999999999999</v>
      </c>
      <c r="DZ32" s="229">
        <v>5.2699999999999997E-2</v>
      </c>
      <c r="EA32" s="230">
        <v>2709000</v>
      </c>
      <c r="EB32" s="229">
        <v>5.7000000000000002E-3</v>
      </c>
      <c r="EC32" s="229">
        <v>5.2699999999999997E-2</v>
      </c>
      <c r="ED32" s="228">
        <v>1.04</v>
      </c>
      <c r="EE32" s="229">
        <v>4.4000000000000003E-3</v>
      </c>
      <c r="EF32" s="230">
        <v>1876387</v>
      </c>
      <c r="EG32" s="230">
        <v>2619160</v>
      </c>
      <c r="EH32" s="229">
        <v>-0.28360000000000002</v>
      </c>
      <c r="EI32" s="229">
        <v>0.43330000000000002</v>
      </c>
      <c r="EJ32" s="231">
        <v>55719.87</v>
      </c>
      <c r="EK32" s="231">
        <v>24340.53</v>
      </c>
      <c r="EL32" s="231">
        <v>18923.95</v>
      </c>
      <c r="EM32" s="231">
        <v>3835</v>
      </c>
      <c r="EN32" s="231">
        <v>98984.35</v>
      </c>
      <c r="EO32" s="231">
        <v>131965.76000000001</v>
      </c>
      <c r="EP32" s="231">
        <v>-32981.410000000003</v>
      </c>
      <c r="EQ32" s="229">
        <v>-0.24990000000000001</v>
      </c>
      <c r="ER32" s="231">
        <v>69031</v>
      </c>
      <c r="ES32" s="231">
        <v>37830</v>
      </c>
      <c r="ET32" s="231">
        <v>142364</v>
      </c>
      <c r="EU32" s="231">
        <v>169029877</v>
      </c>
      <c r="EV32" s="231">
        <v>249225</v>
      </c>
      <c r="EW32" s="231">
        <v>246575</v>
      </c>
      <c r="EX32" s="231">
        <v>2650</v>
      </c>
      <c r="EY32" s="229">
        <v>1.0699999999999999E-2</v>
      </c>
      <c r="EZ32" s="229">
        <v>0.61570000000000003</v>
      </c>
      <c r="FA32" s="227" t="s">
        <v>555</v>
      </c>
      <c r="FB32" s="161">
        <f t="shared" si="0"/>
        <v>3165750</v>
      </c>
    </row>
    <row r="33" spans="1:158" ht="17.25" hidden="1" thickBot="1" x14ac:dyDescent="0.3">
      <c r="A33" s="226">
        <v>45946</v>
      </c>
      <c r="B33" s="227" t="s">
        <v>170</v>
      </c>
      <c r="C33" s="227" t="s">
        <v>191</v>
      </c>
      <c r="D33" s="228">
        <v>2500</v>
      </c>
      <c r="E33" s="228">
        <v>359.65</v>
      </c>
      <c r="F33" s="228">
        <v>357.35</v>
      </c>
      <c r="G33" s="228">
        <v>2.2999999999999998</v>
      </c>
      <c r="H33" s="229">
        <v>6.4000000000000003E-3</v>
      </c>
      <c r="I33" s="228">
        <v>358.2</v>
      </c>
      <c r="J33" s="228">
        <v>356.4</v>
      </c>
      <c r="K33" s="228">
        <v>1.8</v>
      </c>
      <c r="L33" s="229">
        <v>5.1000000000000004E-3</v>
      </c>
      <c r="M33" s="228">
        <v>359.65</v>
      </c>
      <c r="N33" s="228">
        <v>357.35</v>
      </c>
      <c r="O33" s="228">
        <v>2.2999999999999998</v>
      </c>
      <c r="P33" s="229">
        <v>6.4000000000000003E-3</v>
      </c>
      <c r="Q33" s="228">
        <v>361.6</v>
      </c>
      <c r="R33" s="228">
        <v>359.25</v>
      </c>
      <c r="S33" s="228">
        <v>2.35</v>
      </c>
      <c r="T33" s="229">
        <v>6.4999999999999997E-3</v>
      </c>
      <c r="U33" s="228">
        <v>364.95</v>
      </c>
      <c r="V33" s="228">
        <v>361.75</v>
      </c>
      <c r="W33" s="228">
        <v>3.2</v>
      </c>
      <c r="X33" s="229">
        <v>8.8000000000000005E-3</v>
      </c>
      <c r="Y33" s="228">
        <v>1.45</v>
      </c>
      <c r="Z33" s="228">
        <v>0.95</v>
      </c>
      <c r="AA33" s="228">
        <v>0.5</v>
      </c>
      <c r="AB33" s="229">
        <v>4.0000000000000001E-3</v>
      </c>
      <c r="AC33" s="228">
        <v>1.45</v>
      </c>
      <c r="AD33" s="228">
        <v>0.95</v>
      </c>
      <c r="AE33" s="228">
        <v>0.5</v>
      </c>
      <c r="AF33" s="229">
        <v>4.0000000000000001E-3</v>
      </c>
      <c r="AG33" s="228">
        <v>3.4</v>
      </c>
      <c r="AH33" s="228">
        <v>2.85</v>
      </c>
      <c r="AI33" s="228">
        <v>0.55000000000000004</v>
      </c>
      <c r="AJ33" s="229">
        <v>9.4999999999999998E-3</v>
      </c>
      <c r="AK33" s="228">
        <v>6.75</v>
      </c>
      <c r="AL33" s="228">
        <v>5.35</v>
      </c>
      <c r="AM33" s="228">
        <v>1.4</v>
      </c>
      <c r="AN33" s="229">
        <v>1.8800000000000001E-2</v>
      </c>
      <c r="AO33" s="228">
        <v>359.89</v>
      </c>
      <c r="AP33" s="228">
        <v>361.85</v>
      </c>
      <c r="AQ33" s="228">
        <v>0</v>
      </c>
      <c r="AR33" s="230">
        <v>6650000</v>
      </c>
      <c r="AS33" s="230">
        <v>5130000</v>
      </c>
      <c r="AT33" s="230">
        <v>1520000</v>
      </c>
      <c r="AU33" s="229">
        <v>0.29630000000000001</v>
      </c>
      <c r="AV33" s="230">
        <v>5630000</v>
      </c>
      <c r="AW33" s="230">
        <v>4270000</v>
      </c>
      <c r="AX33" s="230">
        <v>1360000</v>
      </c>
      <c r="AY33" s="229">
        <v>0.31850000000000001</v>
      </c>
      <c r="AZ33" s="230">
        <v>985000</v>
      </c>
      <c r="BA33" s="230">
        <v>792500</v>
      </c>
      <c r="BB33" s="230">
        <v>192500</v>
      </c>
      <c r="BC33" s="229">
        <v>0.2429</v>
      </c>
      <c r="BD33" s="230">
        <v>35000</v>
      </c>
      <c r="BE33" s="230">
        <v>67500</v>
      </c>
      <c r="BF33" s="230">
        <v>-32500</v>
      </c>
      <c r="BG33" s="229">
        <v>-0.48149999999999998</v>
      </c>
      <c r="BH33" s="230">
        <v>16920000</v>
      </c>
      <c r="BI33" s="230">
        <v>16235000</v>
      </c>
      <c r="BJ33" s="230">
        <v>685000</v>
      </c>
      <c r="BK33" s="229">
        <v>4.2200000000000001E-2</v>
      </c>
      <c r="BL33" s="230">
        <v>9290000</v>
      </c>
      <c r="BM33" s="230">
        <v>7485000</v>
      </c>
      <c r="BN33" s="230">
        <v>1805000</v>
      </c>
      <c r="BO33" s="229">
        <v>0.24110000000000001</v>
      </c>
      <c r="BP33" s="230">
        <v>32860000</v>
      </c>
      <c r="BQ33" s="230">
        <v>28850000</v>
      </c>
      <c r="BR33" s="230">
        <v>4010000</v>
      </c>
      <c r="BS33" s="229">
        <v>0.13900000000000001</v>
      </c>
      <c r="BT33" s="230">
        <v>1406317</v>
      </c>
      <c r="BU33" s="230">
        <v>2352953</v>
      </c>
      <c r="BV33" s="230">
        <v>-946636</v>
      </c>
      <c r="BW33" s="229">
        <v>-0.40229999999999999</v>
      </c>
      <c r="BX33" s="230">
        <v>43790000</v>
      </c>
      <c r="BY33" s="230">
        <v>44652500</v>
      </c>
      <c r="BZ33" s="230">
        <v>-862500</v>
      </c>
      <c r="CA33" s="229">
        <v>-1.9300000000000001E-2</v>
      </c>
      <c r="CB33" s="230">
        <v>41455000</v>
      </c>
      <c r="CC33" s="230">
        <v>42622500</v>
      </c>
      <c r="CD33" s="230">
        <v>-1167500</v>
      </c>
      <c r="CE33" s="229">
        <v>-2.7400000000000001E-2</v>
      </c>
      <c r="CF33" s="230">
        <v>2192500</v>
      </c>
      <c r="CG33" s="230">
        <v>1875000</v>
      </c>
      <c r="CH33" s="230">
        <v>317500</v>
      </c>
      <c r="CI33" s="229">
        <v>0.16930000000000001</v>
      </c>
      <c r="CJ33" s="230">
        <v>142500</v>
      </c>
      <c r="CK33" s="230">
        <v>155000</v>
      </c>
      <c r="CL33" s="230">
        <v>-12500</v>
      </c>
      <c r="CM33" s="229">
        <v>-8.0600000000000005E-2</v>
      </c>
      <c r="CN33" s="230">
        <v>16350000</v>
      </c>
      <c r="CO33" s="230">
        <v>16517500</v>
      </c>
      <c r="CP33" s="230">
        <v>-167500</v>
      </c>
      <c r="CQ33" s="229">
        <v>-1.01E-2</v>
      </c>
      <c r="CR33" s="230">
        <v>10192500</v>
      </c>
      <c r="CS33" s="230">
        <v>9875000</v>
      </c>
      <c r="CT33" s="230">
        <v>317500</v>
      </c>
      <c r="CU33" s="229">
        <v>3.2199999999999999E-2</v>
      </c>
      <c r="CV33" s="230">
        <v>70332500</v>
      </c>
      <c r="CW33" s="230">
        <v>71045000</v>
      </c>
      <c r="CX33" s="230">
        <v>-712500</v>
      </c>
      <c r="CY33" s="229">
        <v>-0.01</v>
      </c>
      <c r="CZ33" s="228">
        <v>24.11</v>
      </c>
      <c r="DA33" s="228">
        <v>26.64</v>
      </c>
      <c r="DB33" s="228">
        <v>-2.5299999999999998</v>
      </c>
      <c r="DC33" s="228">
        <v>-2.5299999999999998</v>
      </c>
      <c r="DD33" s="228">
        <v>39.229999999999997</v>
      </c>
      <c r="DE33" s="228">
        <v>39.33</v>
      </c>
      <c r="DF33" s="228">
        <v>-15.12</v>
      </c>
      <c r="DG33" s="228">
        <v>-0.1</v>
      </c>
      <c r="DH33" s="228">
        <v>23.66</v>
      </c>
      <c r="DI33" s="228">
        <v>26.11</v>
      </c>
      <c r="DJ33" s="228">
        <v>-2.4500000000000002</v>
      </c>
      <c r="DK33" s="228">
        <v>-2.4500000000000002</v>
      </c>
      <c r="DL33" s="228">
        <v>24.93</v>
      </c>
      <c r="DM33" s="228">
        <v>27.81</v>
      </c>
      <c r="DN33" s="228">
        <v>-2.88</v>
      </c>
      <c r="DO33" s="228">
        <v>-2.88</v>
      </c>
      <c r="DP33" s="228">
        <v>0.62</v>
      </c>
      <c r="DQ33" s="228">
        <v>0.6</v>
      </c>
      <c r="DR33" s="228">
        <v>0.02</v>
      </c>
      <c r="DS33" s="229">
        <v>3.3300000000000003E-2</v>
      </c>
      <c r="DT33" s="228">
        <v>360</v>
      </c>
      <c r="DU33" s="228">
        <v>350</v>
      </c>
      <c r="DV33" s="228">
        <v>0.55000000000000004</v>
      </c>
      <c r="DW33" s="228">
        <v>0.46</v>
      </c>
      <c r="DX33" s="228">
        <v>0.09</v>
      </c>
      <c r="DY33" s="229">
        <v>0.19570000000000001</v>
      </c>
      <c r="DZ33" s="229">
        <v>5.33E-2</v>
      </c>
      <c r="EA33" s="230">
        <v>2030000</v>
      </c>
      <c r="EB33" s="229">
        <v>5.4000000000000003E-3</v>
      </c>
      <c r="EC33" s="229">
        <v>5.33E-2</v>
      </c>
      <c r="ED33" s="228">
        <v>1.96</v>
      </c>
      <c r="EE33" s="229">
        <v>5.4000000000000003E-3</v>
      </c>
      <c r="EF33" s="230">
        <v>787823</v>
      </c>
      <c r="EG33" s="230">
        <v>1333272</v>
      </c>
      <c r="EH33" s="229">
        <v>-0.40910000000000002</v>
      </c>
      <c r="EI33" s="229">
        <v>0.56020000000000003</v>
      </c>
      <c r="EJ33" s="231">
        <v>62724.160000000003</v>
      </c>
      <c r="EK33" s="231">
        <v>32922.53</v>
      </c>
      <c r="EL33" s="231">
        <v>23953.69</v>
      </c>
      <c r="EM33" s="231">
        <v>3099</v>
      </c>
      <c r="EN33" s="231">
        <v>119600.38</v>
      </c>
      <c r="EO33" s="231">
        <v>104372.59</v>
      </c>
      <c r="EP33" s="231">
        <v>15227.79</v>
      </c>
      <c r="EQ33" s="229">
        <v>0.1459</v>
      </c>
      <c r="ER33" s="231">
        <v>60650</v>
      </c>
      <c r="ES33" s="231">
        <v>34934</v>
      </c>
      <c r="ET33" s="231">
        <v>157541</v>
      </c>
      <c r="EU33" s="231">
        <v>90981174</v>
      </c>
      <c r="EV33" s="231">
        <v>253125</v>
      </c>
      <c r="EW33" s="231">
        <v>254470</v>
      </c>
      <c r="EX33" s="231">
        <v>-1345</v>
      </c>
      <c r="EY33" s="229">
        <v>-5.3E-3</v>
      </c>
      <c r="EZ33" s="229">
        <v>0.77300000000000002</v>
      </c>
      <c r="FA33" s="227" t="s">
        <v>556</v>
      </c>
      <c r="FB33" s="161">
        <f t="shared" si="0"/>
        <v>2335000</v>
      </c>
    </row>
    <row r="34" spans="1:158" ht="17.25" hidden="1" thickBot="1" x14ac:dyDescent="0.3">
      <c r="A34" s="226">
        <v>45946</v>
      </c>
      <c r="B34" s="227" t="s">
        <v>184</v>
      </c>
      <c r="C34" s="227" t="s">
        <v>680</v>
      </c>
      <c r="D34" s="228">
        <v>325</v>
      </c>
      <c r="E34" s="231">
        <v>1964.7</v>
      </c>
      <c r="F34" s="231">
        <v>1922.4</v>
      </c>
      <c r="G34" s="228">
        <v>42.3</v>
      </c>
      <c r="H34" s="229">
        <v>2.1999999999999999E-2</v>
      </c>
      <c r="I34" s="231">
        <v>1957.6</v>
      </c>
      <c r="J34" s="231">
        <v>1913.3</v>
      </c>
      <c r="K34" s="228">
        <v>44.3</v>
      </c>
      <c r="L34" s="229">
        <v>2.3199999999999998E-2</v>
      </c>
      <c r="M34" s="231">
        <v>1964.7</v>
      </c>
      <c r="N34" s="231">
        <v>1922.4</v>
      </c>
      <c r="O34" s="228">
        <v>42.3</v>
      </c>
      <c r="P34" s="229">
        <v>2.1999999999999999E-2</v>
      </c>
      <c r="Q34" s="231">
        <v>1963.8</v>
      </c>
      <c r="R34" s="231">
        <v>1919</v>
      </c>
      <c r="S34" s="228">
        <v>44.8</v>
      </c>
      <c r="T34" s="229">
        <v>2.3300000000000001E-2</v>
      </c>
      <c r="U34" s="231">
        <v>1966</v>
      </c>
      <c r="V34" s="231">
        <v>1907.6</v>
      </c>
      <c r="W34" s="228">
        <v>58.4</v>
      </c>
      <c r="X34" s="229">
        <v>3.0599999999999999E-2</v>
      </c>
      <c r="Y34" s="228">
        <v>7.1</v>
      </c>
      <c r="Z34" s="228">
        <v>9.1</v>
      </c>
      <c r="AA34" s="228">
        <v>-2</v>
      </c>
      <c r="AB34" s="229">
        <v>3.5999999999999999E-3</v>
      </c>
      <c r="AC34" s="228">
        <v>7.1</v>
      </c>
      <c r="AD34" s="228">
        <v>9.1</v>
      </c>
      <c r="AE34" s="228">
        <v>-2</v>
      </c>
      <c r="AF34" s="229">
        <v>3.5999999999999999E-3</v>
      </c>
      <c r="AG34" s="228">
        <v>6.2</v>
      </c>
      <c r="AH34" s="228">
        <v>5.7</v>
      </c>
      <c r="AI34" s="228">
        <v>0.5</v>
      </c>
      <c r="AJ34" s="229">
        <v>3.2000000000000002E-3</v>
      </c>
      <c r="AK34" s="228">
        <v>8.4</v>
      </c>
      <c r="AL34" s="228">
        <v>-5.7</v>
      </c>
      <c r="AM34" s="228">
        <v>14.1</v>
      </c>
      <c r="AN34" s="229">
        <v>4.3E-3</v>
      </c>
      <c r="AO34" s="231">
        <v>1960.5</v>
      </c>
      <c r="AP34" s="231">
        <v>1958.86</v>
      </c>
      <c r="AQ34" s="228">
        <v>0</v>
      </c>
      <c r="AR34" s="230">
        <v>671775</v>
      </c>
      <c r="AS34" s="230">
        <v>531700</v>
      </c>
      <c r="AT34" s="230">
        <v>140075</v>
      </c>
      <c r="AU34" s="229">
        <v>0.26340000000000002</v>
      </c>
      <c r="AV34" s="230">
        <v>551200</v>
      </c>
      <c r="AW34" s="230">
        <v>500825</v>
      </c>
      <c r="AX34" s="230">
        <v>50375</v>
      </c>
      <c r="AY34" s="229">
        <v>0.10059999999999999</v>
      </c>
      <c r="AZ34" s="230">
        <v>120250</v>
      </c>
      <c r="BA34" s="230">
        <v>30875</v>
      </c>
      <c r="BB34" s="230">
        <v>89375</v>
      </c>
      <c r="BC34" s="229">
        <v>2.8946999999999998</v>
      </c>
      <c r="BD34" s="228">
        <v>325</v>
      </c>
      <c r="BE34" s="228">
        <v>0</v>
      </c>
      <c r="BF34" s="228">
        <v>325</v>
      </c>
      <c r="BG34" s="229">
        <v>0</v>
      </c>
      <c r="BH34" s="230">
        <v>1475500</v>
      </c>
      <c r="BI34" s="230">
        <v>662350</v>
      </c>
      <c r="BJ34" s="230">
        <v>813150</v>
      </c>
      <c r="BK34" s="229">
        <v>1.2277</v>
      </c>
      <c r="BL34" s="230">
        <v>555425</v>
      </c>
      <c r="BM34" s="230">
        <v>176475</v>
      </c>
      <c r="BN34" s="230">
        <v>378950</v>
      </c>
      <c r="BO34" s="229">
        <v>2.1473</v>
      </c>
      <c r="BP34" s="230">
        <v>2702700</v>
      </c>
      <c r="BQ34" s="230">
        <v>1370525</v>
      </c>
      <c r="BR34" s="230">
        <v>1332175</v>
      </c>
      <c r="BS34" s="229">
        <v>0.97199999999999998</v>
      </c>
      <c r="BT34" s="230">
        <v>245740</v>
      </c>
      <c r="BU34" s="230">
        <v>399593</v>
      </c>
      <c r="BV34" s="230">
        <v>-153853</v>
      </c>
      <c r="BW34" s="229">
        <v>-0.38500000000000001</v>
      </c>
      <c r="BX34" s="230">
        <v>1837225</v>
      </c>
      <c r="BY34" s="230">
        <v>1851200</v>
      </c>
      <c r="BZ34" s="230">
        <v>-13975</v>
      </c>
      <c r="CA34" s="229">
        <v>-7.4999999999999997E-3</v>
      </c>
      <c r="CB34" s="230">
        <v>1703975</v>
      </c>
      <c r="CC34" s="230">
        <v>1777425</v>
      </c>
      <c r="CD34" s="230">
        <v>-73450</v>
      </c>
      <c r="CE34" s="229">
        <v>-4.1300000000000003E-2</v>
      </c>
      <c r="CF34" s="230">
        <v>129675</v>
      </c>
      <c r="CG34" s="230">
        <v>70200</v>
      </c>
      <c r="CH34" s="230">
        <v>59475</v>
      </c>
      <c r="CI34" s="229">
        <v>0.84719999999999995</v>
      </c>
      <c r="CJ34" s="230">
        <v>3575</v>
      </c>
      <c r="CK34" s="230">
        <v>3575</v>
      </c>
      <c r="CL34" s="228">
        <v>0</v>
      </c>
      <c r="CM34" s="229">
        <v>0</v>
      </c>
      <c r="CN34" s="230">
        <v>603200</v>
      </c>
      <c r="CO34" s="230">
        <v>624325</v>
      </c>
      <c r="CP34" s="230">
        <v>-21125</v>
      </c>
      <c r="CQ34" s="229">
        <v>-3.3799999999999997E-2</v>
      </c>
      <c r="CR34" s="230">
        <v>387400</v>
      </c>
      <c r="CS34" s="230">
        <v>366600</v>
      </c>
      <c r="CT34" s="230">
        <v>20800</v>
      </c>
      <c r="CU34" s="229">
        <v>5.67E-2</v>
      </c>
      <c r="CV34" s="230">
        <v>2827825</v>
      </c>
      <c r="CW34" s="230">
        <v>2842125</v>
      </c>
      <c r="CX34" s="230">
        <v>-14300</v>
      </c>
      <c r="CY34" s="229">
        <v>-5.0000000000000001E-3</v>
      </c>
      <c r="CZ34" s="228">
        <v>26.74</v>
      </c>
      <c r="DA34" s="228">
        <v>28.84</v>
      </c>
      <c r="DB34" s="228">
        <v>-2.1</v>
      </c>
      <c r="DC34" s="228">
        <v>-2.1</v>
      </c>
      <c r="DD34" s="228">
        <v>42.07</v>
      </c>
      <c r="DE34" s="228">
        <v>42.07</v>
      </c>
      <c r="DF34" s="228">
        <v>-15.33</v>
      </c>
      <c r="DG34" s="228">
        <v>0</v>
      </c>
      <c r="DH34" s="228">
        <v>26.23</v>
      </c>
      <c r="DI34" s="228">
        <v>28.13</v>
      </c>
      <c r="DJ34" s="228">
        <v>-1.9</v>
      </c>
      <c r="DK34" s="228">
        <v>-1.9</v>
      </c>
      <c r="DL34" s="228">
        <v>28.08</v>
      </c>
      <c r="DM34" s="228">
        <v>31.53</v>
      </c>
      <c r="DN34" s="228">
        <v>-3.45</v>
      </c>
      <c r="DO34" s="228">
        <v>-3.45</v>
      </c>
      <c r="DP34" s="228">
        <v>0.64</v>
      </c>
      <c r="DQ34" s="228">
        <v>0.59</v>
      </c>
      <c r="DR34" s="228">
        <v>0.05</v>
      </c>
      <c r="DS34" s="229">
        <v>8.4699999999999998E-2</v>
      </c>
      <c r="DT34" s="231">
        <v>2000</v>
      </c>
      <c r="DU34" s="231">
        <v>1900</v>
      </c>
      <c r="DV34" s="228">
        <v>0.38</v>
      </c>
      <c r="DW34" s="228">
        <v>0.27</v>
      </c>
      <c r="DX34" s="228">
        <v>0.11</v>
      </c>
      <c r="DY34" s="229">
        <v>0.40739999999999998</v>
      </c>
      <c r="DZ34" s="229">
        <v>7.2499999999999995E-2</v>
      </c>
      <c r="EA34" s="230">
        <v>73775</v>
      </c>
      <c r="EB34" s="229">
        <v>-5.0000000000000001E-4</v>
      </c>
      <c r="EC34" s="229">
        <v>7.2499999999999995E-2</v>
      </c>
      <c r="ED34" s="228">
        <v>-1.64</v>
      </c>
      <c r="EE34" s="229">
        <v>-8.0000000000000004E-4</v>
      </c>
      <c r="EF34" s="230">
        <v>109348</v>
      </c>
      <c r="EG34" s="230">
        <v>202902</v>
      </c>
      <c r="EH34" s="229">
        <v>-0.46110000000000001</v>
      </c>
      <c r="EI34" s="229">
        <v>0.44500000000000001</v>
      </c>
      <c r="EJ34" s="231">
        <v>29876.53</v>
      </c>
      <c r="EK34" s="231">
        <v>10459.43</v>
      </c>
      <c r="EL34" s="231">
        <v>13168.19</v>
      </c>
      <c r="EM34" s="231">
        <v>1853</v>
      </c>
      <c r="EN34" s="231">
        <v>53504.15</v>
      </c>
      <c r="EO34" s="231">
        <v>26650.54</v>
      </c>
      <c r="EP34" s="231">
        <v>26853.61</v>
      </c>
      <c r="EQ34" s="229">
        <v>1.0076000000000001</v>
      </c>
      <c r="ER34" s="231">
        <v>12190</v>
      </c>
      <c r="ES34" s="231">
        <v>7208</v>
      </c>
      <c r="ET34" s="231">
        <v>36095</v>
      </c>
      <c r="EU34" s="231">
        <v>19584741</v>
      </c>
      <c r="EV34" s="231">
        <v>55492</v>
      </c>
      <c r="EW34" s="231">
        <v>54896</v>
      </c>
      <c r="EX34" s="228">
        <v>596</v>
      </c>
      <c r="EY34" s="229">
        <v>1.09E-2</v>
      </c>
      <c r="EZ34" s="229">
        <v>0.1444</v>
      </c>
      <c r="FA34" s="227" t="s">
        <v>556</v>
      </c>
      <c r="FB34" s="161">
        <f t="shared" si="0"/>
        <v>133250</v>
      </c>
    </row>
    <row r="35" spans="1:158" ht="17.25" hidden="1" thickBot="1" x14ac:dyDescent="0.3">
      <c r="A35" s="226">
        <v>45946</v>
      </c>
      <c r="B35" s="227" t="s">
        <v>162</v>
      </c>
      <c r="C35" s="227" t="s">
        <v>192</v>
      </c>
      <c r="D35" s="228">
        <v>25</v>
      </c>
      <c r="E35" s="231">
        <v>38585</v>
      </c>
      <c r="F35" s="231">
        <v>38455</v>
      </c>
      <c r="G35" s="228">
        <v>130</v>
      </c>
      <c r="H35" s="229">
        <v>3.3999999999999998E-3</v>
      </c>
      <c r="I35" s="231">
        <v>38510</v>
      </c>
      <c r="J35" s="231">
        <v>38380</v>
      </c>
      <c r="K35" s="228">
        <v>130</v>
      </c>
      <c r="L35" s="229">
        <v>3.3999999999999998E-3</v>
      </c>
      <c r="M35" s="231">
        <v>38585</v>
      </c>
      <c r="N35" s="231">
        <v>38455</v>
      </c>
      <c r="O35" s="228">
        <v>130</v>
      </c>
      <c r="P35" s="229">
        <v>3.3999999999999998E-3</v>
      </c>
      <c r="Q35" s="231">
        <v>38825</v>
      </c>
      <c r="R35" s="231">
        <v>38650</v>
      </c>
      <c r="S35" s="228">
        <v>175</v>
      </c>
      <c r="T35" s="229">
        <v>4.4999999999999997E-3</v>
      </c>
      <c r="U35" s="231">
        <v>38420</v>
      </c>
      <c r="V35" s="231">
        <v>38420</v>
      </c>
      <c r="W35" s="228">
        <v>0</v>
      </c>
      <c r="X35" s="229">
        <v>0</v>
      </c>
      <c r="Y35" s="228">
        <v>75</v>
      </c>
      <c r="Z35" s="228">
        <v>75</v>
      </c>
      <c r="AA35" s="228">
        <v>0</v>
      </c>
      <c r="AB35" s="229">
        <v>1.9E-3</v>
      </c>
      <c r="AC35" s="228">
        <v>75</v>
      </c>
      <c r="AD35" s="228">
        <v>75</v>
      </c>
      <c r="AE35" s="228">
        <v>0</v>
      </c>
      <c r="AF35" s="229">
        <v>1.9E-3</v>
      </c>
      <c r="AG35" s="228">
        <v>315</v>
      </c>
      <c r="AH35" s="228">
        <v>270</v>
      </c>
      <c r="AI35" s="228">
        <v>45</v>
      </c>
      <c r="AJ35" s="229">
        <v>8.2000000000000007E-3</v>
      </c>
      <c r="AK35" s="228">
        <v>-90</v>
      </c>
      <c r="AL35" s="228">
        <v>40</v>
      </c>
      <c r="AM35" s="228">
        <v>-130</v>
      </c>
      <c r="AN35" s="229">
        <v>-2.3E-3</v>
      </c>
      <c r="AO35" s="231">
        <v>38623.440000000002</v>
      </c>
      <c r="AP35" s="231">
        <v>38822</v>
      </c>
      <c r="AQ35" s="228">
        <v>0</v>
      </c>
      <c r="AR35" s="230">
        <v>20950</v>
      </c>
      <c r="AS35" s="230">
        <v>35125</v>
      </c>
      <c r="AT35" s="230">
        <v>-14175</v>
      </c>
      <c r="AU35" s="229">
        <v>-0.40360000000000001</v>
      </c>
      <c r="AV35" s="230">
        <v>17450</v>
      </c>
      <c r="AW35" s="230">
        <v>31450</v>
      </c>
      <c r="AX35" s="230">
        <v>-14000</v>
      </c>
      <c r="AY35" s="229">
        <v>-0.44519999999999998</v>
      </c>
      <c r="AZ35" s="230">
        <v>3500</v>
      </c>
      <c r="BA35" s="230">
        <v>3575</v>
      </c>
      <c r="BB35" s="228">
        <v>-75</v>
      </c>
      <c r="BC35" s="229">
        <v>-2.1000000000000001E-2</v>
      </c>
      <c r="BD35" s="228">
        <v>0</v>
      </c>
      <c r="BE35" s="228">
        <v>100</v>
      </c>
      <c r="BF35" s="228">
        <v>-100</v>
      </c>
      <c r="BG35" s="229">
        <v>-1</v>
      </c>
      <c r="BH35" s="230">
        <v>82350</v>
      </c>
      <c r="BI35" s="230">
        <v>124925</v>
      </c>
      <c r="BJ35" s="230">
        <v>-42575</v>
      </c>
      <c r="BK35" s="229">
        <v>-0.34079999999999999</v>
      </c>
      <c r="BL35" s="230">
        <v>33500</v>
      </c>
      <c r="BM35" s="230">
        <v>60000</v>
      </c>
      <c r="BN35" s="230">
        <v>-26500</v>
      </c>
      <c r="BO35" s="229">
        <v>-0.44169999999999998</v>
      </c>
      <c r="BP35" s="230">
        <v>136800</v>
      </c>
      <c r="BQ35" s="230">
        <v>220050</v>
      </c>
      <c r="BR35" s="230">
        <v>-83250</v>
      </c>
      <c r="BS35" s="229">
        <v>-0.37830000000000003</v>
      </c>
      <c r="BT35" s="230">
        <v>16896</v>
      </c>
      <c r="BU35" s="230">
        <v>22755</v>
      </c>
      <c r="BV35" s="230">
        <v>-5859</v>
      </c>
      <c r="BW35" s="229">
        <v>-0.25750000000000001</v>
      </c>
      <c r="BX35" s="230">
        <v>246250</v>
      </c>
      <c r="BY35" s="230">
        <v>247000</v>
      </c>
      <c r="BZ35" s="228">
        <v>-750</v>
      </c>
      <c r="CA35" s="229">
        <v>-3.0000000000000001E-3</v>
      </c>
      <c r="CB35" s="230">
        <v>237950</v>
      </c>
      <c r="CC35" s="230">
        <v>238825</v>
      </c>
      <c r="CD35" s="228">
        <v>-875</v>
      </c>
      <c r="CE35" s="229">
        <v>-3.7000000000000002E-3</v>
      </c>
      <c r="CF35" s="230">
        <v>8125</v>
      </c>
      <c r="CG35" s="230">
        <v>8000</v>
      </c>
      <c r="CH35" s="228">
        <v>125</v>
      </c>
      <c r="CI35" s="229">
        <v>1.5599999999999999E-2</v>
      </c>
      <c r="CJ35" s="228">
        <v>175</v>
      </c>
      <c r="CK35" s="228">
        <v>175</v>
      </c>
      <c r="CL35" s="228">
        <v>0</v>
      </c>
      <c r="CM35" s="229">
        <v>0</v>
      </c>
      <c r="CN35" s="230">
        <v>90300</v>
      </c>
      <c r="CO35" s="230">
        <v>91625</v>
      </c>
      <c r="CP35" s="230">
        <v>-1325</v>
      </c>
      <c r="CQ35" s="229">
        <v>-1.4500000000000001E-2</v>
      </c>
      <c r="CR35" s="230">
        <v>52250</v>
      </c>
      <c r="CS35" s="230">
        <v>51500</v>
      </c>
      <c r="CT35" s="228">
        <v>750</v>
      </c>
      <c r="CU35" s="229">
        <v>1.46E-2</v>
      </c>
      <c r="CV35" s="230">
        <v>388800</v>
      </c>
      <c r="CW35" s="230">
        <v>390125</v>
      </c>
      <c r="CX35" s="230">
        <v>-1325</v>
      </c>
      <c r="CY35" s="229">
        <v>-3.3999999999999998E-3</v>
      </c>
      <c r="CZ35" s="228">
        <v>22.14</v>
      </c>
      <c r="DA35" s="228">
        <v>22.35</v>
      </c>
      <c r="DB35" s="228">
        <v>-0.21</v>
      </c>
      <c r="DC35" s="228">
        <v>-0.21</v>
      </c>
      <c r="DD35" s="228">
        <v>28.89</v>
      </c>
      <c r="DE35" s="228">
        <v>28.96</v>
      </c>
      <c r="DF35" s="228">
        <v>-6.75</v>
      </c>
      <c r="DG35" s="228">
        <v>-7.0000000000000007E-2</v>
      </c>
      <c r="DH35" s="228">
        <v>22.64</v>
      </c>
      <c r="DI35" s="228">
        <v>22.65</v>
      </c>
      <c r="DJ35" s="228">
        <v>-0.01</v>
      </c>
      <c r="DK35" s="228">
        <v>-0.01</v>
      </c>
      <c r="DL35" s="228">
        <v>20.93</v>
      </c>
      <c r="DM35" s="228">
        <v>21.71</v>
      </c>
      <c r="DN35" s="228">
        <v>-0.78</v>
      </c>
      <c r="DO35" s="228">
        <v>-0.78</v>
      </c>
      <c r="DP35" s="228">
        <v>0.57999999999999996</v>
      </c>
      <c r="DQ35" s="228">
        <v>0.56000000000000005</v>
      </c>
      <c r="DR35" s="228">
        <v>0.02</v>
      </c>
      <c r="DS35" s="229">
        <v>3.5700000000000003E-2</v>
      </c>
      <c r="DT35" s="231">
        <v>40000</v>
      </c>
      <c r="DU35" s="231">
        <v>38000</v>
      </c>
      <c r="DV35" s="228">
        <v>0.41</v>
      </c>
      <c r="DW35" s="228">
        <v>0.48</v>
      </c>
      <c r="DX35" s="228">
        <v>-7.0000000000000007E-2</v>
      </c>
      <c r="DY35" s="229">
        <v>-0.14580000000000001</v>
      </c>
      <c r="DZ35" s="229">
        <v>3.3700000000000001E-2</v>
      </c>
      <c r="EA35" s="230">
        <v>8175</v>
      </c>
      <c r="EB35" s="229">
        <v>6.1999999999999998E-3</v>
      </c>
      <c r="EC35" s="229">
        <v>3.3700000000000001E-2</v>
      </c>
      <c r="ED35" s="228">
        <v>198.56</v>
      </c>
      <c r="EE35" s="229">
        <v>5.1000000000000004E-3</v>
      </c>
      <c r="EF35" s="230">
        <v>10599</v>
      </c>
      <c r="EG35" s="230">
        <v>13606</v>
      </c>
      <c r="EH35" s="229">
        <v>-0.221</v>
      </c>
      <c r="EI35" s="229">
        <v>0.62729999999999997</v>
      </c>
      <c r="EJ35" s="231">
        <v>33251.46</v>
      </c>
      <c r="EK35" s="231">
        <v>12877.53</v>
      </c>
      <c r="EL35" s="231">
        <v>8098.56</v>
      </c>
      <c r="EM35" s="231">
        <v>1257</v>
      </c>
      <c r="EN35" s="231">
        <v>54227.55</v>
      </c>
      <c r="EO35" s="231">
        <v>86719.21</v>
      </c>
      <c r="EP35" s="231">
        <v>-32491.66</v>
      </c>
      <c r="EQ35" s="229">
        <v>-0.37469999999999998</v>
      </c>
      <c r="ER35" s="231">
        <v>36009</v>
      </c>
      <c r="ES35" s="231">
        <v>19588</v>
      </c>
      <c r="ET35" s="231">
        <v>95035</v>
      </c>
      <c r="EU35" s="231">
        <v>982526</v>
      </c>
      <c r="EV35" s="231">
        <v>150632</v>
      </c>
      <c r="EW35" s="231">
        <v>150888</v>
      </c>
      <c r="EX35" s="228">
        <v>-256</v>
      </c>
      <c r="EY35" s="229">
        <v>-1.6999999999999999E-3</v>
      </c>
      <c r="EZ35" s="229">
        <v>0.3957</v>
      </c>
      <c r="FA35" s="227" t="s">
        <v>556</v>
      </c>
      <c r="FB35" s="161">
        <f t="shared" si="0"/>
        <v>8300</v>
      </c>
    </row>
    <row r="36" spans="1:158" ht="17.25" hidden="1" thickBot="1" x14ac:dyDescent="0.3">
      <c r="A36" s="226">
        <v>45946</v>
      </c>
      <c r="B36" s="227" t="s">
        <v>193</v>
      </c>
      <c r="C36" s="227" t="s">
        <v>194</v>
      </c>
      <c r="D36" s="228">
        <v>1975</v>
      </c>
      <c r="E36" s="228">
        <v>337.15</v>
      </c>
      <c r="F36" s="228">
        <v>339.45</v>
      </c>
      <c r="G36" s="228">
        <v>-2.2999999999999998</v>
      </c>
      <c r="H36" s="229">
        <v>-6.7999999999999996E-3</v>
      </c>
      <c r="I36" s="228">
        <v>335.9</v>
      </c>
      <c r="J36" s="228">
        <v>337.9</v>
      </c>
      <c r="K36" s="228">
        <v>-2</v>
      </c>
      <c r="L36" s="229">
        <v>-5.8999999999999999E-3</v>
      </c>
      <c r="M36" s="228">
        <v>337.15</v>
      </c>
      <c r="N36" s="228">
        <v>339.45</v>
      </c>
      <c r="O36" s="228">
        <v>-2.2999999999999998</v>
      </c>
      <c r="P36" s="229">
        <v>-6.7999999999999996E-3</v>
      </c>
      <c r="Q36" s="228">
        <v>338.8</v>
      </c>
      <c r="R36" s="228">
        <v>340.85</v>
      </c>
      <c r="S36" s="228">
        <v>-2.0499999999999998</v>
      </c>
      <c r="T36" s="229">
        <v>-6.0000000000000001E-3</v>
      </c>
      <c r="U36" s="228">
        <v>340.3</v>
      </c>
      <c r="V36" s="228">
        <v>342.1</v>
      </c>
      <c r="W36" s="228">
        <v>-1.8</v>
      </c>
      <c r="X36" s="229">
        <v>-5.3E-3</v>
      </c>
      <c r="Y36" s="228">
        <v>1.25</v>
      </c>
      <c r="Z36" s="228">
        <v>1.55</v>
      </c>
      <c r="AA36" s="228">
        <v>-0.3</v>
      </c>
      <c r="AB36" s="229">
        <v>3.7000000000000002E-3</v>
      </c>
      <c r="AC36" s="228">
        <v>1.25</v>
      </c>
      <c r="AD36" s="228">
        <v>1.55</v>
      </c>
      <c r="AE36" s="228">
        <v>-0.3</v>
      </c>
      <c r="AF36" s="229">
        <v>3.7000000000000002E-3</v>
      </c>
      <c r="AG36" s="228">
        <v>2.9</v>
      </c>
      <c r="AH36" s="228">
        <v>2.95</v>
      </c>
      <c r="AI36" s="228">
        <v>-0.05</v>
      </c>
      <c r="AJ36" s="229">
        <v>8.6E-3</v>
      </c>
      <c r="AK36" s="228">
        <v>4.4000000000000004</v>
      </c>
      <c r="AL36" s="228">
        <v>4.2</v>
      </c>
      <c r="AM36" s="228">
        <v>0.2</v>
      </c>
      <c r="AN36" s="229">
        <v>1.3100000000000001E-2</v>
      </c>
      <c r="AO36" s="228">
        <v>337.19</v>
      </c>
      <c r="AP36" s="228">
        <v>338.78</v>
      </c>
      <c r="AQ36" s="228">
        <v>0</v>
      </c>
      <c r="AR36" s="230">
        <v>7663000</v>
      </c>
      <c r="AS36" s="230">
        <v>12071200</v>
      </c>
      <c r="AT36" s="230">
        <v>-4408200</v>
      </c>
      <c r="AU36" s="229">
        <v>-0.36520000000000002</v>
      </c>
      <c r="AV36" s="230">
        <v>6655750</v>
      </c>
      <c r="AW36" s="230">
        <v>11160725</v>
      </c>
      <c r="AX36" s="230">
        <v>-4504975</v>
      </c>
      <c r="AY36" s="229">
        <v>-0.40360000000000001</v>
      </c>
      <c r="AZ36" s="230">
        <v>912450</v>
      </c>
      <c r="BA36" s="230">
        <v>825550</v>
      </c>
      <c r="BB36" s="230">
        <v>86900</v>
      </c>
      <c r="BC36" s="229">
        <v>0.1053</v>
      </c>
      <c r="BD36" s="230">
        <v>94800</v>
      </c>
      <c r="BE36" s="230">
        <v>84925</v>
      </c>
      <c r="BF36" s="230">
        <v>9875</v>
      </c>
      <c r="BG36" s="229">
        <v>0.1163</v>
      </c>
      <c r="BH36" s="230">
        <v>18638075</v>
      </c>
      <c r="BI36" s="230">
        <v>32206325</v>
      </c>
      <c r="BJ36" s="230">
        <v>-13568250</v>
      </c>
      <c r="BK36" s="229">
        <v>-0.42130000000000001</v>
      </c>
      <c r="BL36" s="230">
        <v>7984925</v>
      </c>
      <c r="BM36" s="230">
        <v>20283250</v>
      </c>
      <c r="BN36" s="230">
        <v>-12298325</v>
      </c>
      <c r="BO36" s="229">
        <v>-0.60629999999999995</v>
      </c>
      <c r="BP36" s="230">
        <v>34286000</v>
      </c>
      <c r="BQ36" s="230">
        <v>64560775</v>
      </c>
      <c r="BR36" s="230">
        <v>-30274775</v>
      </c>
      <c r="BS36" s="229">
        <v>-0.46889999999999998</v>
      </c>
      <c r="BT36" s="230">
        <v>6369739</v>
      </c>
      <c r="BU36" s="230">
        <v>16608791</v>
      </c>
      <c r="BV36" s="230">
        <v>-10239052</v>
      </c>
      <c r="BW36" s="229">
        <v>-0.61650000000000005</v>
      </c>
      <c r="BX36" s="230">
        <v>39956225</v>
      </c>
      <c r="BY36" s="230">
        <v>38710000</v>
      </c>
      <c r="BZ36" s="230">
        <v>1246225</v>
      </c>
      <c r="CA36" s="229">
        <v>3.2199999999999999E-2</v>
      </c>
      <c r="CB36" s="230">
        <v>38010850</v>
      </c>
      <c r="CC36" s="230">
        <v>37056925</v>
      </c>
      <c r="CD36" s="230">
        <v>953925</v>
      </c>
      <c r="CE36" s="229">
        <v>2.5700000000000001E-2</v>
      </c>
      <c r="CF36" s="230">
        <v>1757750</v>
      </c>
      <c r="CG36" s="230">
        <v>1493100</v>
      </c>
      <c r="CH36" s="230">
        <v>264650</v>
      </c>
      <c r="CI36" s="229">
        <v>0.1772</v>
      </c>
      <c r="CJ36" s="230">
        <v>187625</v>
      </c>
      <c r="CK36" s="230">
        <v>159975</v>
      </c>
      <c r="CL36" s="230">
        <v>27650</v>
      </c>
      <c r="CM36" s="229">
        <v>0.17280000000000001</v>
      </c>
      <c r="CN36" s="230">
        <v>15602500</v>
      </c>
      <c r="CO36" s="230">
        <v>14376025</v>
      </c>
      <c r="CP36" s="230">
        <v>1226475</v>
      </c>
      <c r="CQ36" s="229">
        <v>8.5300000000000001E-2</v>
      </c>
      <c r="CR36" s="230">
        <v>10147550</v>
      </c>
      <c r="CS36" s="230">
        <v>9843400</v>
      </c>
      <c r="CT36" s="230">
        <v>304150</v>
      </c>
      <c r="CU36" s="229">
        <v>3.09E-2</v>
      </c>
      <c r="CV36" s="230">
        <v>65706275</v>
      </c>
      <c r="CW36" s="230">
        <v>62929425</v>
      </c>
      <c r="CX36" s="230">
        <v>2776850</v>
      </c>
      <c r="CY36" s="229">
        <v>4.41E-2</v>
      </c>
      <c r="CZ36" s="228">
        <v>27.69</v>
      </c>
      <c r="DA36" s="228">
        <v>27.41</v>
      </c>
      <c r="DB36" s="228">
        <v>0.28000000000000003</v>
      </c>
      <c r="DC36" s="228">
        <v>0.28000000000000003</v>
      </c>
      <c r="DD36" s="228">
        <v>33.42</v>
      </c>
      <c r="DE36" s="228">
        <v>33.49</v>
      </c>
      <c r="DF36" s="228">
        <v>-5.73</v>
      </c>
      <c r="DG36" s="228">
        <v>-7.0000000000000007E-2</v>
      </c>
      <c r="DH36" s="228">
        <v>28.04</v>
      </c>
      <c r="DI36" s="228">
        <v>27.42</v>
      </c>
      <c r="DJ36" s="228">
        <v>0.62</v>
      </c>
      <c r="DK36" s="228">
        <v>0.62</v>
      </c>
      <c r="DL36" s="228">
        <v>26.88</v>
      </c>
      <c r="DM36" s="228">
        <v>27.39</v>
      </c>
      <c r="DN36" s="228">
        <v>-0.51</v>
      </c>
      <c r="DO36" s="228">
        <v>-0.51</v>
      </c>
      <c r="DP36" s="228">
        <v>0.65</v>
      </c>
      <c r="DQ36" s="228">
        <v>0.68</v>
      </c>
      <c r="DR36" s="228">
        <v>-0.03</v>
      </c>
      <c r="DS36" s="229">
        <v>-4.41E-2</v>
      </c>
      <c r="DT36" s="228">
        <v>350</v>
      </c>
      <c r="DU36" s="228">
        <v>320</v>
      </c>
      <c r="DV36" s="228">
        <v>0.43</v>
      </c>
      <c r="DW36" s="228">
        <v>0.63</v>
      </c>
      <c r="DX36" s="228">
        <v>-0.2</v>
      </c>
      <c r="DY36" s="229">
        <v>-0.3175</v>
      </c>
      <c r="DZ36" s="229">
        <v>4.87E-2</v>
      </c>
      <c r="EA36" s="230">
        <v>1653075</v>
      </c>
      <c r="EB36" s="229">
        <v>4.8999999999999998E-3</v>
      </c>
      <c r="EC36" s="229">
        <v>4.87E-2</v>
      </c>
      <c r="ED36" s="228">
        <v>1.59</v>
      </c>
      <c r="EE36" s="229">
        <v>4.7000000000000002E-3</v>
      </c>
      <c r="EF36" s="230">
        <v>4125883</v>
      </c>
      <c r="EG36" s="230">
        <v>10909507</v>
      </c>
      <c r="EH36" s="229">
        <v>-0.62180000000000002</v>
      </c>
      <c r="EI36" s="229">
        <v>0.64770000000000005</v>
      </c>
      <c r="EJ36" s="231">
        <v>65300.92</v>
      </c>
      <c r="EK36" s="231">
        <v>26798.31</v>
      </c>
      <c r="EL36" s="231">
        <v>25855.52</v>
      </c>
      <c r="EM36" s="231">
        <v>3834</v>
      </c>
      <c r="EN36" s="231">
        <v>117954.75</v>
      </c>
      <c r="EO36" s="231">
        <v>221835.32</v>
      </c>
      <c r="EP36" s="231">
        <v>-103880.57</v>
      </c>
      <c r="EQ36" s="229">
        <v>-0.46829999999999999</v>
      </c>
      <c r="ER36" s="231">
        <v>54994</v>
      </c>
      <c r="ES36" s="231">
        <v>33137</v>
      </c>
      <c r="ET36" s="231">
        <v>134747</v>
      </c>
      <c r="EU36" s="231">
        <v>281577339</v>
      </c>
      <c r="EV36" s="231">
        <v>222878</v>
      </c>
      <c r="EW36" s="231">
        <v>214395</v>
      </c>
      <c r="EX36" s="231">
        <v>8483</v>
      </c>
      <c r="EY36" s="229">
        <v>3.9600000000000003E-2</v>
      </c>
      <c r="EZ36" s="229">
        <v>0.2334</v>
      </c>
      <c r="FA36" s="227" t="s">
        <v>567</v>
      </c>
      <c r="FB36" s="161">
        <f t="shared" si="0"/>
        <v>1945375</v>
      </c>
    </row>
    <row r="37" spans="1:158" ht="17.25" hidden="1" thickBot="1" x14ac:dyDescent="0.3">
      <c r="A37" s="226">
        <v>45946</v>
      </c>
      <c r="B37" s="227" t="s">
        <v>168</v>
      </c>
      <c r="C37" s="227" t="s">
        <v>195</v>
      </c>
      <c r="D37" s="228">
        <v>125</v>
      </c>
      <c r="E37" s="231">
        <v>6034</v>
      </c>
      <c r="F37" s="231">
        <v>5883</v>
      </c>
      <c r="G37" s="228">
        <v>151</v>
      </c>
      <c r="H37" s="229">
        <v>2.5700000000000001E-2</v>
      </c>
      <c r="I37" s="231">
        <v>6025.5</v>
      </c>
      <c r="J37" s="231">
        <v>5857.5</v>
      </c>
      <c r="K37" s="228">
        <v>168</v>
      </c>
      <c r="L37" s="229">
        <v>2.87E-2</v>
      </c>
      <c r="M37" s="231">
        <v>6034</v>
      </c>
      <c r="N37" s="231">
        <v>5883</v>
      </c>
      <c r="O37" s="228">
        <v>151</v>
      </c>
      <c r="P37" s="229">
        <v>2.5700000000000001E-2</v>
      </c>
      <c r="Q37" s="231">
        <v>6070.5</v>
      </c>
      <c r="R37" s="231">
        <v>5913</v>
      </c>
      <c r="S37" s="228">
        <v>157.5</v>
      </c>
      <c r="T37" s="229">
        <v>2.6599999999999999E-2</v>
      </c>
      <c r="U37" s="231">
        <v>6083</v>
      </c>
      <c r="V37" s="231">
        <v>5959</v>
      </c>
      <c r="W37" s="228">
        <v>124</v>
      </c>
      <c r="X37" s="229">
        <v>2.0799999999999999E-2</v>
      </c>
      <c r="Y37" s="228">
        <v>8.5</v>
      </c>
      <c r="Z37" s="228">
        <v>25.5</v>
      </c>
      <c r="AA37" s="228">
        <v>-17</v>
      </c>
      <c r="AB37" s="229">
        <v>1.4E-3</v>
      </c>
      <c r="AC37" s="228">
        <v>8.5</v>
      </c>
      <c r="AD37" s="228">
        <v>25.5</v>
      </c>
      <c r="AE37" s="228">
        <v>-17</v>
      </c>
      <c r="AF37" s="229">
        <v>1.4E-3</v>
      </c>
      <c r="AG37" s="228">
        <v>45</v>
      </c>
      <c r="AH37" s="228">
        <v>55.5</v>
      </c>
      <c r="AI37" s="228">
        <v>-10.5</v>
      </c>
      <c r="AJ37" s="229">
        <v>7.4999999999999997E-3</v>
      </c>
      <c r="AK37" s="228">
        <v>57.5</v>
      </c>
      <c r="AL37" s="228">
        <v>101.5</v>
      </c>
      <c r="AM37" s="228">
        <v>-44</v>
      </c>
      <c r="AN37" s="229">
        <v>9.4999999999999998E-3</v>
      </c>
      <c r="AO37" s="231">
        <v>5985.87</v>
      </c>
      <c r="AP37" s="231">
        <v>6017.34</v>
      </c>
      <c r="AQ37" s="228">
        <v>0</v>
      </c>
      <c r="AR37" s="230">
        <v>636375</v>
      </c>
      <c r="AS37" s="230">
        <v>388375</v>
      </c>
      <c r="AT37" s="230">
        <v>248000</v>
      </c>
      <c r="AU37" s="229">
        <v>0.63859999999999995</v>
      </c>
      <c r="AV37" s="230">
        <v>590875</v>
      </c>
      <c r="AW37" s="230">
        <v>361750</v>
      </c>
      <c r="AX37" s="230">
        <v>229125</v>
      </c>
      <c r="AY37" s="229">
        <v>0.63339999999999996</v>
      </c>
      <c r="AZ37" s="230">
        <v>42500</v>
      </c>
      <c r="BA37" s="230">
        <v>25750</v>
      </c>
      <c r="BB37" s="230">
        <v>16750</v>
      </c>
      <c r="BC37" s="229">
        <v>0.65049999999999997</v>
      </c>
      <c r="BD37" s="230">
        <v>3000</v>
      </c>
      <c r="BE37" s="228">
        <v>875</v>
      </c>
      <c r="BF37" s="230">
        <v>2125</v>
      </c>
      <c r="BG37" s="229">
        <v>2.4285999999999999</v>
      </c>
      <c r="BH37" s="230">
        <v>3188875</v>
      </c>
      <c r="BI37" s="230">
        <v>1120125</v>
      </c>
      <c r="BJ37" s="230">
        <v>2068750</v>
      </c>
      <c r="BK37" s="229">
        <v>1.8469</v>
      </c>
      <c r="BL37" s="230">
        <v>883625</v>
      </c>
      <c r="BM37" s="230">
        <v>425750</v>
      </c>
      <c r="BN37" s="230">
        <v>457875</v>
      </c>
      <c r="BO37" s="229">
        <v>1.0754999999999999</v>
      </c>
      <c r="BP37" s="230">
        <v>4708875</v>
      </c>
      <c r="BQ37" s="230">
        <v>1934250</v>
      </c>
      <c r="BR37" s="230">
        <v>2774625</v>
      </c>
      <c r="BS37" s="229">
        <v>1.4345000000000001</v>
      </c>
      <c r="BT37" s="230">
        <v>368789</v>
      </c>
      <c r="BU37" s="230">
        <v>222455</v>
      </c>
      <c r="BV37" s="230">
        <v>146334</v>
      </c>
      <c r="BW37" s="229">
        <v>0.65780000000000005</v>
      </c>
      <c r="BX37" s="230">
        <v>3703250</v>
      </c>
      <c r="BY37" s="230">
        <v>3697625</v>
      </c>
      <c r="BZ37" s="230">
        <v>5625</v>
      </c>
      <c r="CA37" s="229">
        <v>1.5E-3</v>
      </c>
      <c r="CB37" s="230">
        <v>3667375</v>
      </c>
      <c r="CC37" s="230">
        <v>3666875</v>
      </c>
      <c r="CD37" s="228">
        <v>500</v>
      </c>
      <c r="CE37" s="229">
        <v>1E-4</v>
      </c>
      <c r="CF37" s="230">
        <v>32250</v>
      </c>
      <c r="CG37" s="230">
        <v>27375</v>
      </c>
      <c r="CH37" s="230">
        <v>4875</v>
      </c>
      <c r="CI37" s="229">
        <v>0.17810000000000001</v>
      </c>
      <c r="CJ37" s="230">
        <v>3625</v>
      </c>
      <c r="CK37" s="230">
        <v>3375</v>
      </c>
      <c r="CL37" s="228">
        <v>250</v>
      </c>
      <c r="CM37" s="229">
        <v>7.4099999999999999E-2</v>
      </c>
      <c r="CN37" s="230">
        <v>1071250</v>
      </c>
      <c r="CO37" s="230">
        <v>1216750</v>
      </c>
      <c r="CP37" s="230">
        <v>-145500</v>
      </c>
      <c r="CQ37" s="229">
        <v>-0.1196</v>
      </c>
      <c r="CR37" s="230">
        <v>611750</v>
      </c>
      <c r="CS37" s="230">
        <v>552125</v>
      </c>
      <c r="CT37" s="230">
        <v>59625</v>
      </c>
      <c r="CU37" s="229">
        <v>0.108</v>
      </c>
      <c r="CV37" s="230">
        <v>5386250</v>
      </c>
      <c r="CW37" s="230">
        <v>5466500</v>
      </c>
      <c r="CX37" s="230">
        <v>-80250</v>
      </c>
      <c r="CY37" s="229">
        <v>-1.47E-2</v>
      </c>
      <c r="CZ37" s="228">
        <v>21.06</v>
      </c>
      <c r="DA37" s="228">
        <v>20.91</v>
      </c>
      <c r="DB37" s="228">
        <v>0.15</v>
      </c>
      <c r="DC37" s="228">
        <v>0.15</v>
      </c>
      <c r="DD37" s="228">
        <v>24.89</v>
      </c>
      <c r="DE37" s="228">
        <v>24.65</v>
      </c>
      <c r="DF37" s="228">
        <v>-3.83</v>
      </c>
      <c r="DG37" s="228">
        <v>0.24</v>
      </c>
      <c r="DH37" s="228">
        <v>20.98</v>
      </c>
      <c r="DI37" s="228">
        <v>21.01</v>
      </c>
      <c r="DJ37" s="228">
        <v>-0.03</v>
      </c>
      <c r="DK37" s="228">
        <v>-0.03</v>
      </c>
      <c r="DL37" s="228">
        <v>21.37</v>
      </c>
      <c r="DM37" s="228">
        <v>20.64</v>
      </c>
      <c r="DN37" s="228">
        <v>0.73</v>
      </c>
      <c r="DO37" s="228">
        <v>0.73</v>
      </c>
      <c r="DP37" s="228">
        <v>0.56999999999999995</v>
      </c>
      <c r="DQ37" s="228">
        <v>0.45</v>
      </c>
      <c r="DR37" s="228">
        <v>0.12</v>
      </c>
      <c r="DS37" s="229">
        <v>0.26669999999999999</v>
      </c>
      <c r="DT37" s="231">
        <v>6200</v>
      </c>
      <c r="DU37" s="231">
        <v>5500</v>
      </c>
      <c r="DV37" s="228">
        <v>0.28000000000000003</v>
      </c>
      <c r="DW37" s="228">
        <v>0.38</v>
      </c>
      <c r="DX37" s="228">
        <v>-0.1</v>
      </c>
      <c r="DY37" s="229">
        <v>-0.26319999999999999</v>
      </c>
      <c r="DZ37" s="229">
        <v>9.7000000000000003E-3</v>
      </c>
      <c r="EA37" s="230">
        <v>30750</v>
      </c>
      <c r="EB37" s="229">
        <v>6.0000000000000001E-3</v>
      </c>
      <c r="EC37" s="229">
        <v>9.7000000000000003E-3</v>
      </c>
      <c r="ED37" s="228">
        <v>31.47</v>
      </c>
      <c r="EE37" s="229">
        <v>5.3E-3</v>
      </c>
      <c r="EF37" s="230">
        <v>205738</v>
      </c>
      <c r="EG37" s="230">
        <v>121522</v>
      </c>
      <c r="EH37" s="229">
        <v>0.69299999999999995</v>
      </c>
      <c r="EI37" s="229">
        <v>0.55789999999999995</v>
      </c>
      <c r="EJ37" s="231">
        <v>195889.34</v>
      </c>
      <c r="EK37" s="231">
        <v>51530.22</v>
      </c>
      <c r="EL37" s="231">
        <v>38107.879999999997</v>
      </c>
      <c r="EM37" s="231">
        <v>1974</v>
      </c>
      <c r="EN37" s="231">
        <v>285527.44</v>
      </c>
      <c r="EO37" s="231">
        <v>115046.16</v>
      </c>
      <c r="EP37" s="231">
        <v>170481.28</v>
      </c>
      <c r="EQ37" s="229">
        <v>1.4819</v>
      </c>
      <c r="ER37" s="231">
        <v>66926</v>
      </c>
      <c r="ES37" s="231">
        <v>35036</v>
      </c>
      <c r="ET37" s="231">
        <v>223468</v>
      </c>
      <c r="EU37" s="231">
        <v>13082978</v>
      </c>
      <c r="EV37" s="231">
        <v>325429</v>
      </c>
      <c r="EW37" s="231">
        <v>324839</v>
      </c>
      <c r="EX37" s="228">
        <v>590</v>
      </c>
      <c r="EY37" s="229">
        <v>1.8E-3</v>
      </c>
      <c r="EZ37" s="229">
        <v>0.41170000000000001</v>
      </c>
      <c r="FA37" s="227" t="s">
        <v>555</v>
      </c>
      <c r="FB37" s="161">
        <f t="shared" si="0"/>
        <v>35875</v>
      </c>
    </row>
    <row r="38" spans="1:158" ht="17.25" hidden="1" thickBot="1" x14ac:dyDescent="0.3">
      <c r="A38" s="226">
        <v>45946</v>
      </c>
      <c r="B38" s="227" t="s">
        <v>175</v>
      </c>
      <c r="C38" s="227" t="s">
        <v>584</v>
      </c>
      <c r="D38" s="228">
        <v>375</v>
      </c>
      <c r="E38" s="231">
        <v>2519.6</v>
      </c>
      <c r="F38" s="231">
        <v>2467.1</v>
      </c>
      <c r="G38" s="228">
        <v>52.5</v>
      </c>
      <c r="H38" s="229">
        <v>2.1299999999999999E-2</v>
      </c>
      <c r="I38" s="231">
        <v>2509.1999999999998</v>
      </c>
      <c r="J38" s="231">
        <v>2456.3000000000002</v>
      </c>
      <c r="K38" s="228">
        <v>52.9</v>
      </c>
      <c r="L38" s="229">
        <v>2.1499999999999998E-2</v>
      </c>
      <c r="M38" s="231">
        <v>2519.6</v>
      </c>
      <c r="N38" s="231">
        <v>2467.1</v>
      </c>
      <c r="O38" s="228">
        <v>52.5</v>
      </c>
      <c r="P38" s="229">
        <v>2.1299999999999999E-2</v>
      </c>
      <c r="Q38" s="231">
        <v>2530.6</v>
      </c>
      <c r="R38" s="231">
        <v>2478</v>
      </c>
      <c r="S38" s="228">
        <v>52.6</v>
      </c>
      <c r="T38" s="229">
        <v>2.12E-2</v>
      </c>
      <c r="U38" s="231">
        <v>2537.6</v>
      </c>
      <c r="V38" s="231">
        <v>2486.8000000000002</v>
      </c>
      <c r="W38" s="228">
        <v>50.8</v>
      </c>
      <c r="X38" s="229">
        <v>2.0400000000000001E-2</v>
      </c>
      <c r="Y38" s="228">
        <v>10.4</v>
      </c>
      <c r="Z38" s="228">
        <v>10.8</v>
      </c>
      <c r="AA38" s="228">
        <v>-0.4</v>
      </c>
      <c r="AB38" s="229">
        <v>4.1000000000000003E-3</v>
      </c>
      <c r="AC38" s="228">
        <v>10.4</v>
      </c>
      <c r="AD38" s="228">
        <v>10.8</v>
      </c>
      <c r="AE38" s="228">
        <v>-0.4</v>
      </c>
      <c r="AF38" s="229">
        <v>4.1000000000000003E-3</v>
      </c>
      <c r="AG38" s="228">
        <v>21.4</v>
      </c>
      <c r="AH38" s="228">
        <v>21.7</v>
      </c>
      <c r="AI38" s="228">
        <v>-0.3</v>
      </c>
      <c r="AJ38" s="229">
        <v>8.5000000000000006E-3</v>
      </c>
      <c r="AK38" s="228">
        <v>28.4</v>
      </c>
      <c r="AL38" s="228">
        <v>30.5</v>
      </c>
      <c r="AM38" s="228">
        <v>-2.1</v>
      </c>
      <c r="AN38" s="229">
        <v>1.1299999999999999E-2</v>
      </c>
      <c r="AO38" s="231">
        <v>2533.7600000000002</v>
      </c>
      <c r="AP38" s="231">
        <v>2549.02</v>
      </c>
      <c r="AQ38" s="228">
        <v>0</v>
      </c>
      <c r="AR38" s="230">
        <v>6732000</v>
      </c>
      <c r="AS38" s="230">
        <v>2359125</v>
      </c>
      <c r="AT38" s="230">
        <v>4372875</v>
      </c>
      <c r="AU38" s="229">
        <v>1.8535999999999999</v>
      </c>
      <c r="AV38" s="230">
        <v>5584875</v>
      </c>
      <c r="AW38" s="230">
        <v>2062500</v>
      </c>
      <c r="AX38" s="230">
        <v>3522375</v>
      </c>
      <c r="AY38" s="229">
        <v>1.7078</v>
      </c>
      <c r="AZ38" s="230">
        <v>980625</v>
      </c>
      <c r="BA38" s="230">
        <v>265875</v>
      </c>
      <c r="BB38" s="230">
        <v>714750</v>
      </c>
      <c r="BC38" s="229">
        <v>2.6882999999999999</v>
      </c>
      <c r="BD38" s="230">
        <v>166500</v>
      </c>
      <c r="BE38" s="230">
        <v>30750</v>
      </c>
      <c r="BF38" s="230">
        <v>135750</v>
      </c>
      <c r="BG38" s="229">
        <v>4.4146000000000001</v>
      </c>
      <c r="BH38" s="230">
        <v>43125375</v>
      </c>
      <c r="BI38" s="230">
        <v>13297125</v>
      </c>
      <c r="BJ38" s="230">
        <v>29828250</v>
      </c>
      <c r="BK38" s="229">
        <v>2.2431999999999999</v>
      </c>
      <c r="BL38" s="230">
        <v>20089125</v>
      </c>
      <c r="BM38" s="230">
        <v>8203875</v>
      </c>
      <c r="BN38" s="230">
        <v>11885250</v>
      </c>
      <c r="BO38" s="229">
        <v>1.4487000000000001</v>
      </c>
      <c r="BP38" s="230">
        <v>69946500</v>
      </c>
      <c r="BQ38" s="230">
        <v>23860125</v>
      </c>
      <c r="BR38" s="230">
        <v>46086375</v>
      </c>
      <c r="BS38" s="229">
        <v>1.9315</v>
      </c>
      <c r="BT38" s="230">
        <v>9183672</v>
      </c>
      <c r="BU38" s="230">
        <v>3210878</v>
      </c>
      <c r="BV38" s="230">
        <v>5972794</v>
      </c>
      <c r="BW38" s="229">
        <v>1.8602000000000001</v>
      </c>
      <c r="BX38" s="230">
        <v>13197750</v>
      </c>
      <c r="BY38" s="230">
        <v>13589625</v>
      </c>
      <c r="BZ38" s="230">
        <v>-391875</v>
      </c>
      <c r="CA38" s="229">
        <v>-2.8799999999999999E-2</v>
      </c>
      <c r="CB38" s="230">
        <v>11853375</v>
      </c>
      <c r="CC38" s="230">
        <v>12384000</v>
      </c>
      <c r="CD38" s="230">
        <v>-530625</v>
      </c>
      <c r="CE38" s="229">
        <v>-4.2799999999999998E-2</v>
      </c>
      <c r="CF38" s="230">
        <v>1120500</v>
      </c>
      <c r="CG38" s="230">
        <v>991125</v>
      </c>
      <c r="CH38" s="230">
        <v>129375</v>
      </c>
      <c r="CI38" s="229">
        <v>0.1305</v>
      </c>
      <c r="CJ38" s="230">
        <v>223875</v>
      </c>
      <c r="CK38" s="230">
        <v>214500</v>
      </c>
      <c r="CL38" s="230">
        <v>9375</v>
      </c>
      <c r="CM38" s="229">
        <v>4.3700000000000003E-2</v>
      </c>
      <c r="CN38" s="230">
        <v>9547875</v>
      </c>
      <c r="CO38" s="230">
        <v>10700625</v>
      </c>
      <c r="CP38" s="230">
        <v>-1152750</v>
      </c>
      <c r="CQ38" s="229">
        <v>-0.1077</v>
      </c>
      <c r="CR38" s="230">
        <v>8835375</v>
      </c>
      <c r="CS38" s="230">
        <v>8344125</v>
      </c>
      <c r="CT38" s="230">
        <v>491250</v>
      </c>
      <c r="CU38" s="229">
        <v>5.8900000000000001E-2</v>
      </c>
      <c r="CV38" s="230">
        <v>31581000</v>
      </c>
      <c r="CW38" s="230">
        <v>32634375</v>
      </c>
      <c r="CX38" s="230">
        <v>-1053375</v>
      </c>
      <c r="CY38" s="229">
        <v>-3.2300000000000002E-2</v>
      </c>
      <c r="CZ38" s="228">
        <v>39.11</v>
      </c>
      <c r="DA38" s="228">
        <v>42.79</v>
      </c>
      <c r="DB38" s="228">
        <v>-3.68</v>
      </c>
      <c r="DC38" s="228">
        <v>-3.68</v>
      </c>
      <c r="DD38" s="228">
        <v>63.43</v>
      </c>
      <c r="DE38" s="228">
        <v>63.52</v>
      </c>
      <c r="DF38" s="228">
        <v>-24.32</v>
      </c>
      <c r="DG38" s="228">
        <v>-0.09</v>
      </c>
      <c r="DH38" s="228">
        <v>38.299999999999997</v>
      </c>
      <c r="DI38" s="228">
        <v>41.77</v>
      </c>
      <c r="DJ38" s="228">
        <v>-3.47</v>
      </c>
      <c r="DK38" s="228">
        <v>-3.47</v>
      </c>
      <c r="DL38" s="228">
        <v>40.86</v>
      </c>
      <c r="DM38" s="228">
        <v>44.44</v>
      </c>
      <c r="DN38" s="228">
        <v>-3.58</v>
      </c>
      <c r="DO38" s="228">
        <v>-3.58</v>
      </c>
      <c r="DP38" s="228">
        <v>0.93</v>
      </c>
      <c r="DQ38" s="228">
        <v>0.78</v>
      </c>
      <c r="DR38" s="228">
        <v>0.15</v>
      </c>
      <c r="DS38" s="229">
        <v>0.1923</v>
      </c>
      <c r="DT38" s="231">
        <v>2600</v>
      </c>
      <c r="DU38" s="231">
        <v>2400</v>
      </c>
      <c r="DV38" s="228">
        <v>0.47</v>
      </c>
      <c r="DW38" s="228">
        <v>0.62</v>
      </c>
      <c r="DX38" s="228">
        <v>-0.15</v>
      </c>
      <c r="DY38" s="229">
        <v>-0.2419</v>
      </c>
      <c r="DZ38" s="229">
        <v>0.1019</v>
      </c>
      <c r="EA38" s="230">
        <v>1205625</v>
      </c>
      <c r="EB38" s="229">
        <v>4.4000000000000003E-3</v>
      </c>
      <c r="EC38" s="229">
        <v>0.1019</v>
      </c>
      <c r="ED38" s="228">
        <v>15.26</v>
      </c>
      <c r="EE38" s="229">
        <v>6.0000000000000001E-3</v>
      </c>
      <c r="EF38" s="230">
        <v>2967117</v>
      </c>
      <c r="EG38" s="230">
        <v>977575</v>
      </c>
      <c r="EH38" s="229">
        <v>2.0352000000000001</v>
      </c>
      <c r="EI38" s="229">
        <v>0.3231</v>
      </c>
      <c r="EJ38" s="231">
        <v>1148508.77</v>
      </c>
      <c r="EK38" s="231">
        <v>490985.15</v>
      </c>
      <c r="EL38" s="231">
        <v>170763.5</v>
      </c>
      <c r="EM38" s="231">
        <v>17391</v>
      </c>
      <c r="EN38" s="231">
        <v>1810257.42</v>
      </c>
      <c r="EO38" s="231">
        <v>599107.07999999996</v>
      </c>
      <c r="EP38" s="231">
        <v>1211150.3400000001</v>
      </c>
      <c r="EQ38" s="229">
        <v>2.0215999999999998</v>
      </c>
      <c r="ER38" s="231">
        <v>241657</v>
      </c>
      <c r="ES38" s="231">
        <v>197601</v>
      </c>
      <c r="ET38" s="231">
        <v>332694</v>
      </c>
      <c r="EU38" s="231">
        <v>48385387</v>
      </c>
      <c r="EV38" s="231">
        <v>771952</v>
      </c>
      <c r="EW38" s="231">
        <v>789252</v>
      </c>
      <c r="EX38" s="231">
        <v>-17300</v>
      </c>
      <c r="EY38" s="229">
        <v>-2.1899999999999999E-2</v>
      </c>
      <c r="EZ38" s="229">
        <v>0.65269999999999995</v>
      </c>
      <c r="FA38" s="227" t="s">
        <v>556</v>
      </c>
      <c r="FB38" s="161">
        <f t="shared" si="0"/>
        <v>1344375</v>
      </c>
    </row>
    <row r="39" spans="1:158" ht="17.25" hidden="1" thickBot="1" x14ac:dyDescent="0.3">
      <c r="A39" s="226">
        <v>45946</v>
      </c>
      <c r="B39" s="227" t="s">
        <v>175</v>
      </c>
      <c r="C39" s="227" t="s">
        <v>611</v>
      </c>
      <c r="D39" s="228">
        <v>150</v>
      </c>
      <c r="E39" s="231">
        <v>3834.8</v>
      </c>
      <c r="F39" s="231">
        <v>3852.5</v>
      </c>
      <c r="G39" s="228">
        <v>-17.7</v>
      </c>
      <c r="H39" s="229">
        <v>-4.5999999999999999E-3</v>
      </c>
      <c r="I39" s="231">
        <v>3830.8</v>
      </c>
      <c r="J39" s="231">
        <v>3836.2</v>
      </c>
      <c r="K39" s="228">
        <v>-5.4</v>
      </c>
      <c r="L39" s="229">
        <v>-1.4E-3</v>
      </c>
      <c r="M39" s="231">
        <v>3834.8</v>
      </c>
      <c r="N39" s="231">
        <v>3852.5</v>
      </c>
      <c r="O39" s="228">
        <v>-17.7</v>
      </c>
      <c r="P39" s="229">
        <v>-4.5999999999999999E-3</v>
      </c>
      <c r="Q39" s="231">
        <v>3841.9</v>
      </c>
      <c r="R39" s="231">
        <v>3859.6</v>
      </c>
      <c r="S39" s="228">
        <v>-17.7</v>
      </c>
      <c r="T39" s="229">
        <v>-4.5999999999999999E-3</v>
      </c>
      <c r="U39" s="231">
        <v>3866.7</v>
      </c>
      <c r="V39" s="231">
        <v>3872</v>
      </c>
      <c r="W39" s="228">
        <v>-5.3</v>
      </c>
      <c r="X39" s="229">
        <v>-1.4E-3</v>
      </c>
      <c r="Y39" s="228">
        <v>4</v>
      </c>
      <c r="Z39" s="228">
        <v>16.3</v>
      </c>
      <c r="AA39" s="228">
        <v>-12.3</v>
      </c>
      <c r="AB39" s="229">
        <v>1E-3</v>
      </c>
      <c r="AC39" s="228">
        <v>4</v>
      </c>
      <c r="AD39" s="228">
        <v>16.3</v>
      </c>
      <c r="AE39" s="228">
        <v>-12.3</v>
      </c>
      <c r="AF39" s="229">
        <v>1E-3</v>
      </c>
      <c r="AG39" s="228">
        <v>11.1</v>
      </c>
      <c r="AH39" s="228">
        <v>23.4</v>
      </c>
      <c r="AI39" s="228">
        <v>-12.3</v>
      </c>
      <c r="AJ39" s="229">
        <v>2.8999999999999998E-3</v>
      </c>
      <c r="AK39" s="228">
        <v>35.9</v>
      </c>
      <c r="AL39" s="228">
        <v>35.799999999999997</v>
      </c>
      <c r="AM39" s="228">
        <v>0.1</v>
      </c>
      <c r="AN39" s="229">
        <v>9.4000000000000004E-3</v>
      </c>
      <c r="AO39" s="231">
        <v>3850.94</v>
      </c>
      <c r="AP39" s="231">
        <v>3859.35</v>
      </c>
      <c r="AQ39" s="228">
        <v>0</v>
      </c>
      <c r="AR39" s="230">
        <v>438000</v>
      </c>
      <c r="AS39" s="230">
        <v>470550</v>
      </c>
      <c r="AT39" s="230">
        <v>-32550</v>
      </c>
      <c r="AU39" s="229">
        <v>-6.9199999999999998E-2</v>
      </c>
      <c r="AV39" s="230">
        <v>369750</v>
      </c>
      <c r="AW39" s="230">
        <v>387000</v>
      </c>
      <c r="AX39" s="230">
        <v>-17250</v>
      </c>
      <c r="AY39" s="229">
        <v>-4.4600000000000001E-2</v>
      </c>
      <c r="AZ39" s="230">
        <v>65700</v>
      </c>
      <c r="BA39" s="230">
        <v>77550</v>
      </c>
      <c r="BB39" s="230">
        <v>-11850</v>
      </c>
      <c r="BC39" s="229">
        <v>-0.15279999999999999</v>
      </c>
      <c r="BD39" s="230">
        <v>2550</v>
      </c>
      <c r="BE39" s="230">
        <v>6000</v>
      </c>
      <c r="BF39" s="230">
        <v>-3450</v>
      </c>
      <c r="BG39" s="229">
        <v>-0.57499999999999996</v>
      </c>
      <c r="BH39" s="230">
        <v>1003050</v>
      </c>
      <c r="BI39" s="230">
        <v>1547550</v>
      </c>
      <c r="BJ39" s="230">
        <v>-544500</v>
      </c>
      <c r="BK39" s="229">
        <v>-0.3518</v>
      </c>
      <c r="BL39" s="230">
        <v>336300</v>
      </c>
      <c r="BM39" s="230">
        <v>501150</v>
      </c>
      <c r="BN39" s="230">
        <v>-164850</v>
      </c>
      <c r="BO39" s="229">
        <v>-0.32890000000000003</v>
      </c>
      <c r="BP39" s="230">
        <v>1777350</v>
      </c>
      <c r="BQ39" s="230">
        <v>2519250</v>
      </c>
      <c r="BR39" s="230">
        <v>-741900</v>
      </c>
      <c r="BS39" s="229">
        <v>-0.29449999999999998</v>
      </c>
      <c r="BT39" s="230">
        <v>321745</v>
      </c>
      <c r="BU39" s="230">
        <v>295232</v>
      </c>
      <c r="BV39" s="230">
        <v>26513</v>
      </c>
      <c r="BW39" s="229">
        <v>8.9800000000000005E-2</v>
      </c>
      <c r="BX39" s="230">
        <v>2337600</v>
      </c>
      <c r="BY39" s="230">
        <v>2296200</v>
      </c>
      <c r="BZ39" s="230">
        <v>41400</v>
      </c>
      <c r="CA39" s="229">
        <v>1.7999999999999999E-2</v>
      </c>
      <c r="CB39" s="230">
        <v>2085900</v>
      </c>
      <c r="CC39" s="230">
        <v>2073150</v>
      </c>
      <c r="CD39" s="230">
        <v>12750</v>
      </c>
      <c r="CE39" s="229">
        <v>6.1999999999999998E-3</v>
      </c>
      <c r="CF39" s="230">
        <v>234750</v>
      </c>
      <c r="CG39" s="230">
        <v>207600</v>
      </c>
      <c r="CH39" s="230">
        <v>27150</v>
      </c>
      <c r="CI39" s="229">
        <v>0.1308</v>
      </c>
      <c r="CJ39" s="230">
        <v>16950</v>
      </c>
      <c r="CK39" s="230">
        <v>15450</v>
      </c>
      <c r="CL39" s="230">
        <v>1500</v>
      </c>
      <c r="CM39" s="229">
        <v>9.7100000000000006E-2</v>
      </c>
      <c r="CN39" s="230">
        <v>1166850</v>
      </c>
      <c r="CO39" s="230">
        <v>1152750</v>
      </c>
      <c r="CP39" s="230">
        <v>14100</v>
      </c>
      <c r="CQ39" s="229">
        <v>1.2200000000000001E-2</v>
      </c>
      <c r="CR39" s="230">
        <v>745350</v>
      </c>
      <c r="CS39" s="230">
        <v>713400</v>
      </c>
      <c r="CT39" s="230">
        <v>31950</v>
      </c>
      <c r="CU39" s="229">
        <v>4.48E-2</v>
      </c>
      <c r="CV39" s="230">
        <v>4249800</v>
      </c>
      <c r="CW39" s="230">
        <v>4162350</v>
      </c>
      <c r="CX39" s="230">
        <v>87450</v>
      </c>
      <c r="CY39" s="229">
        <v>2.1000000000000001E-2</v>
      </c>
      <c r="CZ39" s="228">
        <v>31.27</v>
      </c>
      <c r="DA39" s="228">
        <v>30.68</v>
      </c>
      <c r="DB39" s="228">
        <v>0.59</v>
      </c>
      <c r="DC39" s="228">
        <v>0.59</v>
      </c>
      <c r="DD39" s="228">
        <v>42.52</v>
      </c>
      <c r="DE39" s="228">
        <v>42.62</v>
      </c>
      <c r="DF39" s="228">
        <v>-11.25</v>
      </c>
      <c r="DG39" s="228">
        <v>-0.1</v>
      </c>
      <c r="DH39" s="228">
        <v>31.63</v>
      </c>
      <c r="DI39" s="228">
        <v>30.8</v>
      </c>
      <c r="DJ39" s="228">
        <v>0.83</v>
      </c>
      <c r="DK39" s="228">
        <v>0.83</v>
      </c>
      <c r="DL39" s="228">
        <v>30.18</v>
      </c>
      <c r="DM39" s="228">
        <v>30.29</v>
      </c>
      <c r="DN39" s="228">
        <v>-0.11</v>
      </c>
      <c r="DO39" s="228">
        <v>-0.11</v>
      </c>
      <c r="DP39" s="228">
        <v>0.64</v>
      </c>
      <c r="DQ39" s="228">
        <v>0.62</v>
      </c>
      <c r="DR39" s="228">
        <v>0.02</v>
      </c>
      <c r="DS39" s="229">
        <v>3.2300000000000002E-2</v>
      </c>
      <c r="DT39" s="231">
        <v>4000</v>
      </c>
      <c r="DU39" s="231">
        <v>3800</v>
      </c>
      <c r="DV39" s="228">
        <v>0.34</v>
      </c>
      <c r="DW39" s="228">
        <v>0.32</v>
      </c>
      <c r="DX39" s="228">
        <v>0.02</v>
      </c>
      <c r="DY39" s="229">
        <v>6.25E-2</v>
      </c>
      <c r="DZ39" s="229">
        <v>0.1077</v>
      </c>
      <c r="EA39" s="230">
        <v>223050</v>
      </c>
      <c r="EB39" s="229">
        <v>1.9E-3</v>
      </c>
      <c r="EC39" s="229">
        <v>0.1077</v>
      </c>
      <c r="ED39" s="228">
        <v>8.41</v>
      </c>
      <c r="EE39" s="229">
        <v>2.2000000000000001E-3</v>
      </c>
      <c r="EF39" s="230">
        <v>160073</v>
      </c>
      <c r="EG39" s="230">
        <v>123789</v>
      </c>
      <c r="EH39" s="229">
        <v>0.29310000000000003</v>
      </c>
      <c r="EI39" s="229">
        <v>0.4975</v>
      </c>
      <c r="EJ39" s="231">
        <v>40535.78</v>
      </c>
      <c r="EK39" s="231">
        <v>12967.8</v>
      </c>
      <c r="EL39" s="231">
        <v>16873.59</v>
      </c>
      <c r="EM39" s="231">
        <v>3647</v>
      </c>
      <c r="EN39" s="231">
        <v>70377.17</v>
      </c>
      <c r="EO39" s="231">
        <v>99763.58</v>
      </c>
      <c r="EP39" s="231">
        <v>-29386.41</v>
      </c>
      <c r="EQ39" s="229">
        <v>-0.29459999999999997</v>
      </c>
      <c r="ER39" s="231">
        <v>46718</v>
      </c>
      <c r="ES39" s="231">
        <v>28264</v>
      </c>
      <c r="ET39" s="231">
        <v>89664</v>
      </c>
      <c r="EU39" s="231">
        <v>7421215</v>
      </c>
      <c r="EV39" s="231">
        <v>164647</v>
      </c>
      <c r="EW39" s="231">
        <v>161755</v>
      </c>
      <c r="EX39" s="231">
        <v>2892</v>
      </c>
      <c r="EY39" s="229">
        <v>1.7899999999999999E-2</v>
      </c>
      <c r="EZ39" s="229">
        <v>0.57269999999999999</v>
      </c>
      <c r="FA39" s="227" t="s">
        <v>567</v>
      </c>
      <c r="FB39" s="161">
        <f t="shared" si="0"/>
        <v>251700</v>
      </c>
    </row>
    <row r="40" spans="1:158" ht="17.25" hidden="1" thickBot="1" x14ac:dyDescent="0.3">
      <c r="A40" s="226">
        <v>45946</v>
      </c>
      <c r="B40" s="227" t="s">
        <v>172</v>
      </c>
      <c r="C40" s="227" t="s">
        <v>196</v>
      </c>
      <c r="D40" s="228">
        <v>6750</v>
      </c>
      <c r="E40" s="228">
        <v>127.58</v>
      </c>
      <c r="F40" s="228">
        <v>128.6</v>
      </c>
      <c r="G40" s="228">
        <v>-1.02</v>
      </c>
      <c r="H40" s="229">
        <v>-7.9000000000000008E-3</v>
      </c>
      <c r="I40" s="228">
        <v>127.37</v>
      </c>
      <c r="J40" s="228">
        <v>128.41</v>
      </c>
      <c r="K40" s="228">
        <v>-1.04</v>
      </c>
      <c r="L40" s="229">
        <v>-8.0999999999999996E-3</v>
      </c>
      <c r="M40" s="228">
        <v>127.58</v>
      </c>
      <c r="N40" s="228">
        <v>128.6</v>
      </c>
      <c r="O40" s="228">
        <v>-1.02</v>
      </c>
      <c r="P40" s="229">
        <v>-7.9000000000000008E-3</v>
      </c>
      <c r="Q40" s="228">
        <v>128.27000000000001</v>
      </c>
      <c r="R40" s="228">
        <v>129.32</v>
      </c>
      <c r="S40" s="228">
        <v>-1.05</v>
      </c>
      <c r="T40" s="229">
        <v>-8.0999999999999996E-3</v>
      </c>
      <c r="U40" s="228">
        <v>129.07</v>
      </c>
      <c r="V40" s="228">
        <v>130.07</v>
      </c>
      <c r="W40" s="228">
        <v>-1</v>
      </c>
      <c r="X40" s="229">
        <v>-7.7000000000000002E-3</v>
      </c>
      <c r="Y40" s="228">
        <v>0.21</v>
      </c>
      <c r="Z40" s="228">
        <v>0.19</v>
      </c>
      <c r="AA40" s="228">
        <v>0.02</v>
      </c>
      <c r="AB40" s="229">
        <v>1.6000000000000001E-3</v>
      </c>
      <c r="AC40" s="228">
        <v>0.21</v>
      </c>
      <c r="AD40" s="228">
        <v>0.19</v>
      </c>
      <c r="AE40" s="228">
        <v>0.02</v>
      </c>
      <c r="AF40" s="229">
        <v>1.6000000000000001E-3</v>
      </c>
      <c r="AG40" s="228">
        <v>0.9</v>
      </c>
      <c r="AH40" s="228">
        <v>0.91</v>
      </c>
      <c r="AI40" s="228">
        <v>-0.01</v>
      </c>
      <c r="AJ40" s="229">
        <v>7.1000000000000004E-3</v>
      </c>
      <c r="AK40" s="228">
        <v>1.7</v>
      </c>
      <c r="AL40" s="228">
        <v>1.66</v>
      </c>
      <c r="AM40" s="228">
        <v>0.04</v>
      </c>
      <c r="AN40" s="229">
        <v>1.3299999999999999E-2</v>
      </c>
      <c r="AO40" s="228">
        <v>128.94999999999999</v>
      </c>
      <c r="AP40" s="228">
        <v>129.66999999999999</v>
      </c>
      <c r="AQ40" s="228">
        <v>0</v>
      </c>
      <c r="AR40" s="230">
        <v>66865500</v>
      </c>
      <c r="AS40" s="230">
        <v>63902250</v>
      </c>
      <c r="AT40" s="230">
        <v>2963250</v>
      </c>
      <c r="AU40" s="229">
        <v>4.6399999999999997E-2</v>
      </c>
      <c r="AV40" s="230">
        <v>55525500</v>
      </c>
      <c r="AW40" s="230">
        <v>47742750</v>
      </c>
      <c r="AX40" s="230">
        <v>7782750</v>
      </c>
      <c r="AY40" s="229">
        <v>0.16300000000000001</v>
      </c>
      <c r="AZ40" s="230">
        <v>10374750</v>
      </c>
      <c r="BA40" s="230">
        <v>15552000</v>
      </c>
      <c r="BB40" s="230">
        <v>-5177250</v>
      </c>
      <c r="BC40" s="229">
        <v>-0.33289999999999997</v>
      </c>
      <c r="BD40" s="230">
        <v>965250</v>
      </c>
      <c r="BE40" s="230">
        <v>607500</v>
      </c>
      <c r="BF40" s="230">
        <v>357750</v>
      </c>
      <c r="BG40" s="229">
        <v>0.58889999999999998</v>
      </c>
      <c r="BH40" s="230">
        <v>173718000</v>
      </c>
      <c r="BI40" s="230">
        <v>130497750</v>
      </c>
      <c r="BJ40" s="230">
        <v>43220250</v>
      </c>
      <c r="BK40" s="229">
        <v>0.33119999999999999</v>
      </c>
      <c r="BL40" s="230">
        <v>103720500</v>
      </c>
      <c r="BM40" s="230">
        <v>77226750</v>
      </c>
      <c r="BN40" s="230">
        <v>26493750</v>
      </c>
      <c r="BO40" s="229">
        <v>0.34310000000000002</v>
      </c>
      <c r="BP40" s="230">
        <v>344304000</v>
      </c>
      <c r="BQ40" s="230">
        <v>271626750</v>
      </c>
      <c r="BR40" s="230">
        <v>72677250</v>
      </c>
      <c r="BS40" s="229">
        <v>0.2676</v>
      </c>
      <c r="BT40" s="230">
        <v>21077994</v>
      </c>
      <c r="BU40" s="230">
        <v>22622167</v>
      </c>
      <c r="BV40" s="230">
        <v>-1544173</v>
      </c>
      <c r="BW40" s="229">
        <v>-6.83E-2</v>
      </c>
      <c r="BX40" s="230">
        <v>285423750</v>
      </c>
      <c r="BY40" s="230">
        <v>277013250</v>
      </c>
      <c r="BZ40" s="230">
        <v>8410500</v>
      </c>
      <c r="CA40" s="229">
        <v>3.04E-2</v>
      </c>
      <c r="CB40" s="230">
        <v>257161500</v>
      </c>
      <c r="CC40" s="230">
        <v>253111500</v>
      </c>
      <c r="CD40" s="230">
        <v>4050000</v>
      </c>
      <c r="CE40" s="229">
        <v>1.6E-2</v>
      </c>
      <c r="CF40" s="230">
        <v>26534250</v>
      </c>
      <c r="CG40" s="230">
        <v>22572000</v>
      </c>
      <c r="CH40" s="230">
        <v>3962250</v>
      </c>
      <c r="CI40" s="229">
        <v>0.17549999999999999</v>
      </c>
      <c r="CJ40" s="230">
        <v>1728000</v>
      </c>
      <c r="CK40" s="230">
        <v>1329750</v>
      </c>
      <c r="CL40" s="230">
        <v>398250</v>
      </c>
      <c r="CM40" s="229">
        <v>0.29949999999999999</v>
      </c>
      <c r="CN40" s="230">
        <v>100575000</v>
      </c>
      <c r="CO40" s="230">
        <v>96525000</v>
      </c>
      <c r="CP40" s="230">
        <v>4050000</v>
      </c>
      <c r="CQ40" s="229">
        <v>4.2000000000000003E-2</v>
      </c>
      <c r="CR40" s="230">
        <v>83821500</v>
      </c>
      <c r="CS40" s="230">
        <v>82613250</v>
      </c>
      <c r="CT40" s="230">
        <v>1208250</v>
      </c>
      <c r="CU40" s="229">
        <v>1.46E-2</v>
      </c>
      <c r="CV40" s="230">
        <v>469820250</v>
      </c>
      <c r="CW40" s="230">
        <v>456151500</v>
      </c>
      <c r="CX40" s="230">
        <v>13668750</v>
      </c>
      <c r="CY40" s="229">
        <v>0.03</v>
      </c>
      <c r="CZ40" s="228">
        <v>30.51</v>
      </c>
      <c r="DA40" s="228">
        <v>29.64</v>
      </c>
      <c r="DB40" s="228">
        <v>0.87</v>
      </c>
      <c r="DC40" s="228">
        <v>0.87</v>
      </c>
      <c r="DD40" s="228">
        <v>37.56</v>
      </c>
      <c r="DE40" s="228">
        <v>37.64</v>
      </c>
      <c r="DF40" s="228">
        <v>-7.05</v>
      </c>
      <c r="DG40" s="228">
        <v>-0.08</v>
      </c>
      <c r="DH40" s="228">
        <v>30.65</v>
      </c>
      <c r="DI40" s="228">
        <v>28.98</v>
      </c>
      <c r="DJ40" s="228">
        <v>1.67</v>
      </c>
      <c r="DK40" s="228">
        <v>1.67</v>
      </c>
      <c r="DL40" s="228">
        <v>30.28</v>
      </c>
      <c r="DM40" s="228">
        <v>30.75</v>
      </c>
      <c r="DN40" s="228">
        <v>-0.47</v>
      </c>
      <c r="DO40" s="228">
        <v>-0.47</v>
      </c>
      <c r="DP40" s="228">
        <v>0.83</v>
      </c>
      <c r="DQ40" s="228">
        <v>0.86</v>
      </c>
      <c r="DR40" s="228">
        <v>-0.03</v>
      </c>
      <c r="DS40" s="229">
        <v>-3.49E-2</v>
      </c>
      <c r="DT40" s="228">
        <v>130</v>
      </c>
      <c r="DU40" s="228">
        <v>115</v>
      </c>
      <c r="DV40" s="228">
        <v>0.6</v>
      </c>
      <c r="DW40" s="228">
        <v>0.59</v>
      </c>
      <c r="DX40" s="228">
        <v>0.01</v>
      </c>
      <c r="DY40" s="229">
        <v>1.6899999999999998E-2</v>
      </c>
      <c r="DZ40" s="229">
        <v>9.9000000000000005E-2</v>
      </c>
      <c r="EA40" s="230">
        <v>23901750</v>
      </c>
      <c r="EB40" s="229">
        <v>5.4000000000000003E-3</v>
      </c>
      <c r="EC40" s="229">
        <v>9.9000000000000005E-2</v>
      </c>
      <c r="ED40" s="228">
        <v>0.72</v>
      </c>
      <c r="EE40" s="229">
        <v>5.5999999999999999E-3</v>
      </c>
      <c r="EF40" s="230">
        <v>6924521</v>
      </c>
      <c r="EG40" s="230">
        <v>11200218</v>
      </c>
      <c r="EH40" s="229">
        <v>-0.38179999999999997</v>
      </c>
      <c r="EI40" s="229">
        <v>0.32850000000000001</v>
      </c>
      <c r="EJ40" s="231">
        <v>231423.43</v>
      </c>
      <c r="EK40" s="231">
        <v>131886.43</v>
      </c>
      <c r="EL40" s="231">
        <v>86310.1</v>
      </c>
      <c r="EM40" s="231">
        <v>6742</v>
      </c>
      <c r="EN40" s="231">
        <v>449619.96</v>
      </c>
      <c r="EO40" s="231">
        <v>350770.53</v>
      </c>
      <c r="EP40" s="231">
        <v>98849.43</v>
      </c>
      <c r="EQ40" s="229">
        <v>0.28179999999999999</v>
      </c>
      <c r="ER40" s="231">
        <v>129660</v>
      </c>
      <c r="ES40" s="231">
        <v>100607</v>
      </c>
      <c r="ET40" s="231">
        <v>364352</v>
      </c>
      <c r="EU40" s="231">
        <v>504315430</v>
      </c>
      <c r="EV40" s="231">
        <v>594619</v>
      </c>
      <c r="EW40" s="231">
        <v>579551</v>
      </c>
      <c r="EX40" s="231">
        <v>15068</v>
      </c>
      <c r="EY40" s="229">
        <v>2.5999999999999999E-2</v>
      </c>
      <c r="EZ40" s="229">
        <v>0.93159999999999998</v>
      </c>
      <c r="FA40" s="227" t="s">
        <v>567</v>
      </c>
      <c r="FB40" s="161">
        <f t="shared" si="0"/>
        <v>28262250</v>
      </c>
    </row>
    <row r="41" spans="1:158" ht="17.25" hidden="1" thickBot="1" x14ac:dyDescent="0.3">
      <c r="A41" s="226">
        <v>45946</v>
      </c>
      <c r="B41" s="227" t="s">
        <v>175</v>
      </c>
      <c r="C41" s="227" t="s">
        <v>597</v>
      </c>
      <c r="D41" s="228">
        <v>475</v>
      </c>
      <c r="E41" s="231">
        <v>1625.7</v>
      </c>
      <c r="F41" s="231">
        <v>1629.1</v>
      </c>
      <c r="G41" s="228">
        <v>-3.4</v>
      </c>
      <c r="H41" s="229">
        <v>-2.0999999999999999E-3</v>
      </c>
      <c r="I41" s="231">
        <v>1620.3</v>
      </c>
      <c r="J41" s="231">
        <v>1622</v>
      </c>
      <c r="K41" s="228">
        <v>-1.7</v>
      </c>
      <c r="L41" s="229">
        <v>-1E-3</v>
      </c>
      <c r="M41" s="231">
        <v>1625.7</v>
      </c>
      <c r="N41" s="231">
        <v>1629.1</v>
      </c>
      <c r="O41" s="228">
        <v>-3.4</v>
      </c>
      <c r="P41" s="229">
        <v>-2.0999999999999999E-3</v>
      </c>
      <c r="Q41" s="231">
        <v>1630.5</v>
      </c>
      <c r="R41" s="231">
        <v>1633.5</v>
      </c>
      <c r="S41" s="228">
        <v>-3</v>
      </c>
      <c r="T41" s="229">
        <v>-1.8E-3</v>
      </c>
      <c r="U41" s="231">
        <v>1635.4</v>
      </c>
      <c r="V41" s="231">
        <v>1637.7</v>
      </c>
      <c r="W41" s="228">
        <v>-2.2999999999999998</v>
      </c>
      <c r="X41" s="229">
        <v>-1.4E-3</v>
      </c>
      <c r="Y41" s="228">
        <v>5.4</v>
      </c>
      <c r="Z41" s="228">
        <v>7.1</v>
      </c>
      <c r="AA41" s="228">
        <v>-1.7</v>
      </c>
      <c r="AB41" s="229">
        <v>3.3E-3</v>
      </c>
      <c r="AC41" s="228">
        <v>5.4</v>
      </c>
      <c r="AD41" s="228">
        <v>7.1</v>
      </c>
      <c r="AE41" s="228">
        <v>-1.7</v>
      </c>
      <c r="AF41" s="229">
        <v>3.3E-3</v>
      </c>
      <c r="AG41" s="228">
        <v>10.199999999999999</v>
      </c>
      <c r="AH41" s="228">
        <v>11.5</v>
      </c>
      <c r="AI41" s="228">
        <v>-1.3</v>
      </c>
      <c r="AJ41" s="229">
        <v>6.3E-3</v>
      </c>
      <c r="AK41" s="228">
        <v>15.1</v>
      </c>
      <c r="AL41" s="228">
        <v>15.7</v>
      </c>
      <c r="AM41" s="228">
        <v>-0.6</v>
      </c>
      <c r="AN41" s="229">
        <v>9.2999999999999992E-3</v>
      </c>
      <c r="AO41" s="231">
        <v>1630.01</v>
      </c>
      <c r="AP41" s="231">
        <v>1633.85</v>
      </c>
      <c r="AQ41" s="228">
        <v>0</v>
      </c>
      <c r="AR41" s="230">
        <v>1775550</v>
      </c>
      <c r="AS41" s="230">
        <v>1952725</v>
      </c>
      <c r="AT41" s="230">
        <v>-177175</v>
      </c>
      <c r="AU41" s="229">
        <v>-9.0700000000000003E-2</v>
      </c>
      <c r="AV41" s="230">
        <v>1410275</v>
      </c>
      <c r="AW41" s="230">
        <v>1591725</v>
      </c>
      <c r="AX41" s="230">
        <v>-181450</v>
      </c>
      <c r="AY41" s="229">
        <v>-0.114</v>
      </c>
      <c r="AZ41" s="230">
        <v>321100</v>
      </c>
      <c r="BA41" s="230">
        <v>319675</v>
      </c>
      <c r="BB41" s="230">
        <v>1425</v>
      </c>
      <c r="BC41" s="229">
        <v>4.4999999999999997E-3</v>
      </c>
      <c r="BD41" s="230">
        <v>44175</v>
      </c>
      <c r="BE41" s="230">
        <v>41325</v>
      </c>
      <c r="BF41" s="230">
        <v>2850</v>
      </c>
      <c r="BG41" s="229">
        <v>6.9000000000000006E-2</v>
      </c>
      <c r="BH41" s="230">
        <v>7758175</v>
      </c>
      <c r="BI41" s="230">
        <v>10635725</v>
      </c>
      <c r="BJ41" s="230">
        <v>-2877550</v>
      </c>
      <c r="BK41" s="229">
        <v>-0.27060000000000001</v>
      </c>
      <c r="BL41" s="230">
        <v>3671275</v>
      </c>
      <c r="BM41" s="230">
        <v>4993675</v>
      </c>
      <c r="BN41" s="230">
        <v>-1322400</v>
      </c>
      <c r="BO41" s="229">
        <v>-0.26479999999999998</v>
      </c>
      <c r="BP41" s="230">
        <v>13205000</v>
      </c>
      <c r="BQ41" s="230">
        <v>17582125</v>
      </c>
      <c r="BR41" s="230">
        <v>-4377125</v>
      </c>
      <c r="BS41" s="229">
        <v>-0.249</v>
      </c>
      <c r="BT41" s="230">
        <v>1347594</v>
      </c>
      <c r="BU41" s="230">
        <v>1672560</v>
      </c>
      <c r="BV41" s="230">
        <v>-324966</v>
      </c>
      <c r="BW41" s="229">
        <v>-0.1943</v>
      </c>
      <c r="BX41" s="230">
        <v>8958975</v>
      </c>
      <c r="BY41" s="230">
        <v>8972750</v>
      </c>
      <c r="BZ41" s="230">
        <v>-13775</v>
      </c>
      <c r="CA41" s="229">
        <v>-1.5E-3</v>
      </c>
      <c r="CB41" s="230">
        <v>7663175</v>
      </c>
      <c r="CC41" s="230">
        <v>7797600</v>
      </c>
      <c r="CD41" s="230">
        <v>-134425</v>
      </c>
      <c r="CE41" s="229">
        <v>-1.72E-2</v>
      </c>
      <c r="CF41" s="230">
        <v>1158525</v>
      </c>
      <c r="CG41" s="230">
        <v>1054025</v>
      </c>
      <c r="CH41" s="230">
        <v>104500</v>
      </c>
      <c r="CI41" s="229">
        <v>9.9099999999999994E-2</v>
      </c>
      <c r="CJ41" s="230">
        <v>137275</v>
      </c>
      <c r="CK41" s="230">
        <v>121125</v>
      </c>
      <c r="CL41" s="230">
        <v>16150</v>
      </c>
      <c r="CM41" s="229">
        <v>0.1333</v>
      </c>
      <c r="CN41" s="230">
        <v>6148400</v>
      </c>
      <c r="CO41" s="230">
        <v>5991650</v>
      </c>
      <c r="CP41" s="230">
        <v>156750</v>
      </c>
      <c r="CQ41" s="229">
        <v>2.6200000000000001E-2</v>
      </c>
      <c r="CR41" s="230">
        <v>4279750</v>
      </c>
      <c r="CS41" s="230">
        <v>4234625</v>
      </c>
      <c r="CT41" s="230">
        <v>45125</v>
      </c>
      <c r="CU41" s="229">
        <v>1.0699999999999999E-2</v>
      </c>
      <c r="CV41" s="230">
        <v>19387125</v>
      </c>
      <c r="CW41" s="230">
        <v>19199025</v>
      </c>
      <c r="CX41" s="230">
        <v>188100</v>
      </c>
      <c r="CY41" s="229">
        <v>9.7999999999999997E-3</v>
      </c>
      <c r="CZ41" s="228">
        <v>31.84</v>
      </c>
      <c r="DA41" s="228">
        <v>31.71</v>
      </c>
      <c r="DB41" s="228">
        <v>0.13</v>
      </c>
      <c r="DC41" s="228">
        <v>0.13</v>
      </c>
      <c r="DD41" s="228">
        <v>47.64</v>
      </c>
      <c r="DE41" s="228">
        <v>47.76</v>
      </c>
      <c r="DF41" s="228">
        <v>-15.8</v>
      </c>
      <c r="DG41" s="228">
        <v>-0.12</v>
      </c>
      <c r="DH41" s="228">
        <v>31.68</v>
      </c>
      <c r="DI41" s="228">
        <v>31.35</v>
      </c>
      <c r="DJ41" s="228">
        <v>0.33</v>
      </c>
      <c r="DK41" s="228">
        <v>0.33</v>
      </c>
      <c r="DL41" s="228">
        <v>32.200000000000003</v>
      </c>
      <c r="DM41" s="228">
        <v>32.46</v>
      </c>
      <c r="DN41" s="228">
        <v>-0.26</v>
      </c>
      <c r="DO41" s="228">
        <v>-0.26</v>
      </c>
      <c r="DP41" s="228">
        <v>0.7</v>
      </c>
      <c r="DQ41" s="228">
        <v>0.71</v>
      </c>
      <c r="DR41" s="228">
        <v>-0.01</v>
      </c>
      <c r="DS41" s="229">
        <v>-1.41E-2</v>
      </c>
      <c r="DT41" s="231">
        <v>1700</v>
      </c>
      <c r="DU41" s="231">
        <v>1500</v>
      </c>
      <c r="DV41" s="228">
        <v>0.47</v>
      </c>
      <c r="DW41" s="228">
        <v>0.47</v>
      </c>
      <c r="DX41" s="228">
        <v>0</v>
      </c>
      <c r="DY41" s="229">
        <v>0</v>
      </c>
      <c r="DZ41" s="229">
        <v>0.14460000000000001</v>
      </c>
      <c r="EA41" s="230">
        <v>1175150</v>
      </c>
      <c r="EB41" s="229">
        <v>3.0000000000000001E-3</v>
      </c>
      <c r="EC41" s="229">
        <v>0.14460000000000001</v>
      </c>
      <c r="ED41" s="228">
        <v>3.84</v>
      </c>
      <c r="EE41" s="229">
        <v>2.3999999999999998E-3</v>
      </c>
      <c r="EF41" s="230">
        <v>435569</v>
      </c>
      <c r="EG41" s="230">
        <v>589238</v>
      </c>
      <c r="EH41" s="229">
        <v>-0.26079999999999998</v>
      </c>
      <c r="EI41" s="229">
        <v>0.32319999999999999</v>
      </c>
      <c r="EJ41" s="231">
        <v>131225.97</v>
      </c>
      <c r="EK41" s="231">
        <v>59110.38</v>
      </c>
      <c r="EL41" s="231">
        <v>28958.880000000001</v>
      </c>
      <c r="EM41" s="231">
        <v>7134</v>
      </c>
      <c r="EN41" s="231">
        <v>219295.23</v>
      </c>
      <c r="EO41" s="231">
        <v>291519.12</v>
      </c>
      <c r="EP41" s="231">
        <v>-72223.89</v>
      </c>
      <c r="EQ41" s="229">
        <v>-0.24779999999999999</v>
      </c>
      <c r="ER41" s="231">
        <v>101438</v>
      </c>
      <c r="ES41" s="231">
        <v>65586</v>
      </c>
      <c r="ET41" s="231">
        <v>145715</v>
      </c>
      <c r="EU41" s="231">
        <v>26647500</v>
      </c>
      <c r="EV41" s="231">
        <v>312740</v>
      </c>
      <c r="EW41" s="231">
        <v>309838</v>
      </c>
      <c r="EX41" s="231">
        <v>2902</v>
      </c>
      <c r="EY41" s="229">
        <v>9.4000000000000004E-3</v>
      </c>
      <c r="EZ41" s="229">
        <v>0.72750000000000004</v>
      </c>
      <c r="FA41" s="227" t="s">
        <v>568</v>
      </c>
      <c r="FB41" s="161">
        <f t="shared" si="0"/>
        <v>1295800</v>
      </c>
    </row>
    <row r="42" spans="1:158" ht="17.25" hidden="1" thickBot="1" x14ac:dyDescent="0.3">
      <c r="A42" s="226">
        <v>45946</v>
      </c>
      <c r="B42" s="227" t="s">
        <v>161</v>
      </c>
      <c r="C42" s="227" t="s">
        <v>612</v>
      </c>
      <c r="D42" s="228">
        <v>850</v>
      </c>
      <c r="E42" s="228">
        <v>763.45</v>
      </c>
      <c r="F42" s="228">
        <v>758.4</v>
      </c>
      <c r="G42" s="228">
        <v>5.05</v>
      </c>
      <c r="H42" s="229">
        <v>6.7000000000000002E-3</v>
      </c>
      <c r="I42" s="228">
        <v>760.6</v>
      </c>
      <c r="J42" s="228">
        <v>757.3</v>
      </c>
      <c r="K42" s="228">
        <v>3.3</v>
      </c>
      <c r="L42" s="229">
        <v>4.4000000000000003E-3</v>
      </c>
      <c r="M42" s="228">
        <v>763.45</v>
      </c>
      <c r="N42" s="228">
        <v>758.4</v>
      </c>
      <c r="O42" s="228">
        <v>5.05</v>
      </c>
      <c r="P42" s="229">
        <v>6.7000000000000002E-3</v>
      </c>
      <c r="Q42" s="228">
        <v>767.5</v>
      </c>
      <c r="R42" s="228">
        <v>762.25</v>
      </c>
      <c r="S42" s="228">
        <v>5.25</v>
      </c>
      <c r="T42" s="229">
        <v>6.8999999999999999E-3</v>
      </c>
      <c r="U42" s="228">
        <v>772.15</v>
      </c>
      <c r="V42" s="228">
        <v>768.05</v>
      </c>
      <c r="W42" s="228">
        <v>4.0999999999999996</v>
      </c>
      <c r="X42" s="229">
        <v>5.3E-3</v>
      </c>
      <c r="Y42" s="228">
        <v>2.85</v>
      </c>
      <c r="Z42" s="228">
        <v>1.1000000000000001</v>
      </c>
      <c r="AA42" s="228">
        <v>1.75</v>
      </c>
      <c r="AB42" s="229">
        <v>3.7000000000000002E-3</v>
      </c>
      <c r="AC42" s="228">
        <v>2.85</v>
      </c>
      <c r="AD42" s="228">
        <v>1.1000000000000001</v>
      </c>
      <c r="AE42" s="228">
        <v>1.75</v>
      </c>
      <c r="AF42" s="229">
        <v>3.7000000000000002E-3</v>
      </c>
      <c r="AG42" s="228">
        <v>6.9</v>
      </c>
      <c r="AH42" s="228">
        <v>4.95</v>
      </c>
      <c r="AI42" s="228">
        <v>1.95</v>
      </c>
      <c r="AJ42" s="229">
        <v>9.1000000000000004E-3</v>
      </c>
      <c r="AK42" s="228">
        <v>11.55</v>
      </c>
      <c r="AL42" s="228">
        <v>10.75</v>
      </c>
      <c r="AM42" s="228">
        <v>0.8</v>
      </c>
      <c r="AN42" s="229">
        <v>1.52E-2</v>
      </c>
      <c r="AO42" s="228">
        <v>764.29</v>
      </c>
      <c r="AP42" s="228">
        <v>768.15</v>
      </c>
      <c r="AQ42" s="228">
        <v>0</v>
      </c>
      <c r="AR42" s="230">
        <v>3066800</v>
      </c>
      <c r="AS42" s="230">
        <v>2598450</v>
      </c>
      <c r="AT42" s="230">
        <v>468350</v>
      </c>
      <c r="AU42" s="229">
        <v>0.1802</v>
      </c>
      <c r="AV42" s="230">
        <v>2802450</v>
      </c>
      <c r="AW42" s="230">
        <v>2436950</v>
      </c>
      <c r="AX42" s="230">
        <v>365500</v>
      </c>
      <c r="AY42" s="229">
        <v>0.15</v>
      </c>
      <c r="AZ42" s="230">
        <v>248200</v>
      </c>
      <c r="BA42" s="230">
        <v>151300</v>
      </c>
      <c r="BB42" s="230">
        <v>96900</v>
      </c>
      <c r="BC42" s="229">
        <v>0.64039999999999997</v>
      </c>
      <c r="BD42" s="230">
        <v>16150</v>
      </c>
      <c r="BE42" s="230">
        <v>10200</v>
      </c>
      <c r="BF42" s="230">
        <v>5950</v>
      </c>
      <c r="BG42" s="229">
        <v>0.58330000000000004</v>
      </c>
      <c r="BH42" s="230">
        <v>6277250</v>
      </c>
      <c r="BI42" s="230">
        <v>6639350</v>
      </c>
      <c r="BJ42" s="230">
        <v>-362100</v>
      </c>
      <c r="BK42" s="229">
        <v>-5.45E-2</v>
      </c>
      <c r="BL42" s="230">
        <v>2336650</v>
      </c>
      <c r="BM42" s="230">
        <v>2415700</v>
      </c>
      <c r="BN42" s="230">
        <v>-79050</v>
      </c>
      <c r="BO42" s="229">
        <v>-3.27E-2</v>
      </c>
      <c r="BP42" s="230">
        <v>11680700</v>
      </c>
      <c r="BQ42" s="230">
        <v>11653500</v>
      </c>
      <c r="BR42" s="230">
        <v>27200</v>
      </c>
      <c r="BS42" s="229">
        <v>2.3E-3</v>
      </c>
      <c r="BT42" s="230">
        <v>1468566</v>
      </c>
      <c r="BU42" s="230">
        <v>1703421</v>
      </c>
      <c r="BV42" s="230">
        <v>-234855</v>
      </c>
      <c r="BW42" s="229">
        <v>-0.13789999999999999</v>
      </c>
      <c r="BX42" s="230">
        <v>16965150</v>
      </c>
      <c r="BY42" s="230">
        <v>17271150</v>
      </c>
      <c r="BZ42" s="230">
        <v>-306000</v>
      </c>
      <c r="CA42" s="229">
        <v>-1.77E-2</v>
      </c>
      <c r="CB42" s="230">
        <v>16414350</v>
      </c>
      <c r="CC42" s="230">
        <v>16750100</v>
      </c>
      <c r="CD42" s="230">
        <v>-335750</v>
      </c>
      <c r="CE42" s="229">
        <v>-0.02</v>
      </c>
      <c r="CF42" s="230">
        <v>511700</v>
      </c>
      <c r="CG42" s="230">
        <v>490450</v>
      </c>
      <c r="CH42" s="230">
        <v>21250</v>
      </c>
      <c r="CI42" s="229">
        <v>4.3299999999999998E-2</v>
      </c>
      <c r="CJ42" s="230">
        <v>39100</v>
      </c>
      <c r="CK42" s="230">
        <v>30600</v>
      </c>
      <c r="CL42" s="230">
        <v>8500</v>
      </c>
      <c r="CM42" s="229">
        <v>0.27779999999999999</v>
      </c>
      <c r="CN42" s="230">
        <v>6631700</v>
      </c>
      <c r="CO42" s="230">
        <v>6847600</v>
      </c>
      <c r="CP42" s="230">
        <v>-215900</v>
      </c>
      <c r="CQ42" s="229">
        <v>-3.15E-2</v>
      </c>
      <c r="CR42" s="230">
        <v>3990750</v>
      </c>
      <c r="CS42" s="230">
        <v>3910850</v>
      </c>
      <c r="CT42" s="230">
        <v>79900</v>
      </c>
      <c r="CU42" s="229">
        <v>2.0400000000000001E-2</v>
      </c>
      <c r="CV42" s="230">
        <v>27587600</v>
      </c>
      <c r="CW42" s="230">
        <v>28029600</v>
      </c>
      <c r="CX42" s="230">
        <v>-442000</v>
      </c>
      <c r="CY42" s="229">
        <v>-1.5800000000000002E-2</v>
      </c>
      <c r="CZ42" s="228">
        <v>33.700000000000003</v>
      </c>
      <c r="DA42" s="228">
        <v>33.869999999999997</v>
      </c>
      <c r="DB42" s="228">
        <v>-0.17</v>
      </c>
      <c r="DC42" s="228">
        <v>-0.17</v>
      </c>
      <c r="DD42" s="228">
        <v>41.59</v>
      </c>
      <c r="DE42" s="228">
        <v>41.69</v>
      </c>
      <c r="DF42" s="228">
        <v>-7.89</v>
      </c>
      <c r="DG42" s="228">
        <v>-0.1</v>
      </c>
      <c r="DH42" s="228">
        <v>33.549999999999997</v>
      </c>
      <c r="DI42" s="228">
        <v>33.99</v>
      </c>
      <c r="DJ42" s="228">
        <v>-0.44</v>
      </c>
      <c r="DK42" s="228">
        <v>-0.44</v>
      </c>
      <c r="DL42" s="228">
        <v>34.119999999999997</v>
      </c>
      <c r="DM42" s="228">
        <v>33.549999999999997</v>
      </c>
      <c r="DN42" s="228">
        <v>0.56999999999999995</v>
      </c>
      <c r="DO42" s="228">
        <v>0.56999999999999995</v>
      </c>
      <c r="DP42" s="228">
        <v>0.6</v>
      </c>
      <c r="DQ42" s="228">
        <v>0.56999999999999995</v>
      </c>
      <c r="DR42" s="228">
        <v>0.03</v>
      </c>
      <c r="DS42" s="229">
        <v>5.2600000000000001E-2</v>
      </c>
      <c r="DT42" s="228">
        <v>840</v>
      </c>
      <c r="DU42" s="228">
        <v>700</v>
      </c>
      <c r="DV42" s="228">
        <v>0.37</v>
      </c>
      <c r="DW42" s="228">
        <v>0.36</v>
      </c>
      <c r="DX42" s="228">
        <v>0.01</v>
      </c>
      <c r="DY42" s="229">
        <v>2.7799999999999998E-2</v>
      </c>
      <c r="DZ42" s="229">
        <v>3.2500000000000001E-2</v>
      </c>
      <c r="EA42" s="230">
        <v>521050</v>
      </c>
      <c r="EB42" s="229">
        <v>5.3E-3</v>
      </c>
      <c r="EC42" s="229">
        <v>3.2500000000000001E-2</v>
      </c>
      <c r="ED42" s="228">
        <v>3.86</v>
      </c>
      <c r="EE42" s="229">
        <v>5.1000000000000004E-3</v>
      </c>
      <c r="EF42" s="230">
        <v>728713</v>
      </c>
      <c r="EG42" s="230">
        <v>968170</v>
      </c>
      <c r="EH42" s="229">
        <v>-0.24729999999999999</v>
      </c>
      <c r="EI42" s="229">
        <v>0.49619999999999997</v>
      </c>
      <c r="EJ42" s="231">
        <v>49898.51</v>
      </c>
      <c r="EK42" s="231">
        <v>17510.3</v>
      </c>
      <c r="EL42" s="231">
        <v>23450.43</v>
      </c>
      <c r="EM42" s="231">
        <v>2955</v>
      </c>
      <c r="EN42" s="231">
        <v>90859.24</v>
      </c>
      <c r="EO42" s="231">
        <v>90117.6</v>
      </c>
      <c r="EP42" s="228">
        <v>741.64</v>
      </c>
      <c r="EQ42" s="229">
        <v>8.2000000000000007E-3</v>
      </c>
      <c r="ER42" s="231">
        <v>53004</v>
      </c>
      <c r="ES42" s="231">
        <v>29164</v>
      </c>
      <c r="ET42" s="231">
        <v>129545</v>
      </c>
      <c r="EU42" s="231">
        <v>100245792</v>
      </c>
      <c r="EV42" s="231">
        <v>211712</v>
      </c>
      <c r="EW42" s="231">
        <v>214208</v>
      </c>
      <c r="EX42" s="231">
        <v>-2496</v>
      </c>
      <c r="EY42" s="229">
        <v>-1.17E-2</v>
      </c>
      <c r="EZ42" s="229">
        <v>0.2752</v>
      </c>
      <c r="FA42" s="227" t="s">
        <v>556</v>
      </c>
      <c r="FB42" s="161">
        <f t="shared" si="0"/>
        <v>550800</v>
      </c>
    </row>
    <row r="43" spans="1:158" ht="17.25" hidden="1" thickBot="1" x14ac:dyDescent="0.3">
      <c r="A43" s="226">
        <v>45946</v>
      </c>
      <c r="B43" s="227" t="s">
        <v>175</v>
      </c>
      <c r="C43" s="227" t="s">
        <v>198</v>
      </c>
      <c r="D43" s="228">
        <v>625</v>
      </c>
      <c r="E43" s="231">
        <v>1663.1</v>
      </c>
      <c r="F43" s="231">
        <v>1680.2</v>
      </c>
      <c r="G43" s="228">
        <v>-17.100000000000001</v>
      </c>
      <c r="H43" s="229">
        <v>-1.0200000000000001E-2</v>
      </c>
      <c r="I43" s="231">
        <v>1668.1</v>
      </c>
      <c r="J43" s="231">
        <v>1698.4</v>
      </c>
      <c r="K43" s="228">
        <v>-30.3</v>
      </c>
      <c r="L43" s="229">
        <v>-1.78E-2</v>
      </c>
      <c r="M43" s="231">
        <v>1663.1</v>
      </c>
      <c r="N43" s="231">
        <v>1680.2</v>
      </c>
      <c r="O43" s="228">
        <v>-17.100000000000001</v>
      </c>
      <c r="P43" s="229">
        <v>-1.0200000000000001E-2</v>
      </c>
      <c r="Q43" s="231">
        <v>1645.9</v>
      </c>
      <c r="R43" s="231">
        <v>1663</v>
      </c>
      <c r="S43" s="228">
        <v>-17.100000000000001</v>
      </c>
      <c r="T43" s="229">
        <v>-1.03E-2</v>
      </c>
      <c r="U43" s="231">
        <v>1629.2</v>
      </c>
      <c r="V43" s="231">
        <v>1648.9</v>
      </c>
      <c r="W43" s="228">
        <v>-19.7</v>
      </c>
      <c r="X43" s="229">
        <v>-1.1900000000000001E-2</v>
      </c>
      <c r="Y43" s="228">
        <v>-5</v>
      </c>
      <c r="Z43" s="228">
        <v>-18.2</v>
      </c>
      <c r="AA43" s="228">
        <v>13.2</v>
      </c>
      <c r="AB43" s="229">
        <v>-3.0000000000000001E-3</v>
      </c>
      <c r="AC43" s="228">
        <v>-5</v>
      </c>
      <c r="AD43" s="228">
        <v>-18.2</v>
      </c>
      <c r="AE43" s="228">
        <v>13.2</v>
      </c>
      <c r="AF43" s="229">
        <v>-3.0000000000000001E-3</v>
      </c>
      <c r="AG43" s="228">
        <v>-22.2</v>
      </c>
      <c r="AH43" s="228">
        <v>-35.4</v>
      </c>
      <c r="AI43" s="228">
        <v>13.2</v>
      </c>
      <c r="AJ43" s="229">
        <v>-1.3299999999999999E-2</v>
      </c>
      <c r="AK43" s="228">
        <v>-38.9</v>
      </c>
      <c r="AL43" s="228">
        <v>-49.5</v>
      </c>
      <c r="AM43" s="228">
        <v>10.6</v>
      </c>
      <c r="AN43" s="229">
        <v>-2.3300000000000001E-2</v>
      </c>
      <c r="AO43" s="231">
        <v>1658.41</v>
      </c>
      <c r="AP43" s="231">
        <v>1641.31</v>
      </c>
      <c r="AQ43" s="228">
        <v>0</v>
      </c>
      <c r="AR43" s="230">
        <v>6251875</v>
      </c>
      <c r="AS43" s="230">
        <v>4155625</v>
      </c>
      <c r="AT43" s="230">
        <v>2096250</v>
      </c>
      <c r="AU43" s="229">
        <v>0.50439999999999996</v>
      </c>
      <c r="AV43" s="230">
        <v>4373750</v>
      </c>
      <c r="AW43" s="230">
        <v>3381250</v>
      </c>
      <c r="AX43" s="230">
        <v>992500</v>
      </c>
      <c r="AY43" s="229">
        <v>0.29349999999999998</v>
      </c>
      <c r="AZ43" s="230">
        <v>1806250</v>
      </c>
      <c r="BA43" s="230">
        <v>753125</v>
      </c>
      <c r="BB43" s="230">
        <v>1053125</v>
      </c>
      <c r="BC43" s="229">
        <v>1.3983000000000001</v>
      </c>
      <c r="BD43" s="230">
        <v>71875</v>
      </c>
      <c r="BE43" s="230">
        <v>21250</v>
      </c>
      <c r="BF43" s="230">
        <v>50625</v>
      </c>
      <c r="BG43" s="229">
        <v>2.3824000000000001</v>
      </c>
      <c r="BH43" s="230">
        <v>12359375</v>
      </c>
      <c r="BI43" s="230">
        <v>15726875</v>
      </c>
      <c r="BJ43" s="230">
        <v>-3367500</v>
      </c>
      <c r="BK43" s="229">
        <v>-0.21410000000000001</v>
      </c>
      <c r="BL43" s="230">
        <v>4467500</v>
      </c>
      <c r="BM43" s="230">
        <v>5229375</v>
      </c>
      <c r="BN43" s="230">
        <v>-761875</v>
      </c>
      <c r="BO43" s="229">
        <v>-0.1457</v>
      </c>
      <c r="BP43" s="230">
        <v>23078750</v>
      </c>
      <c r="BQ43" s="230">
        <v>25111875</v>
      </c>
      <c r="BR43" s="230">
        <v>-2033125</v>
      </c>
      <c r="BS43" s="229">
        <v>-8.1000000000000003E-2</v>
      </c>
      <c r="BT43" s="230">
        <v>3243179</v>
      </c>
      <c r="BU43" s="230">
        <v>2057962</v>
      </c>
      <c r="BV43" s="230">
        <v>1185217</v>
      </c>
      <c r="BW43" s="229">
        <v>0.57589999999999997</v>
      </c>
      <c r="BX43" s="230">
        <v>18979375</v>
      </c>
      <c r="BY43" s="230">
        <v>17348750</v>
      </c>
      <c r="BZ43" s="230">
        <v>1630625</v>
      </c>
      <c r="CA43" s="229">
        <v>9.4E-2</v>
      </c>
      <c r="CB43" s="230">
        <v>16310000</v>
      </c>
      <c r="CC43" s="230">
        <v>15701875</v>
      </c>
      <c r="CD43" s="230">
        <v>608125</v>
      </c>
      <c r="CE43" s="229">
        <v>3.8699999999999998E-2</v>
      </c>
      <c r="CF43" s="230">
        <v>2613750</v>
      </c>
      <c r="CG43" s="230">
        <v>1622500</v>
      </c>
      <c r="CH43" s="230">
        <v>991250</v>
      </c>
      <c r="CI43" s="229">
        <v>0.6109</v>
      </c>
      <c r="CJ43" s="230">
        <v>55625</v>
      </c>
      <c r="CK43" s="230">
        <v>24375</v>
      </c>
      <c r="CL43" s="230">
        <v>31250</v>
      </c>
      <c r="CM43" s="229">
        <v>1.2821</v>
      </c>
      <c r="CN43" s="230">
        <v>3974375</v>
      </c>
      <c r="CO43" s="230">
        <v>3144375</v>
      </c>
      <c r="CP43" s="230">
        <v>830000</v>
      </c>
      <c r="CQ43" s="229">
        <v>0.26400000000000001</v>
      </c>
      <c r="CR43" s="230">
        <v>2400625</v>
      </c>
      <c r="CS43" s="230">
        <v>2373125</v>
      </c>
      <c r="CT43" s="230">
        <v>27500</v>
      </c>
      <c r="CU43" s="229">
        <v>1.1599999999999999E-2</v>
      </c>
      <c r="CV43" s="230">
        <v>25354375</v>
      </c>
      <c r="CW43" s="230">
        <v>22866250</v>
      </c>
      <c r="CX43" s="230">
        <v>2488125</v>
      </c>
      <c r="CY43" s="229">
        <v>0.10879999999999999</v>
      </c>
      <c r="CZ43" s="228">
        <v>26.96</v>
      </c>
      <c r="DA43" s="228">
        <v>26.68</v>
      </c>
      <c r="DB43" s="228">
        <v>0.28000000000000003</v>
      </c>
      <c r="DC43" s="228">
        <v>0.28000000000000003</v>
      </c>
      <c r="DD43" s="228">
        <v>38.799999999999997</v>
      </c>
      <c r="DE43" s="228">
        <v>38.82</v>
      </c>
      <c r="DF43" s="228">
        <v>-11.84</v>
      </c>
      <c r="DG43" s="228">
        <v>-0.02</v>
      </c>
      <c r="DH43" s="228">
        <v>26.88</v>
      </c>
      <c r="DI43" s="228">
        <v>26.49</v>
      </c>
      <c r="DJ43" s="228">
        <v>0.39</v>
      </c>
      <c r="DK43" s="228">
        <v>0.39</v>
      </c>
      <c r="DL43" s="228">
        <v>27.18</v>
      </c>
      <c r="DM43" s="228">
        <v>27.24</v>
      </c>
      <c r="DN43" s="228">
        <v>-0.06</v>
      </c>
      <c r="DO43" s="228">
        <v>-0.06</v>
      </c>
      <c r="DP43" s="228">
        <v>0.6</v>
      </c>
      <c r="DQ43" s="228">
        <v>0.75</v>
      </c>
      <c r="DR43" s="228">
        <v>-0.15</v>
      </c>
      <c r="DS43" s="229">
        <v>-0.2</v>
      </c>
      <c r="DT43" s="231">
        <v>1700</v>
      </c>
      <c r="DU43" s="231">
        <v>1600</v>
      </c>
      <c r="DV43" s="228">
        <v>0.36</v>
      </c>
      <c r="DW43" s="228">
        <v>0.33</v>
      </c>
      <c r="DX43" s="228">
        <v>0.03</v>
      </c>
      <c r="DY43" s="229">
        <v>9.0899999999999995E-2</v>
      </c>
      <c r="DZ43" s="229">
        <v>0.1406</v>
      </c>
      <c r="EA43" s="230">
        <v>1646875</v>
      </c>
      <c r="EB43" s="229">
        <v>-1.03E-2</v>
      </c>
      <c r="EC43" s="229">
        <v>0.1406</v>
      </c>
      <c r="ED43" s="228">
        <v>-17.100000000000001</v>
      </c>
      <c r="EE43" s="229">
        <v>-1.03E-2</v>
      </c>
      <c r="EF43" s="230">
        <v>1612122</v>
      </c>
      <c r="EG43" s="230">
        <v>1295682</v>
      </c>
      <c r="EH43" s="229">
        <v>0.2442</v>
      </c>
      <c r="EI43" s="229">
        <v>0.49709999999999999</v>
      </c>
      <c r="EJ43" s="231">
        <v>212499.74</v>
      </c>
      <c r="EK43" s="231">
        <v>73179.45</v>
      </c>
      <c r="EL43" s="231">
        <v>103348.68</v>
      </c>
      <c r="EM43" s="231">
        <v>4131</v>
      </c>
      <c r="EN43" s="231">
        <v>389027.87</v>
      </c>
      <c r="EO43" s="231">
        <v>426202.39</v>
      </c>
      <c r="EP43" s="231">
        <v>-37174.519999999997</v>
      </c>
      <c r="EQ43" s="229">
        <v>-8.72E-2</v>
      </c>
      <c r="ER43" s="231">
        <v>67508</v>
      </c>
      <c r="ES43" s="231">
        <v>37729</v>
      </c>
      <c r="ET43" s="231">
        <v>315178</v>
      </c>
      <c r="EU43" s="231">
        <v>63212268</v>
      </c>
      <c r="EV43" s="231">
        <v>420415</v>
      </c>
      <c r="EW43" s="231">
        <v>381706</v>
      </c>
      <c r="EX43" s="231">
        <v>38709</v>
      </c>
      <c r="EY43" s="229">
        <v>0.1014</v>
      </c>
      <c r="EZ43" s="229">
        <v>0.40110000000000001</v>
      </c>
      <c r="FA43" s="227" t="s">
        <v>567</v>
      </c>
      <c r="FB43" s="161">
        <f t="shared" si="0"/>
        <v>2669375</v>
      </c>
    </row>
    <row r="44" spans="1:158" ht="17.25" hidden="1" thickBot="1" x14ac:dyDescent="0.3">
      <c r="A44" s="226">
        <v>45946</v>
      </c>
      <c r="B44" s="227" t="s">
        <v>170</v>
      </c>
      <c r="C44" s="227" t="s">
        <v>199</v>
      </c>
      <c r="D44" s="228">
        <v>375</v>
      </c>
      <c r="E44" s="231">
        <v>1572.3</v>
      </c>
      <c r="F44" s="231">
        <v>1564.2</v>
      </c>
      <c r="G44" s="228">
        <v>8.1</v>
      </c>
      <c r="H44" s="229">
        <v>5.1999999999999998E-3</v>
      </c>
      <c r="I44" s="231">
        <v>1569.4</v>
      </c>
      <c r="J44" s="231">
        <v>1558.7</v>
      </c>
      <c r="K44" s="228">
        <v>10.7</v>
      </c>
      <c r="L44" s="229">
        <v>6.8999999999999999E-3</v>
      </c>
      <c r="M44" s="231">
        <v>1572.3</v>
      </c>
      <c r="N44" s="231">
        <v>1564.2</v>
      </c>
      <c r="O44" s="228">
        <v>8.1</v>
      </c>
      <c r="P44" s="229">
        <v>5.1999999999999998E-3</v>
      </c>
      <c r="Q44" s="231">
        <v>1581.2</v>
      </c>
      <c r="R44" s="231">
        <v>1572.2</v>
      </c>
      <c r="S44" s="228">
        <v>9</v>
      </c>
      <c r="T44" s="229">
        <v>5.7000000000000002E-3</v>
      </c>
      <c r="U44" s="231">
        <v>1590.4</v>
      </c>
      <c r="V44" s="231">
        <v>1581.6</v>
      </c>
      <c r="W44" s="228">
        <v>8.8000000000000007</v>
      </c>
      <c r="X44" s="229">
        <v>5.5999999999999999E-3</v>
      </c>
      <c r="Y44" s="228">
        <v>2.9</v>
      </c>
      <c r="Z44" s="228">
        <v>5.5</v>
      </c>
      <c r="AA44" s="228">
        <v>-2.6</v>
      </c>
      <c r="AB44" s="229">
        <v>1.8E-3</v>
      </c>
      <c r="AC44" s="228">
        <v>2.9</v>
      </c>
      <c r="AD44" s="228">
        <v>5.5</v>
      </c>
      <c r="AE44" s="228">
        <v>-2.6</v>
      </c>
      <c r="AF44" s="229">
        <v>1.8E-3</v>
      </c>
      <c r="AG44" s="228">
        <v>11.8</v>
      </c>
      <c r="AH44" s="228">
        <v>13.5</v>
      </c>
      <c r="AI44" s="228">
        <v>-1.7</v>
      </c>
      <c r="AJ44" s="229">
        <v>7.4999999999999997E-3</v>
      </c>
      <c r="AK44" s="228">
        <v>21</v>
      </c>
      <c r="AL44" s="228">
        <v>22.9</v>
      </c>
      <c r="AM44" s="228">
        <v>-1.9</v>
      </c>
      <c r="AN44" s="229">
        <v>1.34E-2</v>
      </c>
      <c r="AO44" s="231">
        <v>1569.91</v>
      </c>
      <c r="AP44" s="231">
        <v>1578.84</v>
      </c>
      <c r="AQ44" s="228">
        <v>0</v>
      </c>
      <c r="AR44" s="230">
        <v>1140375</v>
      </c>
      <c r="AS44" s="230">
        <v>1702125</v>
      </c>
      <c r="AT44" s="230">
        <v>-561750</v>
      </c>
      <c r="AU44" s="229">
        <v>-0.33</v>
      </c>
      <c r="AV44" s="230">
        <v>1054500</v>
      </c>
      <c r="AW44" s="230">
        <v>1528500</v>
      </c>
      <c r="AX44" s="230">
        <v>-474000</v>
      </c>
      <c r="AY44" s="229">
        <v>-0.31009999999999999</v>
      </c>
      <c r="AZ44" s="230">
        <v>82875</v>
      </c>
      <c r="BA44" s="230">
        <v>172125</v>
      </c>
      <c r="BB44" s="230">
        <v>-89250</v>
      </c>
      <c r="BC44" s="229">
        <v>-0.51849999999999996</v>
      </c>
      <c r="BD44" s="230">
        <v>3000</v>
      </c>
      <c r="BE44" s="230">
        <v>1500</v>
      </c>
      <c r="BF44" s="230">
        <v>1500</v>
      </c>
      <c r="BG44" s="229">
        <v>1</v>
      </c>
      <c r="BH44" s="230">
        <v>6522000</v>
      </c>
      <c r="BI44" s="230">
        <v>5866875</v>
      </c>
      <c r="BJ44" s="230">
        <v>655125</v>
      </c>
      <c r="BK44" s="229">
        <v>0.11169999999999999</v>
      </c>
      <c r="BL44" s="230">
        <v>1564125</v>
      </c>
      <c r="BM44" s="230">
        <v>1507125</v>
      </c>
      <c r="BN44" s="230">
        <v>57000</v>
      </c>
      <c r="BO44" s="229">
        <v>3.78E-2</v>
      </c>
      <c r="BP44" s="230">
        <v>9226500</v>
      </c>
      <c r="BQ44" s="230">
        <v>9076125</v>
      </c>
      <c r="BR44" s="230">
        <v>150375</v>
      </c>
      <c r="BS44" s="229">
        <v>1.66E-2</v>
      </c>
      <c r="BT44" s="230">
        <v>1021133</v>
      </c>
      <c r="BU44" s="230">
        <v>1656007</v>
      </c>
      <c r="BV44" s="230">
        <v>-634874</v>
      </c>
      <c r="BW44" s="229">
        <v>-0.38340000000000002</v>
      </c>
      <c r="BX44" s="230">
        <v>11892750</v>
      </c>
      <c r="BY44" s="230">
        <v>11710125</v>
      </c>
      <c r="BZ44" s="230">
        <v>182625</v>
      </c>
      <c r="CA44" s="229">
        <v>1.5599999999999999E-2</v>
      </c>
      <c r="CB44" s="230">
        <v>11546625</v>
      </c>
      <c r="CC44" s="230">
        <v>11391750</v>
      </c>
      <c r="CD44" s="230">
        <v>154875</v>
      </c>
      <c r="CE44" s="229">
        <v>1.3599999999999999E-2</v>
      </c>
      <c r="CF44" s="230">
        <v>327000</v>
      </c>
      <c r="CG44" s="230">
        <v>298125</v>
      </c>
      <c r="CH44" s="230">
        <v>28875</v>
      </c>
      <c r="CI44" s="229">
        <v>9.69E-2</v>
      </c>
      <c r="CJ44" s="230">
        <v>19125</v>
      </c>
      <c r="CK44" s="230">
        <v>20250</v>
      </c>
      <c r="CL44" s="230">
        <v>-1125</v>
      </c>
      <c r="CM44" s="229">
        <v>-5.5599999999999997E-2</v>
      </c>
      <c r="CN44" s="230">
        <v>7926750</v>
      </c>
      <c r="CO44" s="230">
        <v>7314375</v>
      </c>
      <c r="CP44" s="230">
        <v>612375</v>
      </c>
      <c r="CQ44" s="229">
        <v>8.3699999999999997E-2</v>
      </c>
      <c r="CR44" s="230">
        <v>3231750</v>
      </c>
      <c r="CS44" s="230">
        <v>3189375</v>
      </c>
      <c r="CT44" s="230">
        <v>42375</v>
      </c>
      <c r="CU44" s="229">
        <v>1.3299999999999999E-2</v>
      </c>
      <c r="CV44" s="230">
        <v>23051250</v>
      </c>
      <c r="CW44" s="230">
        <v>22213875</v>
      </c>
      <c r="CX44" s="230">
        <v>837375</v>
      </c>
      <c r="CY44" s="229">
        <v>3.7699999999999997E-2</v>
      </c>
      <c r="CZ44" s="228">
        <v>22.12</v>
      </c>
      <c r="DA44" s="228">
        <v>22.96</v>
      </c>
      <c r="DB44" s="228">
        <v>-0.84</v>
      </c>
      <c r="DC44" s="228">
        <v>-0.84</v>
      </c>
      <c r="DD44" s="228">
        <v>26.27</v>
      </c>
      <c r="DE44" s="228">
        <v>26.32</v>
      </c>
      <c r="DF44" s="228">
        <v>-4.1500000000000004</v>
      </c>
      <c r="DG44" s="228">
        <v>-0.05</v>
      </c>
      <c r="DH44" s="228">
        <v>22.22</v>
      </c>
      <c r="DI44" s="228">
        <v>23.34</v>
      </c>
      <c r="DJ44" s="228">
        <v>-1.1200000000000001</v>
      </c>
      <c r="DK44" s="228">
        <v>-1.1200000000000001</v>
      </c>
      <c r="DL44" s="228">
        <v>21.72</v>
      </c>
      <c r="DM44" s="228">
        <v>21.49</v>
      </c>
      <c r="DN44" s="228">
        <v>0.23</v>
      </c>
      <c r="DO44" s="228">
        <v>0.23</v>
      </c>
      <c r="DP44" s="228">
        <v>0.41</v>
      </c>
      <c r="DQ44" s="228">
        <v>0.44</v>
      </c>
      <c r="DR44" s="228">
        <v>-0.03</v>
      </c>
      <c r="DS44" s="229">
        <v>-6.8199999999999997E-2</v>
      </c>
      <c r="DT44" s="231">
        <v>1700</v>
      </c>
      <c r="DU44" s="231">
        <v>1460</v>
      </c>
      <c r="DV44" s="228">
        <v>0.24</v>
      </c>
      <c r="DW44" s="228">
        <v>0.26</v>
      </c>
      <c r="DX44" s="228">
        <v>-0.02</v>
      </c>
      <c r="DY44" s="229">
        <v>-7.6899999999999996E-2</v>
      </c>
      <c r="DZ44" s="229">
        <v>2.9100000000000001E-2</v>
      </c>
      <c r="EA44" s="230">
        <v>318375</v>
      </c>
      <c r="EB44" s="229">
        <v>5.7000000000000002E-3</v>
      </c>
      <c r="EC44" s="229">
        <v>2.9100000000000001E-2</v>
      </c>
      <c r="ED44" s="228">
        <v>8.93</v>
      </c>
      <c r="EE44" s="229">
        <v>5.7000000000000002E-3</v>
      </c>
      <c r="EF44" s="230">
        <v>565184</v>
      </c>
      <c r="EG44" s="230">
        <v>1144737</v>
      </c>
      <c r="EH44" s="229">
        <v>-0.50629999999999997</v>
      </c>
      <c r="EI44" s="229">
        <v>0.55349999999999999</v>
      </c>
      <c r="EJ44" s="231">
        <v>106220.25</v>
      </c>
      <c r="EK44" s="231">
        <v>23961.52</v>
      </c>
      <c r="EL44" s="231">
        <v>17910.849999999999</v>
      </c>
      <c r="EM44" s="231">
        <v>5464</v>
      </c>
      <c r="EN44" s="231">
        <v>148092.62</v>
      </c>
      <c r="EO44" s="231">
        <v>145180.06</v>
      </c>
      <c r="EP44" s="231">
        <v>2912.56</v>
      </c>
      <c r="EQ44" s="229">
        <v>2.01E-2</v>
      </c>
      <c r="ER44" s="231">
        <v>129953</v>
      </c>
      <c r="ES44" s="231">
        <v>47561</v>
      </c>
      <c r="ET44" s="231">
        <v>187022</v>
      </c>
      <c r="EU44" s="231">
        <v>57073940</v>
      </c>
      <c r="EV44" s="231">
        <v>364536</v>
      </c>
      <c r="EW44" s="231">
        <v>349905</v>
      </c>
      <c r="EX44" s="231">
        <v>14631</v>
      </c>
      <c r="EY44" s="229">
        <v>4.1799999999999997E-2</v>
      </c>
      <c r="EZ44" s="229">
        <v>0.40389999999999998</v>
      </c>
      <c r="FA44" s="227" t="s">
        <v>555</v>
      </c>
      <c r="FB44" s="161">
        <f t="shared" si="0"/>
        <v>346125</v>
      </c>
    </row>
    <row r="45" spans="1:158" ht="17.25" hidden="1" thickBot="1" x14ac:dyDescent="0.3">
      <c r="A45" s="226">
        <v>45946</v>
      </c>
      <c r="B45" s="227" t="s">
        <v>227</v>
      </c>
      <c r="C45" s="227" t="s">
        <v>200</v>
      </c>
      <c r="D45" s="228">
        <v>1350</v>
      </c>
      <c r="E45" s="228">
        <v>388.85</v>
      </c>
      <c r="F45" s="228">
        <v>385.95</v>
      </c>
      <c r="G45" s="228">
        <v>2.9</v>
      </c>
      <c r="H45" s="229">
        <v>7.4999999999999997E-3</v>
      </c>
      <c r="I45" s="228">
        <v>387.6</v>
      </c>
      <c r="J45" s="228">
        <v>384.25</v>
      </c>
      <c r="K45" s="228">
        <v>3.35</v>
      </c>
      <c r="L45" s="229">
        <v>8.6999999999999994E-3</v>
      </c>
      <c r="M45" s="228">
        <v>388.85</v>
      </c>
      <c r="N45" s="228">
        <v>385.95</v>
      </c>
      <c r="O45" s="228">
        <v>2.9</v>
      </c>
      <c r="P45" s="229">
        <v>7.4999999999999997E-3</v>
      </c>
      <c r="Q45" s="228">
        <v>389.6</v>
      </c>
      <c r="R45" s="228">
        <v>386.05</v>
      </c>
      <c r="S45" s="228">
        <v>3.55</v>
      </c>
      <c r="T45" s="229">
        <v>9.1999999999999998E-3</v>
      </c>
      <c r="U45" s="228">
        <v>391.8</v>
      </c>
      <c r="V45" s="228">
        <v>388.55</v>
      </c>
      <c r="W45" s="228">
        <v>3.25</v>
      </c>
      <c r="X45" s="229">
        <v>8.3999999999999995E-3</v>
      </c>
      <c r="Y45" s="228">
        <v>1.25</v>
      </c>
      <c r="Z45" s="228">
        <v>1.7</v>
      </c>
      <c r="AA45" s="228">
        <v>-0.45</v>
      </c>
      <c r="AB45" s="229">
        <v>3.2000000000000002E-3</v>
      </c>
      <c r="AC45" s="228">
        <v>1.25</v>
      </c>
      <c r="AD45" s="228">
        <v>1.7</v>
      </c>
      <c r="AE45" s="228">
        <v>-0.45</v>
      </c>
      <c r="AF45" s="229">
        <v>3.2000000000000002E-3</v>
      </c>
      <c r="AG45" s="228">
        <v>2</v>
      </c>
      <c r="AH45" s="228">
        <v>1.8</v>
      </c>
      <c r="AI45" s="228">
        <v>0.2</v>
      </c>
      <c r="AJ45" s="229">
        <v>5.1999999999999998E-3</v>
      </c>
      <c r="AK45" s="228">
        <v>4.2</v>
      </c>
      <c r="AL45" s="228">
        <v>4.3</v>
      </c>
      <c r="AM45" s="228">
        <v>-0.1</v>
      </c>
      <c r="AN45" s="229">
        <v>1.0800000000000001E-2</v>
      </c>
      <c r="AO45" s="228">
        <v>388.14</v>
      </c>
      <c r="AP45" s="228">
        <v>388.6</v>
      </c>
      <c r="AQ45" s="228">
        <v>0</v>
      </c>
      <c r="AR45" s="230">
        <v>5918400</v>
      </c>
      <c r="AS45" s="230">
        <v>6993000</v>
      </c>
      <c r="AT45" s="230">
        <v>-1074600</v>
      </c>
      <c r="AU45" s="229">
        <v>-0.1537</v>
      </c>
      <c r="AV45" s="230">
        <v>4672350</v>
      </c>
      <c r="AW45" s="230">
        <v>5643000</v>
      </c>
      <c r="AX45" s="230">
        <v>-970650</v>
      </c>
      <c r="AY45" s="229">
        <v>-0.17199999999999999</v>
      </c>
      <c r="AZ45" s="230">
        <v>1105650</v>
      </c>
      <c r="BA45" s="230">
        <v>1233900</v>
      </c>
      <c r="BB45" s="230">
        <v>-128250</v>
      </c>
      <c r="BC45" s="229">
        <v>-0.10390000000000001</v>
      </c>
      <c r="BD45" s="230">
        <v>140400</v>
      </c>
      <c r="BE45" s="230">
        <v>116100</v>
      </c>
      <c r="BF45" s="230">
        <v>24300</v>
      </c>
      <c r="BG45" s="229">
        <v>0.20930000000000001</v>
      </c>
      <c r="BH45" s="230">
        <v>18612450</v>
      </c>
      <c r="BI45" s="230">
        <v>19916550</v>
      </c>
      <c r="BJ45" s="230">
        <v>-1304100</v>
      </c>
      <c r="BK45" s="229">
        <v>-6.5500000000000003E-2</v>
      </c>
      <c r="BL45" s="230">
        <v>13306950</v>
      </c>
      <c r="BM45" s="230">
        <v>13973850</v>
      </c>
      <c r="BN45" s="230">
        <v>-666900</v>
      </c>
      <c r="BO45" s="229">
        <v>-4.7699999999999999E-2</v>
      </c>
      <c r="BP45" s="230">
        <v>37837800</v>
      </c>
      <c r="BQ45" s="230">
        <v>40883400</v>
      </c>
      <c r="BR45" s="230">
        <v>-3045600</v>
      </c>
      <c r="BS45" s="229">
        <v>-7.4499999999999997E-2</v>
      </c>
      <c r="BT45" s="230">
        <v>3599171</v>
      </c>
      <c r="BU45" s="230">
        <v>6233208</v>
      </c>
      <c r="BV45" s="230">
        <v>-2634037</v>
      </c>
      <c r="BW45" s="229">
        <v>-0.42259999999999998</v>
      </c>
      <c r="BX45" s="230">
        <v>70267500</v>
      </c>
      <c r="BY45" s="230">
        <v>70727850</v>
      </c>
      <c r="BZ45" s="230">
        <v>-460350</v>
      </c>
      <c r="CA45" s="229">
        <v>-6.4999999999999997E-3</v>
      </c>
      <c r="CB45" s="230">
        <v>65736900</v>
      </c>
      <c r="CC45" s="230">
        <v>66515850</v>
      </c>
      <c r="CD45" s="230">
        <v>-778950</v>
      </c>
      <c r="CE45" s="229">
        <v>-1.17E-2</v>
      </c>
      <c r="CF45" s="230">
        <v>4005450</v>
      </c>
      <c r="CG45" s="230">
        <v>3692250</v>
      </c>
      <c r="CH45" s="230">
        <v>313200</v>
      </c>
      <c r="CI45" s="229">
        <v>8.48E-2</v>
      </c>
      <c r="CJ45" s="230">
        <v>525150</v>
      </c>
      <c r="CK45" s="230">
        <v>519750</v>
      </c>
      <c r="CL45" s="230">
        <v>5400</v>
      </c>
      <c r="CM45" s="229">
        <v>1.04E-2</v>
      </c>
      <c r="CN45" s="230">
        <v>29853900</v>
      </c>
      <c r="CO45" s="230">
        <v>29718900</v>
      </c>
      <c r="CP45" s="230">
        <v>135000</v>
      </c>
      <c r="CQ45" s="229">
        <v>4.4999999999999997E-3</v>
      </c>
      <c r="CR45" s="230">
        <v>20198700</v>
      </c>
      <c r="CS45" s="230">
        <v>20486250</v>
      </c>
      <c r="CT45" s="230">
        <v>-287550</v>
      </c>
      <c r="CU45" s="229">
        <v>-1.4E-2</v>
      </c>
      <c r="CV45" s="230">
        <v>120320100</v>
      </c>
      <c r="CW45" s="230">
        <v>120933000</v>
      </c>
      <c r="CX45" s="230">
        <v>-612900</v>
      </c>
      <c r="CY45" s="229">
        <v>-5.1000000000000004E-3</v>
      </c>
      <c r="CZ45" s="228">
        <v>16.82</v>
      </c>
      <c r="DA45" s="228">
        <v>17.059999999999999</v>
      </c>
      <c r="DB45" s="228">
        <v>-0.24</v>
      </c>
      <c r="DC45" s="228">
        <v>-0.24</v>
      </c>
      <c r="DD45" s="228">
        <v>28.82</v>
      </c>
      <c r="DE45" s="228">
        <v>28.88</v>
      </c>
      <c r="DF45" s="228">
        <v>-12</v>
      </c>
      <c r="DG45" s="228">
        <v>-0.06</v>
      </c>
      <c r="DH45" s="228">
        <v>16.649999999999999</v>
      </c>
      <c r="DI45" s="228">
        <v>17.28</v>
      </c>
      <c r="DJ45" s="228">
        <v>-0.63</v>
      </c>
      <c r="DK45" s="228">
        <v>-0.63</v>
      </c>
      <c r="DL45" s="228">
        <v>17.07</v>
      </c>
      <c r="DM45" s="228">
        <v>16.73</v>
      </c>
      <c r="DN45" s="228">
        <v>0.34</v>
      </c>
      <c r="DO45" s="228">
        <v>0.34</v>
      </c>
      <c r="DP45" s="228">
        <v>0.68</v>
      </c>
      <c r="DQ45" s="228">
        <v>0.69</v>
      </c>
      <c r="DR45" s="228">
        <v>-0.01</v>
      </c>
      <c r="DS45" s="229">
        <v>-1.4500000000000001E-2</v>
      </c>
      <c r="DT45" s="228">
        <v>400</v>
      </c>
      <c r="DU45" s="228">
        <v>390</v>
      </c>
      <c r="DV45" s="228">
        <v>0.71</v>
      </c>
      <c r="DW45" s="228">
        <v>0.7</v>
      </c>
      <c r="DX45" s="228">
        <v>0.01</v>
      </c>
      <c r="DY45" s="229">
        <v>1.43E-2</v>
      </c>
      <c r="DZ45" s="229">
        <v>6.4500000000000002E-2</v>
      </c>
      <c r="EA45" s="230">
        <v>4212000</v>
      </c>
      <c r="EB45" s="229">
        <v>1.9E-3</v>
      </c>
      <c r="EC45" s="229">
        <v>6.4500000000000002E-2</v>
      </c>
      <c r="ED45" s="228">
        <v>0.46</v>
      </c>
      <c r="EE45" s="229">
        <v>1.1999999999999999E-3</v>
      </c>
      <c r="EF45" s="230">
        <v>2356001</v>
      </c>
      <c r="EG45" s="230">
        <v>4730338</v>
      </c>
      <c r="EH45" s="229">
        <v>-0.50190000000000001</v>
      </c>
      <c r="EI45" s="229">
        <v>0.65459999999999996</v>
      </c>
      <c r="EJ45" s="231">
        <v>73845.62</v>
      </c>
      <c r="EK45" s="231">
        <v>51245.7</v>
      </c>
      <c r="EL45" s="231">
        <v>22980.58</v>
      </c>
      <c r="EM45" s="231">
        <v>4411</v>
      </c>
      <c r="EN45" s="231">
        <v>148071.9</v>
      </c>
      <c r="EO45" s="231">
        <v>159487.21</v>
      </c>
      <c r="EP45" s="231">
        <v>-11415.31</v>
      </c>
      <c r="EQ45" s="229">
        <v>-7.1599999999999997E-2</v>
      </c>
      <c r="ER45" s="231">
        <v>119838</v>
      </c>
      <c r="ES45" s="231">
        <v>78804</v>
      </c>
      <c r="ET45" s="231">
        <v>273281</v>
      </c>
      <c r="EU45" s="231">
        <v>227199238</v>
      </c>
      <c r="EV45" s="231">
        <v>471923</v>
      </c>
      <c r="EW45" s="231">
        <v>472183</v>
      </c>
      <c r="EX45" s="228">
        <v>-260</v>
      </c>
      <c r="EY45" s="229">
        <v>-5.9999999999999995E-4</v>
      </c>
      <c r="EZ45" s="229">
        <v>0.52959999999999996</v>
      </c>
      <c r="FA45" s="227" t="s">
        <v>556</v>
      </c>
      <c r="FB45" s="161">
        <f t="shared" si="0"/>
        <v>4530600</v>
      </c>
    </row>
    <row r="46" spans="1:158" ht="17.25" hidden="1" thickBot="1" x14ac:dyDescent="0.3">
      <c r="A46" s="226">
        <v>45946</v>
      </c>
      <c r="B46" s="227" t="s">
        <v>221</v>
      </c>
      <c r="C46" s="227" t="s">
        <v>470</v>
      </c>
      <c r="D46" s="228">
        <v>375</v>
      </c>
      <c r="E46" s="231">
        <v>1766.1</v>
      </c>
      <c r="F46" s="231">
        <v>1766.9</v>
      </c>
      <c r="G46" s="228">
        <v>-0.8</v>
      </c>
      <c r="H46" s="229">
        <v>-5.0000000000000001E-4</v>
      </c>
      <c r="I46" s="231">
        <v>1761.5</v>
      </c>
      <c r="J46" s="231">
        <v>1765.4</v>
      </c>
      <c r="K46" s="228">
        <v>-3.9</v>
      </c>
      <c r="L46" s="229">
        <v>-2.2000000000000001E-3</v>
      </c>
      <c r="M46" s="231">
        <v>1766.1</v>
      </c>
      <c r="N46" s="231">
        <v>1766.9</v>
      </c>
      <c r="O46" s="228">
        <v>-0.8</v>
      </c>
      <c r="P46" s="229">
        <v>-5.0000000000000001E-4</v>
      </c>
      <c r="Q46" s="231">
        <v>1769</v>
      </c>
      <c r="R46" s="231">
        <v>1768.9</v>
      </c>
      <c r="S46" s="228">
        <v>0.1</v>
      </c>
      <c r="T46" s="229">
        <v>1E-4</v>
      </c>
      <c r="U46" s="231">
        <v>1774.2</v>
      </c>
      <c r="V46" s="231">
        <v>1775.5</v>
      </c>
      <c r="W46" s="228">
        <v>-1.3</v>
      </c>
      <c r="X46" s="229">
        <v>-6.9999999999999999E-4</v>
      </c>
      <c r="Y46" s="228">
        <v>4.5999999999999996</v>
      </c>
      <c r="Z46" s="228">
        <v>1.5</v>
      </c>
      <c r="AA46" s="228">
        <v>3.1</v>
      </c>
      <c r="AB46" s="229">
        <v>2.5999999999999999E-3</v>
      </c>
      <c r="AC46" s="228">
        <v>4.5999999999999996</v>
      </c>
      <c r="AD46" s="228">
        <v>1.5</v>
      </c>
      <c r="AE46" s="228">
        <v>3.1</v>
      </c>
      <c r="AF46" s="229">
        <v>2.5999999999999999E-3</v>
      </c>
      <c r="AG46" s="228">
        <v>7.5</v>
      </c>
      <c r="AH46" s="228">
        <v>3.5</v>
      </c>
      <c r="AI46" s="228">
        <v>4</v>
      </c>
      <c r="AJ46" s="229">
        <v>4.3E-3</v>
      </c>
      <c r="AK46" s="228">
        <v>12.7</v>
      </c>
      <c r="AL46" s="228">
        <v>10.1</v>
      </c>
      <c r="AM46" s="228">
        <v>2.6</v>
      </c>
      <c r="AN46" s="229">
        <v>7.1999999999999998E-3</v>
      </c>
      <c r="AO46" s="231">
        <v>1764.65</v>
      </c>
      <c r="AP46" s="231">
        <v>1769.53</v>
      </c>
      <c r="AQ46" s="228">
        <v>0</v>
      </c>
      <c r="AR46" s="230">
        <v>1339125</v>
      </c>
      <c r="AS46" s="230">
        <v>3853875</v>
      </c>
      <c r="AT46" s="230">
        <v>-2514750</v>
      </c>
      <c r="AU46" s="229">
        <v>-0.65249999999999997</v>
      </c>
      <c r="AV46" s="230">
        <v>1207875</v>
      </c>
      <c r="AW46" s="230">
        <v>3588000</v>
      </c>
      <c r="AX46" s="230">
        <v>-2380125</v>
      </c>
      <c r="AY46" s="229">
        <v>-0.66339999999999999</v>
      </c>
      <c r="AZ46" s="230">
        <v>126000</v>
      </c>
      <c r="BA46" s="230">
        <v>244875</v>
      </c>
      <c r="BB46" s="230">
        <v>-118875</v>
      </c>
      <c r="BC46" s="229">
        <v>-0.48549999999999999</v>
      </c>
      <c r="BD46" s="230">
        <v>5250</v>
      </c>
      <c r="BE46" s="230">
        <v>21000</v>
      </c>
      <c r="BF46" s="230">
        <v>-15750</v>
      </c>
      <c r="BG46" s="229">
        <v>-0.75</v>
      </c>
      <c r="BH46" s="230">
        <v>4138875</v>
      </c>
      <c r="BI46" s="230">
        <v>18855000</v>
      </c>
      <c r="BJ46" s="230">
        <v>-14716125</v>
      </c>
      <c r="BK46" s="229">
        <v>-0.78049999999999997</v>
      </c>
      <c r="BL46" s="230">
        <v>1906500</v>
      </c>
      <c r="BM46" s="230">
        <v>4656750</v>
      </c>
      <c r="BN46" s="230">
        <v>-2750250</v>
      </c>
      <c r="BO46" s="229">
        <v>-0.59060000000000001</v>
      </c>
      <c r="BP46" s="230">
        <v>7384500</v>
      </c>
      <c r="BQ46" s="230">
        <v>27365625</v>
      </c>
      <c r="BR46" s="230">
        <v>-19981125</v>
      </c>
      <c r="BS46" s="229">
        <v>-0.73019999999999996</v>
      </c>
      <c r="BT46" s="230">
        <v>630379</v>
      </c>
      <c r="BU46" s="230">
        <v>2736090</v>
      </c>
      <c r="BV46" s="230">
        <v>-2105711</v>
      </c>
      <c r="BW46" s="229">
        <v>-0.76959999999999995</v>
      </c>
      <c r="BX46" s="230">
        <v>12147375</v>
      </c>
      <c r="BY46" s="230">
        <v>12097500</v>
      </c>
      <c r="BZ46" s="230">
        <v>49875</v>
      </c>
      <c r="CA46" s="229">
        <v>4.1000000000000003E-3</v>
      </c>
      <c r="CB46" s="230">
        <v>11816625</v>
      </c>
      <c r="CC46" s="230">
        <v>11798250</v>
      </c>
      <c r="CD46" s="230">
        <v>18375</v>
      </c>
      <c r="CE46" s="229">
        <v>1.6000000000000001E-3</v>
      </c>
      <c r="CF46" s="230">
        <v>315750</v>
      </c>
      <c r="CG46" s="230">
        <v>283875</v>
      </c>
      <c r="CH46" s="230">
        <v>31875</v>
      </c>
      <c r="CI46" s="229">
        <v>0.1123</v>
      </c>
      <c r="CJ46" s="230">
        <v>15000</v>
      </c>
      <c r="CK46" s="230">
        <v>15375</v>
      </c>
      <c r="CL46" s="228">
        <v>-375</v>
      </c>
      <c r="CM46" s="229">
        <v>-2.4400000000000002E-2</v>
      </c>
      <c r="CN46" s="230">
        <v>4655250</v>
      </c>
      <c r="CO46" s="230">
        <v>4675875</v>
      </c>
      <c r="CP46" s="230">
        <v>-20625</v>
      </c>
      <c r="CQ46" s="229">
        <v>-4.4000000000000003E-3</v>
      </c>
      <c r="CR46" s="230">
        <v>3298125</v>
      </c>
      <c r="CS46" s="230">
        <v>3177000</v>
      </c>
      <c r="CT46" s="230">
        <v>121125</v>
      </c>
      <c r="CU46" s="229">
        <v>3.8100000000000002E-2</v>
      </c>
      <c r="CV46" s="230">
        <v>20100750</v>
      </c>
      <c r="CW46" s="230">
        <v>19950375</v>
      </c>
      <c r="CX46" s="230">
        <v>150375</v>
      </c>
      <c r="CY46" s="229">
        <v>7.4999999999999997E-3</v>
      </c>
      <c r="CZ46" s="228">
        <v>39.42</v>
      </c>
      <c r="DA46" s="228">
        <v>39.24</v>
      </c>
      <c r="DB46" s="228">
        <v>0.18</v>
      </c>
      <c r="DC46" s="228">
        <v>0.18</v>
      </c>
      <c r="DD46" s="228">
        <v>43.05</v>
      </c>
      <c r="DE46" s="228">
        <v>43.16</v>
      </c>
      <c r="DF46" s="228">
        <v>-3.63</v>
      </c>
      <c r="DG46" s="228">
        <v>-0.11</v>
      </c>
      <c r="DH46" s="228">
        <v>39</v>
      </c>
      <c r="DI46" s="228">
        <v>38.950000000000003</v>
      </c>
      <c r="DJ46" s="228">
        <v>0.05</v>
      </c>
      <c r="DK46" s="228">
        <v>0.05</v>
      </c>
      <c r="DL46" s="228">
        <v>40.33</v>
      </c>
      <c r="DM46" s="228">
        <v>40.39</v>
      </c>
      <c r="DN46" s="228">
        <v>-0.06</v>
      </c>
      <c r="DO46" s="228">
        <v>-0.06</v>
      </c>
      <c r="DP46" s="228">
        <v>0.71</v>
      </c>
      <c r="DQ46" s="228">
        <v>0.68</v>
      </c>
      <c r="DR46" s="228">
        <v>0.03</v>
      </c>
      <c r="DS46" s="229">
        <v>4.41E-2</v>
      </c>
      <c r="DT46" s="231">
        <v>1700</v>
      </c>
      <c r="DU46" s="231">
        <v>1540</v>
      </c>
      <c r="DV46" s="228">
        <v>0.46</v>
      </c>
      <c r="DW46" s="228">
        <v>0.25</v>
      </c>
      <c r="DX46" s="228">
        <v>0.21</v>
      </c>
      <c r="DY46" s="229">
        <v>0.84</v>
      </c>
      <c r="DZ46" s="229">
        <v>2.7199999999999998E-2</v>
      </c>
      <c r="EA46" s="230">
        <v>299250</v>
      </c>
      <c r="EB46" s="229">
        <v>1.6000000000000001E-3</v>
      </c>
      <c r="EC46" s="229">
        <v>2.7199999999999998E-2</v>
      </c>
      <c r="ED46" s="228">
        <v>4.88</v>
      </c>
      <c r="EE46" s="229">
        <v>2.8E-3</v>
      </c>
      <c r="EF46" s="230">
        <v>272145</v>
      </c>
      <c r="EG46" s="230">
        <v>1213562</v>
      </c>
      <c r="EH46" s="229">
        <v>-0.77569999999999995</v>
      </c>
      <c r="EI46" s="229">
        <v>0.43169999999999997</v>
      </c>
      <c r="EJ46" s="231">
        <v>76903.56</v>
      </c>
      <c r="EK46" s="231">
        <v>32952.839999999997</v>
      </c>
      <c r="EL46" s="231">
        <v>23637.49</v>
      </c>
      <c r="EM46" s="231">
        <v>6128</v>
      </c>
      <c r="EN46" s="231">
        <v>133493.89000000001</v>
      </c>
      <c r="EO46" s="231">
        <v>493523.82</v>
      </c>
      <c r="EP46" s="231">
        <v>-360029.93</v>
      </c>
      <c r="EQ46" s="229">
        <v>-0.72950000000000004</v>
      </c>
      <c r="ER46" s="231">
        <v>83578</v>
      </c>
      <c r="ES46" s="231">
        <v>53553</v>
      </c>
      <c r="ET46" s="231">
        <v>214545</v>
      </c>
      <c r="EU46" s="231">
        <v>50163899</v>
      </c>
      <c r="EV46" s="231">
        <v>351677</v>
      </c>
      <c r="EW46" s="231">
        <v>348847</v>
      </c>
      <c r="EX46" s="231">
        <v>2830</v>
      </c>
      <c r="EY46" s="229">
        <v>8.0999999999999996E-3</v>
      </c>
      <c r="EZ46" s="229">
        <v>0.4007</v>
      </c>
      <c r="FA46" s="227" t="s">
        <v>567</v>
      </c>
      <c r="FB46" s="161">
        <f t="shared" si="0"/>
        <v>330750</v>
      </c>
    </row>
    <row r="47" spans="1:158" ht="17.25" hidden="1" thickBot="1" x14ac:dyDescent="0.3">
      <c r="A47" s="226">
        <v>45946</v>
      </c>
      <c r="B47" s="227" t="s">
        <v>168</v>
      </c>
      <c r="C47" s="227" t="s">
        <v>201</v>
      </c>
      <c r="D47" s="228">
        <v>225</v>
      </c>
      <c r="E47" s="231">
        <v>2294</v>
      </c>
      <c r="F47" s="231">
        <v>2230.8000000000002</v>
      </c>
      <c r="G47" s="228">
        <v>63.2</v>
      </c>
      <c r="H47" s="229">
        <v>2.8299999999999999E-2</v>
      </c>
      <c r="I47" s="231">
        <v>2285.8000000000002</v>
      </c>
      <c r="J47" s="231">
        <v>2227.1</v>
      </c>
      <c r="K47" s="228">
        <v>58.7</v>
      </c>
      <c r="L47" s="229">
        <v>2.64E-2</v>
      </c>
      <c r="M47" s="231">
        <v>2294</v>
      </c>
      <c r="N47" s="231">
        <v>2230.8000000000002</v>
      </c>
      <c r="O47" s="228">
        <v>63.2</v>
      </c>
      <c r="P47" s="229">
        <v>2.8299999999999999E-2</v>
      </c>
      <c r="Q47" s="231">
        <v>2277.8000000000002</v>
      </c>
      <c r="R47" s="231">
        <v>2216.8000000000002</v>
      </c>
      <c r="S47" s="228">
        <v>61</v>
      </c>
      <c r="T47" s="229">
        <v>2.75E-2</v>
      </c>
      <c r="U47" s="231">
        <v>2286.9</v>
      </c>
      <c r="V47" s="231">
        <v>2228</v>
      </c>
      <c r="W47" s="228">
        <v>58.9</v>
      </c>
      <c r="X47" s="229">
        <v>2.64E-2</v>
      </c>
      <c r="Y47" s="228">
        <v>8.1999999999999993</v>
      </c>
      <c r="Z47" s="228">
        <v>3.7</v>
      </c>
      <c r="AA47" s="228">
        <v>4.5</v>
      </c>
      <c r="AB47" s="229">
        <v>3.5999999999999999E-3</v>
      </c>
      <c r="AC47" s="228">
        <v>8.1999999999999993</v>
      </c>
      <c r="AD47" s="228">
        <v>3.7</v>
      </c>
      <c r="AE47" s="228">
        <v>4.5</v>
      </c>
      <c r="AF47" s="229">
        <v>3.5999999999999999E-3</v>
      </c>
      <c r="AG47" s="228">
        <v>-8</v>
      </c>
      <c r="AH47" s="228">
        <v>-10.3</v>
      </c>
      <c r="AI47" s="228">
        <v>2.2999999999999998</v>
      </c>
      <c r="AJ47" s="229">
        <v>-3.5000000000000001E-3</v>
      </c>
      <c r="AK47" s="228">
        <v>1.1000000000000001</v>
      </c>
      <c r="AL47" s="228">
        <v>0.9</v>
      </c>
      <c r="AM47" s="228">
        <v>0.2</v>
      </c>
      <c r="AN47" s="229">
        <v>5.0000000000000001E-4</v>
      </c>
      <c r="AO47" s="231">
        <v>2276.8200000000002</v>
      </c>
      <c r="AP47" s="231">
        <v>2256.6999999999998</v>
      </c>
      <c r="AQ47" s="228">
        <v>0</v>
      </c>
      <c r="AR47" s="230">
        <v>1558350</v>
      </c>
      <c r="AS47" s="230">
        <v>698400</v>
      </c>
      <c r="AT47" s="230">
        <v>859950</v>
      </c>
      <c r="AU47" s="229">
        <v>1.2313000000000001</v>
      </c>
      <c r="AV47" s="230">
        <v>1298250</v>
      </c>
      <c r="AW47" s="230">
        <v>582525</v>
      </c>
      <c r="AX47" s="230">
        <v>715725</v>
      </c>
      <c r="AY47" s="229">
        <v>1.2286999999999999</v>
      </c>
      <c r="AZ47" s="230">
        <v>230850</v>
      </c>
      <c r="BA47" s="230">
        <v>101700</v>
      </c>
      <c r="BB47" s="230">
        <v>129150</v>
      </c>
      <c r="BC47" s="229">
        <v>1.2699</v>
      </c>
      <c r="BD47" s="230">
        <v>29250</v>
      </c>
      <c r="BE47" s="230">
        <v>14175</v>
      </c>
      <c r="BF47" s="230">
        <v>15075</v>
      </c>
      <c r="BG47" s="229">
        <v>1.0634999999999999</v>
      </c>
      <c r="BH47" s="230">
        <v>5080275</v>
      </c>
      <c r="BI47" s="230">
        <v>1827450</v>
      </c>
      <c r="BJ47" s="230">
        <v>3252825</v>
      </c>
      <c r="BK47" s="229">
        <v>1.78</v>
      </c>
      <c r="BL47" s="230">
        <v>1563975</v>
      </c>
      <c r="BM47" s="230">
        <v>656775</v>
      </c>
      <c r="BN47" s="230">
        <v>907200</v>
      </c>
      <c r="BO47" s="229">
        <v>1.3813</v>
      </c>
      <c r="BP47" s="230">
        <v>8202600</v>
      </c>
      <c r="BQ47" s="230">
        <v>3182625</v>
      </c>
      <c r="BR47" s="230">
        <v>5019975</v>
      </c>
      <c r="BS47" s="229">
        <v>1.5772999999999999</v>
      </c>
      <c r="BT47" s="230">
        <v>469173</v>
      </c>
      <c r="BU47" s="230">
        <v>240752</v>
      </c>
      <c r="BV47" s="230">
        <v>228421</v>
      </c>
      <c r="BW47" s="229">
        <v>0.94879999999999998</v>
      </c>
      <c r="BX47" s="230">
        <v>5013450</v>
      </c>
      <c r="BY47" s="230">
        <v>5335875</v>
      </c>
      <c r="BZ47" s="230">
        <v>-322425</v>
      </c>
      <c r="CA47" s="229">
        <v>-6.0400000000000002E-2</v>
      </c>
      <c r="CB47" s="230">
        <v>4335300</v>
      </c>
      <c r="CC47" s="230">
        <v>4658625</v>
      </c>
      <c r="CD47" s="230">
        <v>-323325</v>
      </c>
      <c r="CE47" s="229">
        <v>-6.9400000000000003E-2</v>
      </c>
      <c r="CF47" s="230">
        <v>638325</v>
      </c>
      <c r="CG47" s="230">
        <v>632475</v>
      </c>
      <c r="CH47" s="230">
        <v>5850</v>
      </c>
      <c r="CI47" s="229">
        <v>9.1999999999999998E-3</v>
      </c>
      <c r="CJ47" s="230">
        <v>39825</v>
      </c>
      <c r="CK47" s="230">
        <v>44775</v>
      </c>
      <c r="CL47" s="230">
        <v>-4950</v>
      </c>
      <c r="CM47" s="229">
        <v>-0.1106</v>
      </c>
      <c r="CN47" s="230">
        <v>1778175</v>
      </c>
      <c r="CO47" s="230">
        <v>2034225</v>
      </c>
      <c r="CP47" s="230">
        <v>-256050</v>
      </c>
      <c r="CQ47" s="229">
        <v>-0.12590000000000001</v>
      </c>
      <c r="CR47" s="230">
        <v>1330425</v>
      </c>
      <c r="CS47" s="230">
        <v>1443375</v>
      </c>
      <c r="CT47" s="230">
        <v>-112950</v>
      </c>
      <c r="CU47" s="229">
        <v>-7.8299999999999995E-2</v>
      </c>
      <c r="CV47" s="230">
        <v>8122050</v>
      </c>
      <c r="CW47" s="230">
        <v>8813475</v>
      </c>
      <c r="CX47" s="230">
        <v>-691425</v>
      </c>
      <c r="CY47" s="229">
        <v>-7.85E-2</v>
      </c>
      <c r="CZ47" s="228">
        <v>25.82</v>
      </c>
      <c r="DA47" s="228">
        <v>25.83</v>
      </c>
      <c r="DB47" s="228">
        <v>-0.01</v>
      </c>
      <c r="DC47" s="228">
        <v>-0.01</v>
      </c>
      <c r="DD47" s="228">
        <v>28.37</v>
      </c>
      <c r="DE47" s="228">
        <v>28.18</v>
      </c>
      <c r="DF47" s="228">
        <v>-2.5499999999999998</v>
      </c>
      <c r="DG47" s="228">
        <v>0.19</v>
      </c>
      <c r="DH47" s="228">
        <v>25.5</v>
      </c>
      <c r="DI47" s="228">
        <v>25.99</v>
      </c>
      <c r="DJ47" s="228">
        <v>-0.49</v>
      </c>
      <c r="DK47" s="228">
        <v>-0.49</v>
      </c>
      <c r="DL47" s="228">
        <v>26.86</v>
      </c>
      <c r="DM47" s="228">
        <v>25.39</v>
      </c>
      <c r="DN47" s="228">
        <v>1.47</v>
      </c>
      <c r="DO47" s="228">
        <v>1.47</v>
      </c>
      <c r="DP47" s="228">
        <v>0.75</v>
      </c>
      <c r="DQ47" s="228">
        <v>0.71</v>
      </c>
      <c r="DR47" s="228">
        <v>0.04</v>
      </c>
      <c r="DS47" s="229">
        <v>5.6300000000000003E-2</v>
      </c>
      <c r="DT47" s="231">
        <v>2340</v>
      </c>
      <c r="DU47" s="231">
        <v>2200</v>
      </c>
      <c r="DV47" s="228">
        <v>0.31</v>
      </c>
      <c r="DW47" s="228">
        <v>0.36</v>
      </c>
      <c r="DX47" s="228">
        <v>-0.05</v>
      </c>
      <c r="DY47" s="229">
        <v>-0.1389</v>
      </c>
      <c r="DZ47" s="229">
        <v>0.1353</v>
      </c>
      <c r="EA47" s="230">
        <v>677250</v>
      </c>
      <c r="EB47" s="229">
        <v>-7.1000000000000004E-3</v>
      </c>
      <c r="EC47" s="229">
        <v>0.1353</v>
      </c>
      <c r="ED47" s="228">
        <v>-20.12</v>
      </c>
      <c r="EE47" s="229">
        <v>-8.8000000000000005E-3</v>
      </c>
      <c r="EF47" s="230">
        <v>210743</v>
      </c>
      <c r="EG47" s="230">
        <v>125948</v>
      </c>
      <c r="EH47" s="229">
        <v>0.67330000000000001</v>
      </c>
      <c r="EI47" s="229">
        <v>0.44919999999999999</v>
      </c>
      <c r="EJ47" s="231">
        <v>118479.2</v>
      </c>
      <c r="EK47" s="231">
        <v>35122.769999999997</v>
      </c>
      <c r="EL47" s="231">
        <v>35431.4</v>
      </c>
      <c r="EM47" s="231">
        <v>2575</v>
      </c>
      <c r="EN47" s="231">
        <v>189033.37</v>
      </c>
      <c r="EO47" s="231">
        <v>72332.19</v>
      </c>
      <c r="EP47" s="231">
        <v>116701.18</v>
      </c>
      <c r="EQ47" s="229">
        <v>1.6133999999999999</v>
      </c>
      <c r="ER47" s="231">
        <v>41370</v>
      </c>
      <c r="ES47" s="231">
        <v>29686</v>
      </c>
      <c r="ET47" s="231">
        <v>114902</v>
      </c>
      <c r="EU47" s="231">
        <v>19990944</v>
      </c>
      <c r="EV47" s="231">
        <v>185958</v>
      </c>
      <c r="EW47" s="231">
        <v>198146</v>
      </c>
      <c r="EX47" s="231">
        <v>-12188</v>
      </c>
      <c r="EY47" s="229">
        <v>-6.1499999999999999E-2</v>
      </c>
      <c r="EZ47" s="229">
        <v>0.40629999999999999</v>
      </c>
      <c r="FA47" s="227" t="s">
        <v>556</v>
      </c>
      <c r="FB47" s="161">
        <f t="shared" si="0"/>
        <v>678150</v>
      </c>
    </row>
    <row r="48" spans="1:158" ht="17.25" hidden="1" thickBot="1" x14ac:dyDescent="0.3">
      <c r="A48" s="226">
        <v>45946</v>
      </c>
      <c r="B48" s="227" t="s">
        <v>215</v>
      </c>
      <c r="C48" s="227" t="s">
        <v>202</v>
      </c>
      <c r="D48" s="228">
        <v>1250</v>
      </c>
      <c r="E48" s="228">
        <v>535.9</v>
      </c>
      <c r="F48" s="228">
        <v>532.4</v>
      </c>
      <c r="G48" s="228">
        <v>3.5</v>
      </c>
      <c r="H48" s="229">
        <v>6.6E-3</v>
      </c>
      <c r="I48" s="228">
        <v>534.1</v>
      </c>
      <c r="J48" s="228">
        <v>529.95000000000005</v>
      </c>
      <c r="K48" s="228">
        <v>4.1500000000000004</v>
      </c>
      <c r="L48" s="229">
        <v>7.7999999999999996E-3</v>
      </c>
      <c r="M48" s="228">
        <v>535.9</v>
      </c>
      <c r="N48" s="228">
        <v>532.4</v>
      </c>
      <c r="O48" s="228">
        <v>3.5</v>
      </c>
      <c r="P48" s="229">
        <v>6.6E-3</v>
      </c>
      <c r="Q48" s="228">
        <v>536.4</v>
      </c>
      <c r="R48" s="228">
        <v>532.6</v>
      </c>
      <c r="S48" s="228">
        <v>3.8</v>
      </c>
      <c r="T48" s="229">
        <v>7.1000000000000004E-3</v>
      </c>
      <c r="U48" s="228">
        <v>540.79999999999995</v>
      </c>
      <c r="V48" s="228">
        <v>535.9</v>
      </c>
      <c r="W48" s="228">
        <v>4.9000000000000004</v>
      </c>
      <c r="X48" s="229">
        <v>9.1000000000000004E-3</v>
      </c>
      <c r="Y48" s="228">
        <v>1.8</v>
      </c>
      <c r="Z48" s="228">
        <v>2.4500000000000002</v>
      </c>
      <c r="AA48" s="228">
        <v>-0.65</v>
      </c>
      <c r="AB48" s="229">
        <v>3.3999999999999998E-3</v>
      </c>
      <c r="AC48" s="228">
        <v>1.8</v>
      </c>
      <c r="AD48" s="228">
        <v>2.4500000000000002</v>
      </c>
      <c r="AE48" s="228">
        <v>-0.65</v>
      </c>
      <c r="AF48" s="229">
        <v>3.3999999999999998E-3</v>
      </c>
      <c r="AG48" s="228">
        <v>2.2999999999999998</v>
      </c>
      <c r="AH48" s="228">
        <v>2.65</v>
      </c>
      <c r="AI48" s="228">
        <v>-0.35</v>
      </c>
      <c r="AJ48" s="229">
        <v>4.3E-3</v>
      </c>
      <c r="AK48" s="228">
        <v>6.7</v>
      </c>
      <c r="AL48" s="228">
        <v>5.95</v>
      </c>
      <c r="AM48" s="228">
        <v>0.75</v>
      </c>
      <c r="AN48" s="229">
        <v>1.2500000000000001E-2</v>
      </c>
      <c r="AO48" s="228">
        <v>535.09</v>
      </c>
      <c r="AP48" s="228">
        <v>535.78</v>
      </c>
      <c r="AQ48" s="228">
        <v>0</v>
      </c>
      <c r="AR48" s="230">
        <v>2872500</v>
      </c>
      <c r="AS48" s="230">
        <v>2818750</v>
      </c>
      <c r="AT48" s="230">
        <v>53750</v>
      </c>
      <c r="AU48" s="229">
        <v>1.9099999999999999E-2</v>
      </c>
      <c r="AV48" s="230">
        <v>2106250</v>
      </c>
      <c r="AW48" s="230">
        <v>2061250</v>
      </c>
      <c r="AX48" s="230">
        <v>45000</v>
      </c>
      <c r="AY48" s="229">
        <v>2.18E-2</v>
      </c>
      <c r="AZ48" s="230">
        <v>741250</v>
      </c>
      <c r="BA48" s="230">
        <v>725000</v>
      </c>
      <c r="BB48" s="230">
        <v>16250</v>
      </c>
      <c r="BC48" s="229">
        <v>2.24E-2</v>
      </c>
      <c r="BD48" s="230">
        <v>25000</v>
      </c>
      <c r="BE48" s="230">
        <v>32500</v>
      </c>
      <c r="BF48" s="230">
        <v>-7500</v>
      </c>
      <c r="BG48" s="229">
        <v>-0.23080000000000001</v>
      </c>
      <c r="BH48" s="230">
        <v>5776250</v>
      </c>
      <c r="BI48" s="230">
        <v>5306250</v>
      </c>
      <c r="BJ48" s="230">
        <v>470000</v>
      </c>
      <c r="BK48" s="229">
        <v>8.8599999999999998E-2</v>
      </c>
      <c r="BL48" s="230">
        <v>2062500</v>
      </c>
      <c r="BM48" s="230">
        <v>1681250</v>
      </c>
      <c r="BN48" s="230">
        <v>381250</v>
      </c>
      <c r="BO48" s="229">
        <v>0.2268</v>
      </c>
      <c r="BP48" s="230">
        <v>10711250</v>
      </c>
      <c r="BQ48" s="230">
        <v>9806250</v>
      </c>
      <c r="BR48" s="230">
        <v>905000</v>
      </c>
      <c r="BS48" s="229">
        <v>9.2299999999999993E-2</v>
      </c>
      <c r="BT48" s="230">
        <v>576480</v>
      </c>
      <c r="BU48" s="230">
        <v>756342</v>
      </c>
      <c r="BV48" s="230">
        <v>-179862</v>
      </c>
      <c r="BW48" s="229">
        <v>-0.23780000000000001</v>
      </c>
      <c r="BX48" s="230">
        <v>27505000</v>
      </c>
      <c r="BY48" s="230">
        <v>27690000</v>
      </c>
      <c r="BZ48" s="230">
        <v>-185000</v>
      </c>
      <c r="CA48" s="229">
        <v>-6.7000000000000002E-3</v>
      </c>
      <c r="CB48" s="230">
        <v>23311250</v>
      </c>
      <c r="CC48" s="230">
        <v>23850000</v>
      </c>
      <c r="CD48" s="230">
        <v>-538750</v>
      </c>
      <c r="CE48" s="229">
        <v>-2.2599999999999999E-2</v>
      </c>
      <c r="CF48" s="230">
        <v>3981250</v>
      </c>
      <c r="CG48" s="230">
        <v>3642500</v>
      </c>
      <c r="CH48" s="230">
        <v>338750</v>
      </c>
      <c r="CI48" s="229">
        <v>9.2999999999999999E-2</v>
      </c>
      <c r="CJ48" s="230">
        <v>212500</v>
      </c>
      <c r="CK48" s="230">
        <v>197500</v>
      </c>
      <c r="CL48" s="230">
        <v>15000</v>
      </c>
      <c r="CM48" s="229">
        <v>7.5899999999999995E-2</v>
      </c>
      <c r="CN48" s="230">
        <v>11216250</v>
      </c>
      <c r="CO48" s="230">
        <v>11793750</v>
      </c>
      <c r="CP48" s="230">
        <v>-577500</v>
      </c>
      <c r="CQ48" s="229">
        <v>-4.9000000000000002E-2</v>
      </c>
      <c r="CR48" s="230">
        <v>7891250</v>
      </c>
      <c r="CS48" s="230">
        <v>8026250</v>
      </c>
      <c r="CT48" s="230">
        <v>-135000</v>
      </c>
      <c r="CU48" s="229">
        <v>-1.6799999999999999E-2</v>
      </c>
      <c r="CV48" s="230">
        <v>46612500</v>
      </c>
      <c r="CW48" s="230">
        <v>47510000</v>
      </c>
      <c r="CX48" s="230">
        <v>-897500</v>
      </c>
      <c r="CY48" s="229">
        <v>-1.89E-2</v>
      </c>
      <c r="CZ48" s="228">
        <v>22.53</v>
      </c>
      <c r="DA48" s="228">
        <v>24.32</v>
      </c>
      <c r="DB48" s="228">
        <v>-1.79</v>
      </c>
      <c r="DC48" s="228">
        <v>-1.79</v>
      </c>
      <c r="DD48" s="228">
        <v>36.35</v>
      </c>
      <c r="DE48" s="228">
        <v>36.43</v>
      </c>
      <c r="DF48" s="228">
        <v>-13.82</v>
      </c>
      <c r="DG48" s="228">
        <v>-0.08</v>
      </c>
      <c r="DH48" s="228">
        <v>22.43</v>
      </c>
      <c r="DI48" s="228">
        <v>24.41</v>
      </c>
      <c r="DJ48" s="228">
        <v>-1.98</v>
      </c>
      <c r="DK48" s="228">
        <v>-1.98</v>
      </c>
      <c r="DL48" s="228">
        <v>22.83</v>
      </c>
      <c r="DM48" s="228">
        <v>24.07</v>
      </c>
      <c r="DN48" s="228">
        <v>-1.24</v>
      </c>
      <c r="DO48" s="228">
        <v>-1.24</v>
      </c>
      <c r="DP48" s="228">
        <v>0.7</v>
      </c>
      <c r="DQ48" s="228">
        <v>0.68</v>
      </c>
      <c r="DR48" s="228">
        <v>0.02</v>
      </c>
      <c r="DS48" s="229">
        <v>2.9399999999999999E-2</v>
      </c>
      <c r="DT48" s="228">
        <v>550</v>
      </c>
      <c r="DU48" s="228">
        <v>530</v>
      </c>
      <c r="DV48" s="228">
        <v>0.36</v>
      </c>
      <c r="DW48" s="228">
        <v>0.32</v>
      </c>
      <c r="DX48" s="228">
        <v>0.04</v>
      </c>
      <c r="DY48" s="229">
        <v>0.125</v>
      </c>
      <c r="DZ48" s="229">
        <v>0.1525</v>
      </c>
      <c r="EA48" s="230">
        <v>3840000</v>
      </c>
      <c r="EB48" s="229">
        <v>8.9999999999999998E-4</v>
      </c>
      <c r="EC48" s="229">
        <v>0.1525</v>
      </c>
      <c r="ED48" s="228">
        <v>0.69</v>
      </c>
      <c r="EE48" s="229">
        <v>1.2999999999999999E-3</v>
      </c>
      <c r="EF48" s="230">
        <v>322692</v>
      </c>
      <c r="EG48" s="230">
        <v>449135</v>
      </c>
      <c r="EH48" s="229">
        <v>-0.28149999999999997</v>
      </c>
      <c r="EI48" s="229">
        <v>0.55979999999999996</v>
      </c>
      <c r="EJ48" s="231">
        <v>31934.89</v>
      </c>
      <c r="EK48" s="231">
        <v>10958</v>
      </c>
      <c r="EL48" s="231">
        <v>15376.56</v>
      </c>
      <c r="EM48" s="231">
        <v>3238</v>
      </c>
      <c r="EN48" s="231">
        <v>58269.45</v>
      </c>
      <c r="EO48" s="231">
        <v>53180.76</v>
      </c>
      <c r="EP48" s="231">
        <v>5088.6899999999996</v>
      </c>
      <c r="EQ48" s="229">
        <v>9.5699999999999993E-2</v>
      </c>
      <c r="ER48" s="231">
        <v>62825</v>
      </c>
      <c r="ES48" s="231">
        <v>42298</v>
      </c>
      <c r="ET48" s="231">
        <v>147430</v>
      </c>
      <c r="EU48" s="231">
        <v>48077012</v>
      </c>
      <c r="EV48" s="231">
        <v>252553</v>
      </c>
      <c r="EW48" s="231">
        <v>256404</v>
      </c>
      <c r="EX48" s="231">
        <v>-3851</v>
      </c>
      <c r="EY48" s="229">
        <v>-1.4999999999999999E-2</v>
      </c>
      <c r="EZ48" s="229">
        <v>0.96950000000000003</v>
      </c>
      <c r="FA48" s="227" t="s">
        <v>556</v>
      </c>
      <c r="FB48" s="161">
        <f t="shared" si="0"/>
        <v>4193750</v>
      </c>
    </row>
    <row r="49" spans="1:158" ht="17.25" hidden="1" thickBot="1" x14ac:dyDescent="0.3">
      <c r="A49" s="226">
        <v>45946</v>
      </c>
      <c r="B49" s="227" t="s">
        <v>184</v>
      </c>
      <c r="C49" s="227" t="s">
        <v>523</v>
      </c>
      <c r="D49" s="228">
        <v>1800</v>
      </c>
      <c r="E49" s="228">
        <v>289.89999999999998</v>
      </c>
      <c r="F49" s="228">
        <v>289</v>
      </c>
      <c r="G49" s="228">
        <v>0.9</v>
      </c>
      <c r="H49" s="229">
        <v>3.0999999999999999E-3</v>
      </c>
      <c r="I49" s="228">
        <v>288.60000000000002</v>
      </c>
      <c r="J49" s="228">
        <v>288.39999999999998</v>
      </c>
      <c r="K49" s="228">
        <v>0.2</v>
      </c>
      <c r="L49" s="229">
        <v>6.9999999999999999E-4</v>
      </c>
      <c r="M49" s="228">
        <v>289.89999999999998</v>
      </c>
      <c r="N49" s="228">
        <v>289</v>
      </c>
      <c r="O49" s="228">
        <v>0.9</v>
      </c>
      <c r="P49" s="229">
        <v>3.0999999999999999E-3</v>
      </c>
      <c r="Q49" s="228">
        <v>291.39999999999998</v>
      </c>
      <c r="R49" s="228">
        <v>290.55</v>
      </c>
      <c r="S49" s="228">
        <v>0.85</v>
      </c>
      <c r="T49" s="229">
        <v>2.8999999999999998E-3</v>
      </c>
      <c r="U49" s="228">
        <v>293.35000000000002</v>
      </c>
      <c r="V49" s="228">
        <v>292.3</v>
      </c>
      <c r="W49" s="228">
        <v>1.05</v>
      </c>
      <c r="X49" s="229">
        <v>3.5999999999999999E-3</v>
      </c>
      <c r="Y49" s="228">
        <v>1.3</v>
      </c>
      <c r="Z49" s="228">
        <v>0.6</v>
      </c>
      <c r="AA49" s="228">
        <v>0.7</v>
      </c>
      <c r="AB49" s="229">
        <v>4.4999999999999997E-3</v>
      </c>
      <c r="AC49" s="228">
        <v>1.3</v>
      </c>
      <c r="AD49" s="228">
        <v>0.6</v>
      </c>
      <c r="AE49" s="228">
        <v>0.7</v>
      </c>
      <c r="AF49" s="229">
        <v>4.4999999999999997E-3</v>
      </c>
      <c r="AG49" s="228">
        <v>2.8</v>
      </c>
      <c r="AH49" s="228">
        <v>2.15</v>
      </c>
      <c r="AI49" s="228">
        <v>0.65</v>
      </c>
      <c r="AJ49" s="229">
        <v>9.7000000000000003E-3</v>
      </c>
      <c r="AK49" s="228">
        <v>4.75</v>
      </c>
      <c r="AL49" s="228">
        <v>3.9</v>
      </c>
      <c r="AM49" s="228">
        <v>0.85</v>
      </c>
      <c r="AN49" s="229">
        <v>1.6500000000000001E-2</v>
      </c>
      <c r="AO49" s="228">
        <v>289.61</v>
      </c>
      <c r="AP49" s="228">
        <v>290.8</v>
      </c>
      <c r="AQ49" s="228">
        <v>0</v>
      </c>
      <c r="AR49" s="230">
        <v>4703400</v>
      </c>
      <c r="AS49" s="230">
        <v>7997400</v>
      </c>
      <c r="AT49" s="230">
        <v>-3294000</v>
      </c>
      <c r="AU49" s="229">
        <v>-0.41189999999999999</v>
      </c>
      <c r="AV49" s="230">
        <v>3693600</v>
      </c>
      <c r="AW49" s="230">
        <v>6712200</v>
      </c>
      <c r="AX49" s="230">
        <v>-3018600</v>
      </c>
      <c r="AY49" s="229">
        <v>-0.44969999999999999</v>
      </c>
      <c r="AZ49" s="230">
        <v>932400</v>
      </c>
      <c r="BA49" s="230">
        <v>1128600</v>
      </c>
      <c r="BB49" s="230">
        <v>-196200</v>
      </c>
      <c r="BC49" s="229">
        <v>-0.17380000000000001</v>
      </c>
      <c r="BD49" s="230">
        <v>77400</v>
      </c>
      <c r="BE49" s="230">
        <v>156600</v>
      </c>
      <c r="BF49" s="230">
        <v>-79200</v>
      </c>
      <c r="BG49" s="229">
        <v>-0.50570000000000004</v>
      </c>
      <c r="BH49" s="230">
        <v>13642200</v>
      </c>
      <c r="BI49" s="230">
        <v>26292600</v>
      </c>
      <c r="BJ49" s="230">
        <v>-12650400</v>
      </c>
      <c r="BK49" s="229">
        <v>-0.48110000000000003</v>
      </c>
      <c r="BL49" s="230">
        <v>3673800</v>
      </c>
      <c r="BM49" s="230">
        <v>7713000</v>
      </c>
      <c r="BN49" s="230">
        <v>-4039200</v>
      </c>
      <c r="BO49" s="229">
        <v>-0.52370000000000005</v>
      </c>
      <c r="BP49" s="230">
        <v>22019400</v>
      </c>
      <c r="BQ49" s="230">
        <v>42003000</v>
      </c>
      <c r="BR49" s="230">
        <v>-19983600</v>
      </c>
      <c r="BS49" s="229">
        <v>-0.4758</v>
      </c>
      <c r="BT49" s="230">
        <v>2510872</v>
      </c>
      <c r="BU49" s="230">
        <v>4092840</v>
      </c>
      <c r="BV49" s="230">
        <v>-1581968</v>
      </c>
      <c r="BW49" s="229">
        <v>-0.38650000000000001</v>
      </c>
      <c r="BX49" s="230">
        <v>52867800</v>
      </c>
      <c r="BY49" s="230">
        <v>52869600</v>
      </c>
      <c r="BZ49" s="230">
        <v>-1800</v>
      </c>
      <c r="CA49" s="229">
        <v>0</v>
      </c>
      <c r="CB49" s="230">
        <v>48744000</v>
      </c>
      <c r="CC49" s="230">
        <v>49093200</v>
      </c>
      <c r="CD49" s="230">
        <v>-349200</v>
      </c>
      <c r="CE49" s="229">
        <v>-7.1000000000000004E-3</v>
      </c>
      <c r="CF49" s="230">
        <v>3670200</v>
      </c>
      <c r="CG49" s="230">
        <v>3321000</v>
      </c>
      <c r="CH49" s="230">
        <v>349200</v>
      </c>
      <c r="CI49" s="229">
        <v>0.1051</v>
      </c>
      <c r="CJ49" s="230">
        <v>453600</v>
      </c>
      <c r="CK49" s="230">
        <v>455400</v>
      </c>
      <c r="CL49" s="230">
        <v>-1800</v>
      </c>
      <c r="CM49" s="229">
        <v>-4.0000000000000001E-3</v>
      </c>
      <c r="CN49" s="230">
        <v>20017800</v>
      </c>
      <c r="CO49" s="230">
        <v>20062800</v>
      </c>
      <c r="CP49" s="230">
        <v>-45000</v>
      </c>
      <c r="CQ49" s="229">
        <v>-2.2000000000000001E-3</v>
      </c>
      <c r="CR49" s="230">
        <v>10863000</v>
      </c>
      <c r="CS49" s="230">
        <v>10764000</v>
      </c>
      <c r="CT49" s="230">
        <v>99000</v>
      </c>
      <c r="CU49" s="229">
        <v>9.1999999999999998E-3</v>
      </c>
      <c r="CV49" s="230">
        <v>83748600</v>
      </c>
      <c r="CW49" s="230">
        <v>83696400</v>
      </c>
      <c r="CX49" s="230">
        <v>52200</v>
      </c>
      <c r="CY49" s="229">
        <v>5.9999999999999995E-4</v>
      </c>
      <c r="CZ49" s="228">
        <v>29.14</v>
      </c>
      <c r="DA49" s="228">
        <v>28.59</v>
      </c>
      <c r="DB49" s="228">
        <v>0.55000000000000004</v>
      </c>
      <c r="DC49" s="228">
        <v>0.55000000000000004</v>
      </c>
      <c r="DD49" s="228">
        <v>32.71</v>
      </c>
      <c r="DE49" s="228">
        <v>32.79</v>
      </c>
      <c r="DF49" s="228">
        <v>-3.57</v>
      </c>
      <c r="DG49" s="228">
        <v>-0.08</v>
      </c>
      <c r="DH49" s="228">
        <v>29.48</v>
      </c>
      <c r="DI49" s="228">
        <v>28.82</v>
      </c>
      <c r="DJ49" s="228">
        <v>0.66</v>
      </c>
      <c r="DK49" s="228">
        <v>0.66</v>
      </c>
      <c r="DL49" s="228">
        <v>27.87</v>
      </c>
      <c r="DM49" s="228">
        <v>27.81</v>
      </c>
      <c r="DN49" s="228">
        <v>0.06</v>
      </c>
      <c r="DO49" s="228">
        <v>0.06</v>
      </c>
      <c r="DP49" s="228">
        <v>0.54</v>
      </c>
      <c r="DQ49" s="228">
        <v>0.54</v>
      </c>
      <c r="DR49" s="228">
        <v>0</v>
      </c>
      <c r="DS49" s="229">
        <v>0</v>
      </c>
      <c r="DT49" s="228">
        <v>300</v>
      </c>
      <c r="DU49" s="228">
        <v>300</v>
      </c>
      <c r="DV49" s="228">
        <v>0.27</v>
      </c>
      <c r="DW49" s="228">
        <v>0.28999999999999998</v>
      </c>
      <c r="DX49" s="228">
        <v>-0.02</v>
      </c>
      <c r="DY49" s="229">
        <v>-6.9000000000000006E-2</v>
      </c>
      <c r="DZ49" s="229">
        <v>7.8E-2</v>
      </c>
      <c r="EA49" s="230">
        <v>3776400</v>
      </c>
      <c r="EB49" s="229">
        <v>5.1999999999999998E-3</v>
      </c>
      <c r="EC49" s="229">
        <v>7.8E-2</v>
      </c>
      <c r="ED49" s="228">
        <v>1.19</v>
      </c>
      <c r="EE49" s="229">
        <v>4.1000000000000003E-3</v>
      </c>
      <c r="EF49" s="230">
        <v>1299906</v>
      </c>
      <c r="EG49" s="230">
        <v>1904185</v>
      </c>
      <c r="EH49" s="229">
        <v>-0.31730000000000003</v>
      </c>
      <c r="EI49" s="229">
        <v>0.51770000000000005</v>
      </c>
      <c r="EJ49" s="231">
        <v>41677.550000000003</v>
      </c>
      <c r="EK49" s="231">
        <v>10647.08</v>
      </c>
      <c r="EL49" s="231">
        <v>13635.17</v>
      </c>
      <c r="EM49" s="231">
        <v>3240</v>
      </c>
      <c r="EN49" s="231">
        <v>65959.8</v>
      </c>
      <c r="EO49" s="231">
        <v>124571.37</v>
      </c>
      <c r="EP49" s="231">
        <v>-58611.57</v>
      </c>
      <c r="EQ49" s="229">
        <v>-0.47049999999999997</v>
      </c>
      <c r="ER49" s="231">
        <v>61629</v>
      </c>
      <c r="ES49" s="231">
        <v>31639</v>
      </c>
      <c r="ET49" s="231">
        <v>153334</v>
      </c>
      <c r="EU49" s="231">
        <v>81400589</v>
      </c>
      <c r="EV49" s="231">
        <v>246603</v>
      </c>
      <c r="EW49" s="231">
        <v>246004</v>
      </c>
      <c r="EX49" s="228">
        <v>599</v>
      </c>
      <c r="EY49" s="229">
        <v>2.3999999999999998E-3</v>
      </c>
      <c r="EZ49" s="229">
        <v>1.0287999999999999</v>
      </c>
      <c r="FA49" s="227" t="s">
        <v>237</v>
      </c>
      <c r="FB49" s="161">
        <f t="shared" si="0"/>
        <v>4123800</v>
      </c>
    </row>
    <row r="50" spans="1:158" ht="17.25" hidden="1" thickBot="1" x14ac:dyDescent="0.3">
      <c r="A50" s="226">
        <v>45946</v>
      </c>
      <c r="B50" s="227" t="s">
        <v>184</v>
      </c>
      <c r="C50" s="227" t="s">
        <v>203</v>
      </c>
      <c r="D50" s="228">
        <v>200</v>
      </c>
      <c r="E50" s="231">
        <v>3950.5</v>
      </c>
      <c r="F50" s="231">
        <v>3972.9</v>
      </c>
      <c r="G50" s="228">
        <v>-22.4</v>
      </c>
      <c r="H50" s="229">
        <v>-5.5999999999999999E-3</v>
      </c>
      <c r="I50" s="231">
        <v>3940.6</v>
      </c>
      <c r="J50" s="231">
        <v>3957.4</v>
      </c>
      <c r="K50" s="228">
        <v>-16.8</v>
      </c>
      <c r="L50" s="229">
        <v>-4.1999999999999997E-3</v>
      </c>
      <c r="M50" s="231">
        <v>3950.5</v>
      </c>
      <c r="N50" s="231">
        <v>3972.9</v>
      </c>
      <c r="O50" s="228">
        <v>-22.4</v>
      </c>
      <c r="P50" s="229">
        <v>-5.5999999999999999E-3</v>
      </c>
      <c r="Q50" s="231">
        <v>3963.7</v>
      </c>
      <c r="R50" s="231">
        <v>3988.6</v>
      </c>
      <c r="S50" s="228">
        <v>-24.9</v>
      </c>
      <c r="T50" s="229">
        <v>-6.1999999999999998E-3</v>
      </c>
      <c r="U50" s="231">
        <v>3974</v>
      </c>
      <c r="V50" s="231">
        <v>3999</v>
      </c>
      <c r="W50" s="228">
        <v>-25</v>
      </c>
      <c r="X50" s="229">
        <v>-6.3E-3</v>
      </c>
      <c r="Y50" s="228">
        <v>9.9</v>
      </c>
      <c r="Z50" s="228">
        <v>15.5</v>
      </c>
      <c r="AA50" s="228">
        <v>-5.6</v>
      </c>
      <c r="AB50" s="229">
        <v>2.5000000000000001E-3</v>
      </c>
      <c r="AC50" s="228">
        <v>9.9</v>
      </c>
      <c r="AD50" s="228">
        <v>15.5</v>
      </c>
      <c r="AE50" s="228">
        <v>-5.6</v>
      </c>
      <c r="AF50" s="229">
        <v>2.5000000000000001E-3</v>
      </c>
      <c r="AG50" s="228">
        <v>23.1</v>
      </c>
      <c r="AH50" s="228">
        <v>31.2</v>
      </c>
      <c r="AI50" s="228">
        <v>-8.1</v>
      </c>
      <c r="AJ50" s="229">
        <v>5.8999999999999999E-3</v>
      </c>
      <c r="AK50" s="228">
        <v>33.4</v>
      </c>
      <c r="AL50" s="228">
        <v>41.6</v>
      </c>
      <c r="AM50" s="228">
        <v>-8.1999999999999993</v>
      </c>
      <c r="AN50" s="229">
        <v>8.5000000000000006E-3</v>
      </c>
      <c r="AO50" s="231">
        <v>3962.44</v>
      </c>
      <c r="AP50" s="231">
        <v>3984.58</v>
      </c>
      <c r="AQ50" s="228">
        <v>0</v>
      </c>
      <c r="AR50" s="230">
        <v>619200</v>
      </c>
      <c r="AS50" s="230">
        <v>303000</v>
      </c>
      <c r="AT50" s="230">
        <v>316200</v>
      </c>
      <c r="AU50" s="229">
        <v>1.0436000000000001</v>
      </c>
      <c r="AV50" s="230">
        <v>563800</v>
      </c>
      <c r="AW50" s="230">
        <v>286000</v>
      </c>
      <c r="AX50" s="230">
        <v>277800</v>
      </c>
      <c r="AY50" s="229">
        <v>0.97130000000000005</v>
      </c>
      <c r="AZ50" s="230">
        <v>54200</v>
      </c>
      <c r="BA50" s="230">
        <v>16200</v>
      </c>
      <c r="BB50" s="230">
        <v>38000</v>
      </c>
      <c r="BC50" s="229">
        <v>2.3456999999999999</v>
      </c>
      <c r="BD50" s="230">
        <v>1200</v>
      </c>
      <c r="BE50" s="228">
        <v>800</v>
      </c>
      <c r="BF50" s="228">
        <v>400</v>
      </c>
      <c r="BG50" s="229">
        <v>0.5</v>
      </c>
      <c r="BH50" s="230">
        <v>1216600</v>
      </c>
      <c r="BI50" s="230">
        <v>844000</v>
      </c>
      <c r="BJ50" s="230">
        <v>372600</v>
      </c>
      <c r="BK50" s="229">
        <v>0.4415</v>
      </c>
      <c r="BL50" s="230">
        <v>317400</v>
      </c>
      <c r="BM50" s="230">
        <v>288600</v>
      </c>
      <c r="BN50" s="230">
        <v>28800</v>
      </c>
      <c r="BO50" s="229">
        <v>9.98E-2</v>
      </c>
      <c r="BP50" s="230">
        <v>2153200</v>
      </c>
      <c r="BQ50" s="230">
        <v>1435600</v>
      </c>
      <c r="BR50" s="230">
        <v>717600</v>
      </c>
      <c r="BS50" s="229">
        <v>0.49990000000000001</v>
      </c>
      <c r="BT50" s="230">
        <v>303207</v>
      </c>
      <c r="BU50" s="230">
        <v>138817</v>
      </c>
      <c r="BV50" s="230">
        <v>164390</v>
      </c>
      <c r="BW50" s="229">
        <v>1.1841999999999999</v>
      </c>
      <c r="BX50" s="230">
        <v>2857400</v>
      </c>
      <c r="BY50" s="230">
        <v>2930400</v>
      </c>
      <c r="BZ50" s="230">
        <v>-73000</v>
      </c>
      <c r="CA50" s="229">
        <v>-2.4899999999999999E-2</v>
      </c>
      <c r="CB50" s="230">
        <v>2792400</v>
      </c>
      <c r="CC50" s="230">
        <v>2883000</v>
      </c>
      <c r="CD50" s="230">
        <v>-90600</v>
      </c>
      <c r="CE50" s="229">
        <v>-3.1399999999999997E-2</v>
      </c>
      <c r="CF50" s="230">
        <v>63400</v>
      </c>
      <c r="CG50" s="230">
        <v>46200</v>
      </c>
      <c r="CH50" s="230">
        <v>17200</v>
      </c>
      <c r="CI50" s="229">
        <v>0.37230000000000002</v>
      </c>
      <c r="CJ50" s="230">
        <v>1600</v>
      </c>
      <c r="CK50" s="230">
        <v>1200</v>
      </c>
      <c r="CL50" s="228">
        <v>400</v>
      </c>
      <c r="CM50" s="229">
        <v>0.33329999999999999</v>
      </c>
      <c r="CN50" s="230">
        <v>934200</v>
      </c>
      <c r="CO50" s="230">
        <v>795000</v>
      </c>
      <c r="CP50" s="230">
        <v>139200</v>
      </c>
      <c r="CQ50" s="229">
        <v>0.17510000000000001</v>
      </c>
      <c r="CR50" s="230">
        <v>592000</v>
      </c>
      <c r="CS50" s="230">
        <v>556800</v>
      </c>
      <c r="CT50" s="230">
        <v>35200</v>
      </c>
      <c r="CU50" s="229">
        <v>6.3200000000000006E-2</v>
      </c>
      <c r="CV50" s="230">
        <v>4383600</v>
      </c>
      <c r="CW50" s="230">
        <v>4282200</v>
      </c>
      <c r="CX50" s="230">
        <v>101400</v>
      </c>
      <c r="CY50" s="229">
        <v>2.3699999999999999E-2</v>
      </c>
      <c r="CZ50" s="228">
        <v>23.51</v>
      </c>
      <c r="DA50" s="228">
        <v>22.52</v>
      </c>
      <c r="DB50" s="228">
        <v>0.99</v>
      </c>
      <c r="DC50" s="228">
        <v>0.99</v>
      </c>
      <c r="DD50" s="228">
        <v>35.07</v>
      </c>
      <c r="DE50" s="228">
        <v>35.159999999999997</v>
      </c>
      <c r="DF50" s="228">
        <v>-11.56</v>
      </c>
      <c r="DG50" s="228">
        <v>-0.09</v>
      </c>
      <c r="DH50" s="228">
        <v>23.47</v>
      </c>
      <c r="DI50" s="228">
        <v>22.48</v>
      </c>
      <c r="DJ50" s="228">
        <v>0.99</v>
      </c>
      <c r="DK50" s="228">
        <v>0.99</v>
      </c>
      <c r="DL50" s="228">
        <v>23.65</v>
      </c>
      <c r="DM50" s="228">
        <v>22.64</v>
      </c>
      <c r="DN50" s="228">
        <v>1.01</v>
      </c>
      <c r="DO50" s="228">
        <v>1.01</v>
      </c>
      <c r="DP50" s="228">
        <v>0.63</v>
      </c>
      <c r="DQ50" s="228">
        <v>0.7</v>
      </c>
      <c r="DR50" s="228">
        <v>-7.0000000000000007E-2</v>
      </c>
      <c r="DS50" s="229">
        <v>-0.1</v>
      </c>
      <c r="DT50" s="231">
        <v>4000</v>
      </c>
      <c r="DU50" s="231">
        <v>3900</v>
      </c>
      <c r="DV50" s="228">
        <v>0.26</v>
      </c>
      <c r="DW50" s="228">
        <v>0.34</v>
      </c>
      <c r="DX50" s="228">
        <v>-0.08</v>
      </c>
      <c r="DY50" s="229">
        <v>-0.23530000000000001</v>
      </c>
      <c r="DZ50" s="229">
        <v>2.2700000000000001E-2</v>
      </c>
      <c r="EA50" s="230">
        <v>47400</v>
      </c>
      <c r="EB50" s="229">
        <v>3.3E-3</v>
      </c>
      <c r="EC50" s="229">
        <v>2.2700000000000001E-2</v>
      </c>
      <c r="ED50" s="228">
        <v>22.14</v>
      </c>
      <c r="EE50" s="229">
        <v>5.5999999999999999E-3</v>
      </c>
      <c r="EF50" s="230">
        <v>171577</v>
      </c>
      <c r="EG50" s="230">
        <v>74797</v>
      </c>
      <c r="EH50" s="229">
        <v>1.2939000000000001</v>
      </c>
      <c r="EI50" s="229">
        <v>0.56589999999999996</v>
      </c>
      <c r="EJ50" s="231">
        <v>49624.94</v>
      </c>
      <c r="EK50" s="231">
        <v>12508.67</v>
      </c>
      <c r="EL50" s="231">
        <v>24547.68</v>
      </c>
      <c r="EM50" s="231">
        <v>2471</v>
      </c>
      <c r="EN50" s="231">
        <v>86681.29</v>
      </c>
      <c r="EO50" s="231">
        <v>58015.64</v>
      </c>
      <c r="EP50" s="231">
        <v>28665.65</v>
      </c>
      <c r="EQ50" s="229">
        <v>0.49409999999999998</v>
      </c>
      <c r="ER50" s="231">
        <v>38067</v>
      </c>
      <c r="ES50" s="231">
        <v>22841</v>
      </c>
      <c r="ET50" s="231">
        <v>112890</v>
      </c>
      <c r="EU50" s="231">
        <v>20374200</v>
      </c>
      <c r="EV50" s="231">
        <v>173798</v>
      </c>
      <c r="EW50" s="231">
        <v>170452</v>
      </c>
      <c r="EX50" s="231">
        <v>3346</v>
      </c>
      <c r="EY50" s="229">
        <v>1.9599999999999999E-2</v>
      </c>
      <c r="EZ50" s="229">
        <v>0.2152</v>
      </c>
      <c r="FA50" s="227" t="s">
        <v>568</v>
      </c>
      <c r="FB50" s="161">
        <f t="shared" si="0"/>
        <v>65000</v>
      </c>
    </row>
    <row r="51" spans="1:158" ht="17.25" hidden="1" thickBot="1" x14ac:dyDescent="0.3">
      <c r="A51" s="226">
        <v>45946</v>
      </c>
      <c r="B51" s="227" t="s">
        <v>221</v>
      </c>
      <c r="C51" s="227" t="s">
        <v>572</v>
      </c>
      <c r="D51" s="228">
        <v>425</v>
      </c>
      <c r="E51" s="231">
        <v>1172.2</v>
      </c>
      <c r="F51" s="231">
        <v>1119.4000000000001</v>
      </c>
      <c r="G51" s="228">
        <v>52.8</v>
      </c>
      <c r="H51" s="229">
        <v>4.7199999999999999E-2</v>
      </c>
      <c r="I51" s="231">
        <v>1180.5999999999999</v>
      </c>
      <c r="J51" s="231">
        <v>1125</v>
      </c>
      <c r="K51" s="228">
        <v>55.6</v>
      </c>
      <c r="L51" s="229">
        <v>4.9399999999999999E-2</v>
      </c>
      <c r="M51" s="231">
        <v>1172.2</v>
      </c>
      <c r="N51" s="231">
        <v>1119.4000000000001</v>
      </c>
      <c r="O51" s="228">
        <v>52.8</v>
      </c>
      <c r="P51" s="229">
        <v>4.7199999999999999E-2</v>
      </c>
      <c r="Q51" s="231">
        <v>1176</v>
      </c>
      <c r="R51" s="231">
        <v>1119.3</v>
      </c>
      <c r="S51" s="228">
        <v>56.7</v>
      </c>
      <c r="T51" s="229">
        <v>5.0700000000000002E-2</v>
      </c>
      <c r="U51" s="231">
        <v>1179.2</v>
      </c>
      <c r="V51" s="231">
        <v>1128.0999999999999</v>
      </c>
      <c r="W51" s="228">
        <v>51.1</v>
      </c>
      <c r="X51" s="229">
        <v>4.53E-2</v>
      </c>
      <c r="Y51" s="228">
        <v>-8.4</v>
      </c>
      <c r="Z51" s="228">
        <v>-5.6</v>
      </c>
      <c r="AA51" s="228">
        <v>-2.8</v>
      </c>
      <c r="AB51" s="229">
        <v>-7.1000000000000004E-3</v>
      </c>
      <c r="AC51" s="228">
        <v>-8.4</v>
      </c>
      <c r="AD51" s="228">
        <v>-5.6</v>
      </c>
      <c r="AE51" s="228">
        <v>-2.8</v>
      </c>
      <c r="AF51" s="229">
        <v>-7.1000000000000004E-3</v>
      </c>
      <c r="AG51" s="228">
        <v>-4.5999999999999996</v>
      </c>
      <c r="AH51" s="228">
        <v>-5.7</v>
      </c>
      <c r="AI51" s="228">
        <v>1.1000000000000001</v>
      </c>
      <c r="AJ51" s="229">
        <v>-3.8999999999999998E-3</v>
      </c>
      <c r="AK51" s="228">
        <v>-1.4</v>
      </c>
      <c r="AL51" s="228">
        <v>3.1</v>
      </c>
      <c r="AM51" s="228">
        <v>-4.5</v>
      </c>
      <c r="AN51" s="229">
        <v>-1.1999999999999999E-3</v>
      </c>
      <c r="AO51" s="231">
        <v>1141.32</v>
      </c>
      <c r="AP51" s="231">
        <v>1140.06</v>
      </c>
      <c r="AQ51" s="228">
        <v>0</v>
      </c>
      <c r="AR51" s="230">
        <v>7545025</v>
      </c>
      <c r="AS51" s="230">
        <v>2392750</v>
      </c>
      <c r="AT51" s="230">
        <v>5152275</v>
      </c>
      <c r="AU51" s="229">
        <v>2.1533000000000002</v>
      </c>
      <c r="AV51" s="230">
        <v>6293400</v>
      </c>
      <c r="AW51" s="230">
        <v>2105875</v>
      </c>
      <c r="AX51" s="230">
        <v>4187525</v>
      </c>
      <c r="AY51" s="229">
        <v>1.9884999999999999</v>
      </c>
      <c r="AZ51" s="230">
        <v>1190000</v>
      </c>
      <c r="BA51" s="230">
        <v>267750</v>
      </c>
      <c r="BB51" s="230">
        <v>922250</v>
      </c>
      <c r="BC51" s="229">
        <v>3.4443999999999999</v>
      </c>
      <c r="BD51" s="230">
        <v>61625</v>
      </c>
      <c r="BE51" s="230">
        <v>19125</v>
      </c>
      <c r="BF51" s="230">
        <v>42500</v>
      </c>
      <c r="BG51" s="229">
        <v>2.2222</v>
      </c>
      <c r="BH51" s="230">
        <v>22458700</v>
      </c>
      <c r="BI51" s="230">
        <v>4145875</v>
      </c>
      <c r="BJ51" s="230">
        <v>18312825</v>
      </c>
      <c r="BK51" s="229">
        <v>4.4170999999999996</v>
      </c>
      <c r="BL51" s="230">
        <v>13567700</v>
      </c>
      <c r="BM51" s="230">
        <v>3545775</v>
      </c>
      <c r="BN51" s="230">
        <v>10021925</v>
      </c>
      <c r="BO51" s="229">
        <v>2.8264</v>
      </c>
      <c r="BP51" s="230">
        <v>43571425</v>
      </c>
      <c r="BQ51" s="230">
        <v>10084400</v>
      </c>
      <c r="BR51" s="230">
        <v>33487025</v>
      </c>
      <c r="BS51" s="229">
        <v>3.3207</v>
      </c>
      <c r="BT51" s="230">
        <v>1992366</v>
      </c>
      <c r="BU51" s="230">
        <v>685592</v>
      </c>
      <c r="BV51" s="230">
        <v>1306774</v>
      </c>
      <c r="BW51" s="229">
        <v>1.9060999999999999</v>
      </c>
      <c r="BX51" s="230">
        <v>4745125</v>
      </c>
      <c r="BY51" s="230">
        <v>4322250</v>
      </c>
      <c r="BZ51" s="230">
        <v>422875</v>
      </c>
      <c r="CA51" s="229">
        <v>9.7799999999999998E-2</v>
      </c>
      <c r="CB51" s="230">
        <v>4065550</v>
      </c>
      <c r="CC51" s="230">
        <v>3880675</v>
      </c>
      <c r="CD51" s="230">
        <v>184875</v>
      </c>
      <c r="CE51" s="229">
        <v>4.7600000000000003E-2</v>
      </c>
      <c r="CF51" s="230">
        <v>631125</v>
      </c>
      <c r="CG51" s="230">
        <v>407575</v>
      </c>
      <c r="CH51" s="230">
        <v>223550</v>
      </c>
      <c r="CI51" s="229">
        <v>0.54849999999999999</v>
      </c>
      <c r="CJ51" s="230">
        <v>48450</v>
      </c>
      <c r="CK51" s="230">
        <v>34000</v>
      </c>
      <c r="CL51" s="230">
        <v>14450</v>
      </c>
      <c r="CM51" s="229">
        <v>0.42499999999999999</v>
      </c>
      <c r="CN51" s="230">
        <v>3945700</v>
      </c>
      <c r="CO51" s="230">
        <v>2949925</v>
      </c>
      <c r="CP51" s="230">
        <v>995775</v>
      </c>
      <c r="CQ51" s="229">
        <v>0.33760000000000001</v>
      </c>
      <c r="CR51" s="230">
        <v>2708100</v>
      </c>
      <c r="CS51" s="230">
        <v>1553375</v>
      </c>
      <c r="CT51" s="230">
        <v>1154725</v>
      </c>
      <c r="CU51" s="229">
        <v>0.74339999999999995</v>
      </c>
      <c r="CV51" s="230">
        <v>11398925</v>
      </c>
      <c r="CW51" s="230">
        <v>8825550</v>
      </c>
      <c r="CX51" s="230">
        <v>2573375</v>
      </c>
      <c r="CY51" s="229">
        <v>0.29160000000000003</v>
      </c>
      <c r="CZ51" s="228">
        <v>54.97</v>
      </c>
      <c r="DA51" s="228">
        <v>48.67</v>
      </c>
      <c r="DB51" s="228">
        <v>6.3</v>
      </c>
      <c r="DC51" s="228">
        <v>6.3</v>
      </c>
      <c r="DD51" s="228">
        <v>44.59</v>
      </c>
      <c r="DE51" s="228">
        <v>44.26</v>
      </c>
      <c r="DF51" s="228">
        <v>10.38</v>
      </c>
      <c r="DG51" s="228">
        <v>0.33</v>
      </c>
      <c r="DH51" s="228">
        <v>54.9</v>
      </c>
      <c r="DI51" s="228">
        <v>49.6</v>
      </c>
      <c r="DJ51" s="228">
        <v>5.3</v>
      </c>
      <c r="DK51" s="228">
        <v>5.3</v>
      </c>
      <c r="DL51" s="228">
        <v>55.07</v>
      </c>
      <c r="DM51" s="228">
        <v>47.59</v>
      </c>
      <c r="DN51" s="228">
        <v>7.48</v>
      </c>
      <c r="DO51" s="228">
        <v>7.48</v>
      </c>
      <c r="DP51" s="228">
        <v>0.69</v>
      </c>
      <c r="DQ51" s="228">
        <v>0.53</v>
      </c>
      <c r="DR51" s="228">
        <v>0.16</v>
      </c>
      <c r="DS51" s="229">
        <v>0.3019</v>
      </c>
      <c r="DT51" s="231">
        <v>1300</v>
      </c>
      <c r="DU51" s="231">
        <v>1100</v>
      </c>
      <c r="DV51" s="228">
        <v>0.6</v>
      </c>
      <c r="DW51" s="228">
        <v>0.86</v>
      </c>
      <c r="DX51" s="228">
        <v>-0.26</v>
      </c>
      <c r="DY51" s="229">
        <v>-0.30230000000000001</v>
      </c>
      <c r="DZ51" s="229">
        <v>0.14319999999999999</v>
      </c>
      <c r="EA51" s="230">
        <v>441575</v>
      </c>
      <c r="EB51" s="229">
        <v>3.2000000000000002E-3</v>
      </c>
      <c r="EC51" s="229">
        <v>0.14319999999999999</v>
      </c>
      <c r="ED51" s="228">
        <v>-1.26</v>
      </c>
      <c r="EE51" s="229">
        <v>-1.1000000000000001E-3</v>
      </c>
      <c r="EF51" s="230">
        <v>480487</v>
      </c>
      <c r="EG51" s="230">
        <v>329285</v>
      </c>
      <c r="EH51" s="229">
        <v>0.4592</v>
      </c>
      <c r="EI51" s="229">
        <v>0.2412</v>
      </c>
      <c r="EJ51" s="231">
        <v>276116.03000000003</v>
      </c>
      <c r="EK51" s="231">
        <v>152869.79</v>
      </c>
      <c r="EL51" s="231">
        <v>86097.62</v>
      </c>
      <c r="EM51" s="231">
        <v>2081</v>
      </c>
      <c r="EN51" s="231">
        <v>515083.44</v>
      </c>
      <c r="EO51" s="231">
        <v>118353.22</v>
      </c>
      <c r="EP51" s="231">
        <v>396730.22</v>
      </c>
      <c r="EQ51" s="229">
        <v>3.3521000000000001</v>
      </c>
      <c r="ER51" s="231">
        <v>48672</v>
      </c>
      <c r="ES51" s="231">
        <v>29815</v>
      </c>
      <c r="ET51" s="231">
        <v>55650</v>
      </c>
      <c r="EU51" s="231">
        <v>12039544</v>
      </c>
      <c r="EV51" s="231">
        <v>134137</v>
      </c>
      <c r="EW51" s="231">
        <v>102180</v>
      </c>
      <c r="EX51" s="231">
        <v>31957</v>
      </c>
      <c r="EY51" s="229">
        <v>0.31280000000000002</v>
      </c>
      <c r="EZ51" s="229">
        <v>0.94679999999999997</v>
      </c>
      <c r="FA51" s="227" t="s">
        <v>555</v>
      </c>
      <c r="FB51" s="161">
        <f t="shared" si="0"/>
        <v>679575</v>
      </c>
    </row>
    <row r="52" spans="1:158" ht="17.25" hidden="1" thickBot="1" x14ac:dyDescent="0.3">
      <c r="A52" s="226">
        <v>45946</v>
      </c>
      <c r="B52" s="227" t="s">
        <v>168</v>
      </c>
      <c r="C52" s="227" t="s">
        <v>204</v>
      </c>
      <c r="D52" s="228">
        <v>1250</v>
      </c>
      <c r="E52" s="228">
        <v>501.25</v>
      </c>
      <c r="F52" s="228">
        <v>494.5</v>
      </c>
      <c r="G52" s="228">
        <v>6.75</v>
      </c>
      <c r="H52" s="229">
        <v>1.37E-2</v>
      </c>
      <c r="I52" s="228">
        <v>500.75</v>
      </c>
      <c r="J52" s="228">
        <v>493.15</v>
      </c>
      <c r="K52" s="228">
        <v>7.6</v>
      </c>
      <c r="L52" s="229">
        <v>1.54E-2</v>
      </c>
      <c r="M52" s="228">
        <v>501.25</v>
      </c>
      <c r="N52" s="228">
        <v>494.5</v>
      </c>
      <c r="O52" s="228">
        <v>6.75</v>
      </c>
      <c r="P52" s="229">
        <v>1.37E-2</v>
      </c>
      <c r="Q52" s="228">
        <v>501.35</v>
      </c>
      <c r="R52" s="228">
        <v>494.45</v>
      </c>
      <c r="S52" s="228">
        <v>6.9</v>
      </c>
      <c r="T52" s="229">
        <v>1.4E-2</v>
      </c>
      <c r="U52" s="228">
        <v>504.4</v>
      </c>
      <c r="V52" s="228">
        <v>497.45</v>
      </c>
      <c r="W52" s="228">
        <v>6.95</v>
      </c>
      <c r="X52" s="229">
        <v>1.4E-2</v>
      </c>
      <c r="Y52" s="228">
        <v>0.5</v>
      </c>
      <c r="Z52" s="228">
        <v>1.35</v>
      </c>
      <c r="AA52" s="228">
        <v>-0.85</v>
      </c>
      <c r="AB52" s="229">
        <v>1E-3</v>
      </c>
      <c r="AC52" s="228">
        <v>0.5</v>
      </c>
      <c r="AD52" s="228">
        <v>1.35</v>
      </c>
      <c r="AE52" s="228">
        <v>-0.85</v>
      </c>
      <c r="AF52" s="229">
        <v>1E-3</v>
      </c>
      <c r="AG52" s="228">
        <v>0.6</v>
      </c>
      <c r="AH52" s="228">
        <v>1.3</v>
      </c>
      <c r="AI52" s="228">
        <v>-0.7</v>
      </c>
      <c r="AJ52" s="229">
        <v>1.1999999999999999E-3</v>
      </c>
      <c r="AK52" s="228">
        <v>3.65</v>
      </c>
      <c r="AL52" s="228">
        <v>4.3</v>
      </c>
      <c r="AM52" s="228">
        <v>-0.65</v>
      </c>
      <c r="AN52" s="229">
        <v>7.3000000000000001E-3</v>
      </c>
      <c r="AO52" s="228">
        <v>499.63</v>
      </c>
      <c r="AP52" s="228">
        <v>500.06</v>
      </c>
      <c r="AQ52" s="228">
        <v>0</v>
      </c>
      <c r="AR52" s="230">
        <v>4276250</v>
      </c>
      <c r="AS52" s="230">
        <v>3137500</v>
      </c>
      <c r="AT52" s="230">
        <v>1138750</v>
      </c>
      <c r="AU52" s="229">
        <v>0.3629</v>
      </c>
      <c r="AV52" s="230">
        <v>3375000</v>
      </c>
      <c r="AW52" s="230">
        <v>2742500</v>
      </c>
      <c r="AX52" s="230">
        <v>632500</v>
      </c>
      <c r="AY52" s="229">
        <v>0.2306</v>
      </c>
      <c r="AZ52" s="230">
        <v>840000</v>
      </c>
      <c r="BA52" s="230">
        <v>363750</v>
      </c>
      <c r="BB52" s="230">
        <v>476250</v>
      </c>
      <c r="BC52" s="229">
        <v>1.3092999999999999</v>
      </c>
      <c r="BD52" s="230">
        <v>61250</v>
      </c>
      <c r="BE52" s="230">
        <v>31250</v>
      </c>
      <c r="BF52" s="230">
        <v>30000</v>
      </c>
      <c r="BG52" s="229">
        <v>0.96</v>
      </c>
      <c r="BH52" s="230">
        <v>15725000</v>
      </c>
      <c r="BI52" s="230">
        <v>10446250</v>
      </c>
      <c r="BJ52" s="230">
        <v>5278750</v>
      </c>
      <c r="BK52" s="229">
        <v>0.50529999999999997</v>
      </c>
      <c r="BL52" s="230">
        <v>7110000</v>
      </c>
      <c r="BM52" s="230">
        <v>4531250</v>
      </c>
      <c r="BN52" s="230">
        <v>2578750</v>
      </c>
      <c r="BO52" s="229">
        <v>0.56910000000000005</v>
      </c>
      <c r="BP52" s="230">
        <v>27111250</v>
      </c>
      <c r="BQ52" s="230">
        <v>18115000</v>
      </c>
      <c r="BR52" s="230">
        <v>8996250</v>
      </c>
      <c r="BS52" s="229">
        <v>0.49659999999999999</v>
      </c>
      <c r="BT52" s="230">
        <v>1441641</v>
      </c>
      <c r="BU52" s="230">
        <v>2107084</v>
      </c>
      <c r="BV52" s="230">
        <v>-665443</v>
      </c>
      <c r="BW52" s="229">
        <v>-0.31580000000000003</v>
      </c>
      <c r="BX52" s="230">
        <v>26800000</v>
      </c>
      <c r="BY52" s="230">
        <v>27653750</v>
      </c>
      <c r="BZ52" s="230">
        <v>-853750</v>
      </c>
      <c r="CA52" s="229">
        <v>-3.09E-2</v>
      </c>
      <c r="CB52" s="230">
        <v>24666250</v>
      </c>
      <c r="CC52" s="230">
        <v>25590000</v>
      </c>
      <c r="CD52" s="230">
        <v>-923750</v>
      </c>
      <c r="CE52" s="229">
        <v>-3.61E-2</v>
      </c>
      <c r="CF52" s="230">
        <v>2003750</v>
      </c>
      <c r="CG52" s="230">
        <v>1916250</v>
      </c>
      <c r="CH52" s="230">
        <v>87500</v>
      </c>
      <c r="CI52" s="229">
        <v>4.5699999999999998E-2</v>
      </c>
      <c r="CJ52" s="230">
        <v>130000</v>
      </c>
      <c r="CK52" s="230">
        <v>147500</v>
      </c>
      <c r="CL52" s="230">
        <v>-17500</v>
      </c>
      <c r="CM52" s="229">
        <v>-0.1186</v>
      </c>
      <c r="CN52" s="230">
        <v>14881250</v>
      </c>
      <c r="CO52" s="230">
        <v>17290000</v>
      </c>
      <c r="CP52" s="230">
        <v>-2408750</v>
      </c>
      <c r="CQ52" s="229">
        <v>-0.13930000000000001</v>
      </c>
      <c r="CR52" s="230">
        <v>7878750</v>
      </c>
      <c r="CS52" s="230">
        <v>8487500</v>
      </c>
      <c r="CT52" s="230">
        <v>-608750</v>
      </c>
      <c r="CU52" s="229">
        <v>-7.17E-2</v>
      </c>
      <c r="CV52" s="230">
        <v>49560000</v>
      </c>
      <c r="CW52" s="230">
        <v>53431250</v>
      </c>
      <c r="CX52" s="230">
        <v>-3871250</v>
      </c>
      <c r="CY52" s="229">
        <v>-7.2499999999999995E-2</v>
      </c>
      <c r="CZ52" s="228">
        <v>19.98</v>
      </c>
      <c r="DA52" s="228">
        <v>20.63</v>
      </c>
      <c r="DB52" s="228">
        <v>-0.65</v>
      </c>
      <c r="DC52" s="228">
        <v>-0.65</v>
      </c>
      <c r="DD52" s="228">
        <v>25.51</v>
      </c>
      <c r="DE52" s="228">
        <v>25.49</v>
      </c>
      <c r="DF52" s="228">
        <v>-5.53</v>
      </c>
      <c r="DG52" s="228">
        <v>0.02</v>
      </c>
      <c r="DH52" s="228">
        <v>19.38</v>
      </c>
      <c r="DI52" s="228">
        <v>20.6</v>
      </c>
      <c r="DJ52" s="228">
        <v>-1.22</v>
      </c>
      <c r="DK52" s="228">
        <v>-1.22</v>
      </c>
      <c r="DL52" s="228">
        <v>21.32</v>
      </c>
      <c r="DM52" s="228">
        <v>20.71</v>
      </c>
      <c r="DN52" s="228">
        <v>0.61</v>
      </c>
      <c r="DO52" s="228">
        <v>0.61</v>
      </c>
      <c r="DP52" s="228">
        <v>0.53</v>
      </c>
      <c r="DQ52" s="228">
        <v>0.49</v>
      </c>
      <c r="DR52" s="228">
        <v>0.04</v>
      </c>
      <c r="DS52" s="229">
        <v>8.1600000000000006E-2</v>
      </c>
      <c r="DT52" s="228">
        <v>550</v>
      </c>
      <c r="DU52" s="228">
        <v>490</v>
      </c>
      <c r="DV52" s="228">
        <v>0.45</v>
      </c>
      <c r="DW52" s="228">
        <v>0.43</v>
      </c>
      <c r="DX52" s="228">
        <v>0.02</v>
      </c>
      <c r="DY52" s="229">
        <v>4.65E-2</v>
      </c>
      <c r="DZ52" s="229">
        <v>7.9600000000000004E-2</v>
      </c>
      <c r="EA52" s="230">
        <v>2063750</v>
      </c>
      <c r="EB52" s="229">
        <v>2.0000000000000001E-4</v>
      </c>
      <c r="EC52" s="229">
        <v>7.9600000000000004E-2</v>
      </c>
      <c r="ED52" s="228">
        <v>0.43</v>
      </c>
      <c r="EE52" s="229">
        <v>8.9999999999999998E-4</v>
      </c>
      <c r="EF52" s="230">
        <v>737938</v>
      </c>
      <c r="EG52" s="230">
        <v>1202717</v>
      </c>
      <c r="EH52" s="229">
        <v>-0.38640000000000002</v>
      </c>
      <c r="EI52" s="229">
        <v>0.51190000000000002</v>
      </c>
      <c r="EJ52" s="231">
        <v>80762.509999999995</v>
      </c>
      <c r="EK52" s="231">
        <v>34876.19</v>
      </c>
      <c r="EL52" s="231">
        <v>21370.12</v>
      </c>
      <c r="EM52" s="231">
        <v>2161</v>
      </c>
      <c r="EN52" s="231">
        <v>137008.82</v>
      </c>
      <c r="EO52" s="231">
        <v>90936.45</v>
      </c>
      <c r="EP52" s="231">
        <v>46072.37</v>
      </c>
      <c r="EQ52" s="229">
        <v>0.50660000000000005</v>
      </c>
      <c r="ER52" s="231">
        <v>78128</v>
      </c>
      <c r="ES52" s="231">
        <v>38376</v>
      </c>
      <c r="ET52" s="231">
        <v>134341</v>
      </c>
      <c r="EU52" s="231">
        <v>89873278</v>
      </c>
      <c r="EV52" s="231">
        <v>250845</v>
      </c>
      <c r="EW52" s="231">
        <v>268305</v>
      </c>
      <c r="EX52" s="231">
        <v>-17460</v>
      </c>
      <c r="EY52" s="229">
        <v>-6.5100000000000005E-2</v>
      </c>
      <c r="EZ52" s="229">
        <v>0.5514</v>
      </c>
      <c r="FA52" s="227" t="s">
        <v>556</v>
      </c>
      <c r="FB52" s="161">
        <f t="shared" si="0"/>
        <v>2133750</v>
      </c>
    </row>
    <row r="53" spans="1:158" ht="17.25" hidden="1" thickBot="1" x14ac:dyDescent="0.3">
      <c r="A53" s="226">
        <v>45946</v>
      </c>
      <c r="B53" s="227" t="s">
        <v>157</v>
      </c>
      <c r="C53" s="227" t="s">
        <v>524</v>
      </c>
      <c r="D53" s="228">
        <v>325</v>
      </c>
      <c r="E53" s="231">
        <v>2228.1999999999998</v>
      </c>
      <c r="F53" s="231">
        <v>2221.9</v>
      </c>
      <c r="G53" s="228">
        <v>6.3</v>
      </c>
      <c r="H53" s="229">
        <v>2.8E-3</v>
      </c>
      <c r="I53" s="231">
        <v>2224.4</v>
      </c>
      <c r="J53" s="231">
        <v>2219.1999999999998</v>
      </c>
      <c r="K53" s="228">
        <v>5.2</v>
      </c>
      <c r="L53" s="229">
        <v>2.3E-3</v>
      </c>
      <c r="M53" s="231">
        <v>2228.1999999999998</v>
      </c>
      <c r="N53" s="231">
        <v>2221.9</v>
      </c>
      <c r="O53" s="228">
        <v>6.3</v>
      </c>
      <c r="P53" s="229">
        <v>2.8E-3</v>
      </c>
      <c r="Q53" s="231">
        <v>2233.1999999999998</v>
      </c>
      <c r="R53" s="231">
        <v>2226.6999999999998</v>
      </c>
      <c r="S53" s="228">
        <v>6.5</v>
      </c>
      <c r="T53" s="229">
        <v>2.8999999999999998E-3</v>
      </c>
      <c r="U53" s="231">
        <v>2236.5</v>
      </c>
      <c r="V53" s="231">
        <v>2232.4</v>
      </c>
      <c r="W53" s="228">
        <v>4.0999999999999996</v>
      </c>
      <c r="X53" s="229">
        <v>1.8E-3</v>
      </c>
      <c r="Y53" s="228">
        <v>3.8</v>
      </c>
      <c r="Z53" s="228">
        <v>2.7</v>
      </c>
      <c r="AA53" s="228">
        <v>1.1000000000000001</v>
      </c>
      <c r="AB53" s="229">
        <v>1.6999999999999999E-3</v>
      </c>
      <c r="AC53" s="228">
        <v>3.8</v>
      </c>
      <c r="AD53" s="228">
        <v>2.7</v>
      </c>
      <c r="AE53" s="228">
        <v>1.1000000000000001</v>
      </c>
      <c r="AF53" s="229">
        <v>1.6999999999999999E-3</v>
      </c>
      <c r="AG53" s="228">
        <v>8.8000000000000007</v>
      </c>
      <c r="AH53" s="228">
        <v>7.5</v>
      </c>
      <c r="AI53" s="228">
        <v>1.3</v>
      </c>
      <c r="AJ53" s="229">
        <v>4.0000000000000001E-3</v>
      </c>
      <c r="AK53" s="228">
        <v>12.1</v>
      </c>
      <c r="AL53" s="228">
        <v>13.2</v>
      </c>
      <c r="AM53" s="228">
        <v>-1.1000000000000001</v>
      </c>
      <c r="AN53" s="229">
        <v>5.4000000000000003E-3</v>
      </c>
      <c r="AO53" s="231">
        <v>2226.7199999999998</v>
      </c>
      <c r="AP53" s="231">
        <v>2235.0700000000002</v>
      </c>
      <c r="AQ53" s="228">
        <v>0</v>
      </c>
      <c r="AR53" s="230">
        <v>400075</v>
      </c>
      <c r="AS53" s="230">
        <v>383175</v>
      </c>
      <c r="AT53" s="230">
        <v>16900</v>
      </c>
      <c r="AU53" s="229">
        <v>4.41E-2</v>
      </c>
      <c r="AV53" s="230">
        <v>327925</v>
      </c>
      <c r="AW53" s="230">
        <v>358475</v>
      </c>
      <c r="AX53" s="230">
        <v>-30550</v>
      </c>
      <c r="AY53" s="229">
        <v>-8.5199999999999998E-2</v>
      </c>
      <c r="AZ53" s="230">
        <v>71825</v>
      </c>
      <c r="BA53" s="230">
        <v>24375</v>
      </c>
      <c r="BB53" s="230">
        <v>47450</v>
      </c>
      <c r="BC53" s="229">
        <v>1.9467000000000001</v>
      </c>
      <c r="BD53" s="228">
        <v>325</v>
      </c>
      <c r="BE53" s="228">
        <v>325</v>
      </c>
      <c r="BF53" s="228">
        <v>0</v>
      </c>
      <c r="BG53" s="229">
        <v>0</v>
      </c>
      <c r="BH53" s="230">
        <v>434850</v>
      </c>
      <c r="BI53" s="230">
        <v>429975</v>
      </c>
      <c r="BJ53" s="230">
        <v>4875</v>
      </c>
      <c r="BK53" s="229">
        <v>1.1299999999999999E-2</v>
      </c>
      <c r="BL53" s="230">
        <v>184925</v>
      </c>
      <c r="BM53" s="230">
        <v>303875</v>
      </c>
      <c r="BN53" s="230">
        <v>-118950</v>
      </c>
      <c r="BO53" s="229">
        <v>-0.39140000000000003</v>
      </c>
      <c r="BP53" s="230">
        <v>1019850</v>
      </c>
      <c r="BQ53" s="230">
        <v>1117025</v>
      </c>
      <c r="BR53" s="230">
        <v>-97175</v>
      </c>
      <c r="BS53" s="229">
        <v>-8.6999999999999994E-2</v>
      </c>
      <c r="BT53" s="230">
        <v>237500</v>
      </c>
      <c r="BU53" s="230">
        <v>70457</v>
      </c>
      <c r="BV53" s="230">
        <v>167043</v>
      </c>
      <c r="BW53" s="229">
        <v>2.3708999999999998</v>
      </c>
      <c r="BX53" s="230">
        <v>2573675</v>
      </c>
      <c r="BY53" s="230">
        <v>2611375</v>
      </c>
      <c r="BZ53" s="230">
        <v>-37700</v>
      </c>
      <c r="CA53" s="229">
        <v>-1.44E-2</v>
      </c>
      <c r="CB53" s="230">
        <v>2484625</v>
      </c>
      <c r="CC53" s="230">
        <v>2552550</v>
      </c>
      <c r="CD53" s="230">
        <v>-67925</v>
      </c>
      <c r="CE53" s="229">
        <v>-2.6599999999999999E-2</v>
      </c>
      <c r="CF53" s="230">
        <v>81900</v>
      </c>
      <c r="CG53" s="230">
        <v>51675</v>
      </c>
      <c r="CH53" s="230">
        <v>30225</v>
      </c>
      <c r="CI53" s="229">
        <v>0.58489999999999998</v>
      </c>
      <c r="CJ53" s="230">
        <v>7150</v>
      </c>
      <c r="CK53" s="230">
        <v>7150</v>
      </c>
      <c r="CL53" s="228">
        <v>0</v>
      </c>
      <c r="CM53" s="229">
        <v>0</v>
      </c>
      <c r="CN53" s="230">
        <v>609700</v>
      </c>
      <c r="CO53" s="230">
        <v>588900</v>
      </c>
      <c r="CP53" s="230">
        <v>20800</v>
      </c>
      <c r="CQ53" s="229">
        <v>3.5299999999999998E-2</v>
      </c>
      <c r="CR53" s="230">
        <v>304850</v>
      </c>
      <c r="CS53" s="230">
        <v>321100</v>
      </c>
      <c r="CT53" s="230">
        <v>-16250</v>
      </c>
      <c r="CU53" s="229">
        <v>-5.0599999999999999E-2</v>
      </c>
      <c r="CV53" s="230">
        <v>3488225</v>
      </c>
      <c r="CW53" s="230">
        <v>3521375</v>
      </c>
      <c r="CX53" s="230">
        <v>-33150</v>
      </c>
      <c r="CY53" s="229">
        <v>-9.4000000000000004E-3</v>
      </c>
      <c r="CZ53" s="228">
        <v>30.45</v>
      </c>
      <c r="DA53" s="228">
        <v>29.83</v>
      </c>
      <c r="DB53" s="228">
        <v>0.62</v>
      </c>
      <c r="DC53" s="228">
        <v>0.62</v>
      </c>
      <c r="DD53" s="228">
        <v>30.14</v>
      </c>
      <c r="DE53" s="228">
        <v>30.21</v>
      </c>
      <c r="DF53" s="228">
        <v>0.31</v>
      </c>
      <c r="DG53" s="228">
        <v>-7.0000000000000007E-2</v>
      </c>
      <c r="DH53" s="228">
        <v>30.31</v>
      </c>
      <c r="DI53" s="228">
        <v>28.67</v>
      </c>
      <c r="DJ53" s="228">
        <v>1.64</v>
      </c>
      <c r="DK53" s="228">
        <v>1.64</v>
      </c>
      <c r="DL53" s="228">
        <v>30.79</v>
      </c>
      <c r="DM53" s="228">
        <v>31.48</v>
      </c>
      <c r="DN53" s="228">
        <v>-0.69</v>
      </c>
      <c r="DO53" s="228">
        <v>-0.69</v>
      </c>
      <c r="DP53" s="228">
        <v>0.5</v>
      </c>
      <c r="DQ53" s="228">
        <v>0.55000000000000004</v>
      </c>
      <c r="DR53" s="228">
        <v>-0.05</v>
      </c>
      <c r="DS53" s="229">
        <v>-9.0899999999999995E-2</v>
      </c>
      <c r="DT53" s="231">
        <v>2300</v>
      </c>
      <c r="DU53" s="231">
        <v>2200</v>
      </c>
      <c r="DV53" s="228">
        <v>0.43</v>
      </c>
      <c r="DW53" s="228">
        <v>0.71</v>
      </c>
      <c r="DX53" s="228">
        <v>-0.28000000000000003</v>
      </c>
      <c r="DY53" s="229">
        <v>-0.39439999999999997</v>
      </c>
      <c r="DZ53" s="229">
        <v>3.4599999999999999E-2</v>
      </c>
      <c r="EA53" s="230">
        <v>58825</v>
      </c>
      <c r="EB53" s="229">
        <v>2.2000000000000001E-3</v>
      </c>
      <c r="EC53" s="229">
        <v>3.4599999999999999E-2</v>
      </c>
      <c r="ED53" s="228">
        <v>8.35</v>
      </c>
      <c r="EE53" s="229">
        <v>3.7000000000000002E-3</v>
      </c>
      <c r="EF53" s="230">
        <v>163822</v>
      </c>
      <c r="EG53" s="230">
        <v>33672</v>
      </c>
      <c r="EH53" s="229">
        <v>3.8652000000000002</v>
      </c>
      <c r="EI53" s="229">
        <v>0.68979999999999997</v>
      </c>
      <c r="EJ53" s="231">
        <v>10146.4</v>
      </c>
      <c r="EK53" s="231">
        <v>4159.53</v>
      </c>
      <c r="EL53" s="231">
        <v>8914.58</v>
      </c>
      <c r="EM53" s="231">
        <v>1444</v>
      </c>
      <c r="EN53" s="231">
        <v>23220.51</v>
      </c>
      <c r="EO53" s="231">
        <v>24942.07</v>
      </c>
      <c r="EP53" s="231">
        <v>-1721.56</v>
      </c>
      <c r="EQ53" s="229">
        <v>-6.9000000000000006E-2</v>
      </c>
      <c r="ER53" s="231">
        <v>14198</v>
      </c>
      <c r="ES53" s="231">
        <v>6721</v>
      </c>
      <c r="ET53" s="231">
        <v>57351</v>
      </c>
      <c r="EU53" s="231">
        <v>12425041</v>
      </c>
      <c r="EV53" s="231">
        <v>78271</v>
      </c>
      <c r="EW53" s="231">
        <v>78814</v>
      </c>
      <c r="EX53" s="228">
        <v>-543</v>
      </c>
      <c r="EY53" s="229">
        <v>-6.8999999999999999E-3</v>
      </c>
      <c r="EZ53" s="229">
        <v>0.28070000000000001</v>
      </c>
      <c r="FA53" s="227" t="s">
        <v>556</v>
      </c>
      <c r="FB53" s="161">
        <f t="shared" si="0"/>
        <v>89050</v>
      </c>
    </row>
    <row r="54" spans="1:158" ht="17.25" hidden="1" thickBot="1" x14ac:dyDescent="0.3">
      <c r="A54" s="226">
        <v>45946</v>
      </c>
      <c r="B54" s="227" t="s">
        <v>615</v>
      </c>
      <c r="C54" s="227" t="s">
        <v>600</v>
      </c>
      <c r="D54" s="228">
        <v>2075</v>
      </c>
      <c r="E54" s="228">
        <v>448.5</v>
      </c>
      <c r="F54" s="228">
        <v>463.2</v>
      </c>
      <c r="G54" s="228">
        <v>-14.7</v>
      </c>
      <c r="H54" s="229">
        <v>-3.1699999999999999E-2</v>
      </c>
      <c r="I54" s="228">
        <v>446.8</v>
      </c>
      <c r="J54" s="228">
        <v>460.75</v>
      </c>
      <c r="K54" s="228">
        <v>-13.95</v>
      </c>
      <c r="L54" s="229">
        <v>-3.0300000000000001E-2</v>
      </c>
      <c r="M54" s="228">
        <v>448.5</v>
      </c>
      <c r="N54" s="228">
        <v>463.2</v>
      </c>
      <c r="O54" s="228">
        <v>-14.7</v>
      </c>
      <c r="P54" s="229">
        <v>-3.1699999999999999E-2</v>
      </c>
      <c r="Q54" s="228">
        <v>451.05</v>
      </c>
      <c r="R54" s="228">
        <v>465.3</v>
      </c>
      <c r="S54" s="228">
        <v>-14.25</v>
      </c>
      <c r="T54" s="229">
        <v>-3.0599999999999999E-2</v>
      </c>
      <c r="U54" s="228">
        <v>453.7</v>
      </c>
      <c r="V54" s="228">
        <v>467</v>
      </c>
      <c r="W54" s="228">
        <v>-13.3</v>
      </c>
      <c r="X54" s="229">
        <v>-2.8500000000000001E-2</v>
      </c>
      <c r="Y54" s="228">
        <v>1.7</v>
      </c>
      <c r="Z54" s="228">
        <v>2.4500000000000002</v>
      </c>
      <c r="AA54" s="228">
        <v>-0.75</v>
      </c>
      <c r="AB54" s="229">
        <v>3.8E-3</v>
      </c>
      <c r="AC54" s="228">
        <v>1.7</v>
      </c>
      <c r="AD54" s="228">
        <v>2.4500000000000002</v>
      </c>
      <c r="AE54" s="228">
        <v>-0.75</v>
      </c>
      <c r="AF54" s="229">
        <v>3.8E-3</v>
      </c>
      <c r="AG54" s="228">
        <v>4.25</v>
      </c>
      <c r="AH54" s="228">
        <v>4.55</v>
      </c>
      <c r="AI54" s="228">
        <v>-0.3</v>
      </c>
      <c r="AJ54" s="229">
        <v>9.4999999999999998E-3</v>
      </c>
      <c r="AK54" s="228">
        <v>6.9</v>
      </c>
      <c r="AL54" s="228">
        <v>6.25</v>
      </c>
      <c r="AM54" s="228">
        <v>0.65</v>
      </c>
      <c r="AN54" s="229">
        <v>1.54E-2</v>
      </c>
      <c r="AO54" s="228">
        <v>453.66</v>
      </c>
      <c r="AP54" s="228">
        <v>457.07</v>
      </c>
      <c r="AQ54" s="228">
        <v>0</v>
      </c>
      <c r="AR54" s="230">
        <v>5899225</v>
      </c>
      <c r="AS54" s="230">
        <v>4316000</v>
      </c>
      <c r="AT54" s="230">
        <v>1583225</v>
      </c>
      <c r="AU54" s="229">
        <v>0.36680000000000001</v>
      </c>
      <c r="AV54" s="230">
        <v>5044325</v>
      </c>
      <c r="AW54" s="230">
        <v>3662375</v>
      </c>
      <c r="AX54" s="230">
        <v>1381950</v>
      </c>
      <c r="AY54" s="229">
        <v>0.37730000000000002</v>
      </c>
      <c r="AZ54" s="230">
        <v>813400</v>
      </c>
      <c r="BA54" s="230">
        <v>643250</v>
      </c>
      <c r="BB54" s="230">
        <v>170150</v>
      </c>
      <c r="BC54" s="229">
        <v>0.26450000000000001</v>
      </c>
      <c r="BD54" s="230">
        <v>41500</v>
      </c>
      <c r="BE54" s="230">
        <v>10375</v>
      </c>
      <c r="BF54" s="230">
        <v>31125</v>
      </c>
      <c r="BG54" s="229">
        <v>3</v>
      </c>
      <c r="BH54" s="230">
        <v>19735325</v>
      </c>
      <c r="BI54" s="230">
        <v>11736200</v>
      </c>
      <c r="BJ54" s="230">
        <v>7999125</v>
      </c>
      <c r="BK54" s="229">
        <v>0.68159999999999998</v>
      </c>
      <c r="BL54" s="230">
        <v>8380925</v>
      </c>
      <c r="BM54" s="230">
        <v>6405525</v>
      </c>
      <c r="BN54" s="230">
        <v>1975400</v>
      </c>
      <c r="BO54" s="229">
        <v>0.30840000000000001</v>
      </c>
      <c r="BP54" s="230">
        <v>34015475</v>
      </c>
      <c r="BQ54" s="230">
        <v>22457725</v>
      </c>
      <c r="BR54" s="230">
        <v>11557750</v>
      </c>
      <c r="BS54" s="229">
        <v>0.51459999999999995</v>
      </c>
      <c r="BT54" s="230">
        <v>2020085</v>
      </c>
      <c r="BU54" s="230">
        <v>2679623</v>
      </c>
      <c r="BV54" s="230">
        <v>-659538</v>
      </c>
      <c r="BW54" s="229">
        <v>-0.24610000000000001</v>
      </c>
      <c r="BX54" s="230">
        <v>19629500</v>
      </c>
      <c r="BY54" s="230">
        <v>20013375</v>
      </c>
      <c r="BZ54" s="230">
        <v>-383875</v>
      </c>
      <c r="CA54" s="229">
        <v>-1.9199999999999998E-2</v>
      </c>
      <c r="CB54" s="230">
        <v>18233025</v>
      </c>
      <c r="CC54" s="230">
        <v>18990400</v>
      </c>
      <c r="CD54" s="230">
        <v>-757375</v>
      </c>
      <c r="CE54" s="229">
        <v>-3.9899999999999998E-2</v>
      </c>
      <c r="CF54" s="230">
        <v>1317625</v>
      </c>
      <c r="CG54" s="230">
        <v>969025</v>
      </c>
      <c r="CH54" s="230">
        <v>348600</v>
      </c>
      <c r="CI54" s="229">
        <v>0.35970000000000002</v>
      </c>
      <c r="CJ54" s="230">
        <v>78850</v>
      </c>
      <c r="CK54" s="230">
        <v>53950</v>
      </c>
      <c r="CL54" s="230">
        <v>24900</v>
      </c>
      <c r="CM54" s="229">
        <v>0.46150000000000002</v>
      </c>
      <c r="CN54" s="230">
        <v>13288300</v>
      </c>
      <c r="CO54" s="230">
        <v>10557600</v>
      </c>
      <c r="CP54" s="230">
        <v>2730700</v>
      </c>
      <c r="CQ54" s="229">
        <v>0.2586</v>
      </c>
      <c r="CR54" s="230">
        <v>5753975</v>
      </c>
      <c r="CS54" s="230">
        <v>5756050</v>
      </c>
      <c r="CT54" s="230">
        <v>-2075</v>
      </c>
      <c r="CU54" s="229">
        <v>-4.0000000000000002E-4</v>
      </c>
      <c r="CV54" s="230">
        <v>38671775</v>
      </c>
      <c r="CW54" s="230">
        <v>36327025</v>
      </c>
      <c r="CX54" s="230">
        <v>2344750</v>
      </c>
      <c r="CY54" s="229">
        <v>6.4500000000000002E-2</v>
      </c>
      <c r="CZ54" s="228">
        <v>30.28</v>
      </c>
      <c r="DA54" s="228">
        <v>29.06</v>
      </c>
      <c r="DB54" s="228">
        <v>1.22</v>
      </c>
      <c r="DC54" s="228">
        <v>1.22</v>
      </c>
      <c r="DD54" s="228">
        <v>40.76</v>
      </c>
      <c r="DE54" s="228">
        <v>40.619999999999997</v>
      </c>
      <c r="DF54" s="228">
        <v>-10.48</v>
      </c>
      <c r="DG54" s="228">
        <v>0.14000000000000001</v>
      </c>
      <c r="DH54" s="228">
        <v>31.13</v>
      </c>
      <c r="DI54" s="228">
        <v>29.55</v>
      </c>
      <c r="DJ54" s="228">
        <v>1.58</v>
      </c>
      <c r="DK54" s="228">
        <v>1.58</v>
      </c>
      <c r="DL54" s="228">
        <v>28.29</v>
      </c>
      <c r="DM54" s="228">
        <v>28.16</v>
      </c>
      <c r="DN54" s="228">
        <v>0.13</v>
      </c>
      <c r="DO54" s="228">
        <v>0.13</v>
      </c>
      <c r="DP54" s="228">
        <v>0.43</v>
      </c>
      <c r="DQ54" s="228">
        <v>0.55000000000000004</v>
      </c>
      <c r="DR54" s="228">
        <v>-0.12</v>
      </c>
      <c r="DS54" s="229">
        <v>-0.21820000000000001</v>
      </c>
      <c r="DT54" s="228">
        <v>480</v>
      </c>
      <c r="DU54" s="228">
        <v>470</v>
      </c>
      <c r="DV54" s="228">
        <v>0.42</v>
      </c>
      <c r="DW54" s="228">
        <v>0.55000000000000004</v>
      </c>
      <c r="DX54" s="228">
        <v>-0.13</v>
      </c>
      <c r="DY54" s="229">
        <v>-0.2364</v>
      </c>
      <c r="DZ54" s="229">
        <v>7.1099999999999997E-2</v>
      </c>
      <c r="EA54" s="230">
        <v>1022975</v>
      </c>
      <c r="EB54" s="229">
        <v>5.7000000000000002E-3</v>
      </c>
      <c r="EC54" s="229">
        <v>7.1099999999999997E-2</v>
      </c>
      <c r="ED54" s="228">
        <v>3.41</v>
      </c>
      <c r="EE54" s="229">
        <v>7.4999999999999997E-3</v>
      </c>
      <c r="EF54" s="230">
        <v>920983</v>
      </c>
      <c r="EG54" s="230">
        <v>1526447</v>
      </c>
      <c r="EH54" s="229">
        <v>-0.39660000000000001</v>
      </c>
      <c r="EI54" s="229">
        <v>0.45590000000000003</v>
      </c>
      <c r="EJ54" s="231">
        <v>94183.07</v>
      </c>
      <c r="EK54" s="231">
        <v>38399.9</v>
      </c>
      <c r="EL54" s="231">
        <v>26792.03</v>
      </c>
      <c r="EM54" s="231">
        <v>1854</v>
      </c>
      <c r="EN54" s="231">
        <v>159375</v>
      </c>
      <c r="EO54" s="231">
        <v>106741.54</v>
      </c>
      <c r="EP54" s="231">
        <v>52633.46</v>
      </c>
      <c r="EQ54" s="229">
        <v>0.49309999999999998</v>
      </c>
      <c r="ER54" s="231">
        <v>63870</v>
      </c>
      <c r="ES54" s="231">
        <v>25619</v>
      </c>
      <c r="ET54" s="231">
        <v>88076</v>
      </c>
      <c r="EU54" s="231">
        <v>94196226</v>
      </c>
      <c r="EV54" s="231">
        <v>177565</v>
      </c>
      <c r="EW54" s="231">
        <v>169402</v>
      </c>
      <c r="EX54" s="231">
        <v>8163</v>
      </c>
      <c r="EY54" s="229">
        <v>4.82E-2</v>
      </c>
      <c r="EZ54" s="229">
        <v>0.41049999999999998</v>
      </c>
      <c r="FA54" s="227" t="s">
        <v>568</v>
      </c>
      <c r="FB54" s="161">
        <f t="shared" si="0"/>
        <v>1396475</v>
      </c>
    </row>
    <row r="55" spans="1:158" ht="17.25" hidden="1" thickBot="1" x14ac:dyDescent="0.3">
      <c r="A55" s="226">
        <v>45946</v>
      </c>
      <c r="B55" s="227" t="s">
        <v>170</v>
      </c>
      <c r="C55" s="227" t="s">
        <v>205</v>
      </c>
      <c r="D55" s="228">
        <v>100</v>
      </c>
      <c r="E55" s="231">
        <v>6615</v>
      </c>
      <c r="F55" s="231">
        <v>6582</v>
      </c>
      <c r="G55" s="228">
        <v>33</v>
      </c>
      <c r="H55" s="229">
        <v>5.0000000000000001E-3</v>
      </c>
      <c r="I55" s="231">
        <v>6600.5</v>
      </c>
      <c r="J55" s="231">
        <v>6573</v>
      </c>
      <c r="K55" s="228">
        <v>27.5</v>
      </c>
      <c r="L55" s="229">
        <v>4.1999999999999997E-3</v>
      </c>
      <c r="M55" s="231">
        <v>6615</v>
      </c>
      <c r="N55" s="231">
        <v>6582</v>
      </c>
      <c r="O55" s="228">
        <v>33</v>
      </c>
      <c r="P55" s="229">
        <v>5.0000000000000001E-3</v>
      </c>
      <c r="Q55" s="231">
        <v>6652.5</v>
      </c>
      <c r="R55" s="231">
        <v>6618.5</v>
      </c>
      <c r="S55" s="228">
        <v>34</v>
      </c>
      <c r="T55" s="229">
        <v>5.1000000000000004E-3</v>
      </c>
      <c r="U55" s="231">
        <v>6694</v>
      </c>
      <c r="V55" s="231">
        <v>6647.5</v>
      </c>
      <c r="W55" s="228">
        <v>46.5</v>
      </c>
      <c r="X55" s="229">
        <v>7.0000000000000001E-3</v>
      </c>
      <c r="Y55" s="228">
        <v>14.5</v>
      </c>
      <c r="Z55" s="228">
        <v>9</v>
      </c>
      <c r="AA55" s="228">
        <v>5.5</v>
      </c>
      <c r="AB55" s="229">
        <v>2.2000000000000001E-3</v>
      </c>
      <c r="AC55" s="228">
        <v>14.5</v>
      </c>
      <c r="AD55" s="228">
        <v>9</v>
      </c>
      <c r="AE55" s="228">
        <v>5.5</v>
      </c>
      <c r="AF55" s="229">
        <v>2.2000000000000001E-3</v>
      </c>
      <c r="AG55" s="228">
        <v>52</v>
      </c>
      <c r="AH55" s="228">
        <v>45.5</v>
      </c>
      <c r="AI55" s="228">
        <v>6.5</v>
      </c>
      <c r="AJ55" s="229">
        <v>7.9000000000000008E-3</v>
      </c>
      <c r="AK55" s="228">
        <v>93.5</v>
      </c>
      <c r="AL55" s="228">
        <v>74.5</v>
      </c>
      <c r="AM55" s="228">
        <v>19</v>
      </c>
      <c r="AN55" s="229">
        <v>1.4200000000000001E-2</v>
      </c>
      <c r="AO55" s="231">
        <v>6610.1</v>
      </c>
      <c r="AP55" s="231">
        <v>6643.6</v>
      </c>
      <c r="AQ55" s="228">
        <v>0</v>
      </c>
      <c r="AR55" s="230">
        <v>434300</v>
      </c>
      <c r="AS55" s="230">
        <v>496100</v>
      </c>
      <c r="AT55" s="230">
        <v>-61800</v>
      </c>
      <c r="AU55" s="229">
        <v>-0.1246</v>
      </c>
      <c r="AV55" s="230">
        <v>380200</v>
      </c>
      <c r="AW55" s="230">
        <v>398000</v>
      </c>
      <c r="AX55" s="230">
        <v>-17800</v>
      </c>
      <c r="AY55" s="229">
        <v>-4.4699999999999997E-2</v>
      </c>
      <c r="AZ55" s="230">
        <v>50000</v>
      </c>
      <c r="BA55" s="230">
        <v>95800</v>
      </c>
      <c r="BB55" s="230">
        <v>-45800</v>
      </c>
      <c r="BC55" s="229">
        <v>-0.47810000000000002</v>
      </c>
      <c r="BD55" s="230">
        <v>4100</v>
      </c>
      <c r="BE55" s="230">
        <v>2300</v>
      </c>
      <c r="BF55" s="230">
        <v>1800</v>
      </c>
      <c r="BG55" s="229">
        <v>0.78259999999999996</v>
      </c>
      <c r="BH55" s="230">
        <v>2739700</v>
      </c>
      <c r="BI55" s="230">
        <v>1713200</v>
      </c>
      <c r="BJ55" s="230">
        <v>1026500</v>
      </c>
      <c r="BK55" s="229">
        <v>0.59919999999999995</v>
      </c>
      <c r="BL55" s="230">
        <v>1628900</v>
      </c>
      <c r="BM55" s="230">
        <v>1203600</v>
      </c>
      <c r="BN55" s="230">
        <v>425300</v>
      </c>
      <c r="BO55" s="229">
        <v>0.35339999999999999</v>
      </c>
      <c r="BP55" s="230">
        <v>4802900</v>
      </c>
      <c r="BQ55" s="230">
        <v>3412900</v>
      </c>
      <c r="BR55" s="230">
        <v>1390000</v>
      </c>
      <c r="BS55" s="229">
        <v>0.4073</v>
      </c>
      <c r="BT55" s="230">
        <v>343295</v>
      </c>
      <c r="BU55" s="230">
        <v>465979</v>
      </c>
      <c r="BV55" s="230">
        <v>-122684</v>
      </c>
      <c r="BW55" s="229">
        <v>-0.26329999999999998</v>
      </c>
      <c r="BX55" s="230">
        <v>2774200</v>
      </c>
      <c r="BY55" s="230">
        <v>2812700</v>
      </c>
      <c r="BZ55" s="230">
        <v>-38500</v>
      </c>
      <c r="CA55" s="229">
        <v>-1.37E-2</v>
      </c>
      <c r="CB55" s="230">
        <v>2611500</v>
      </c>
      <c r="CC55" s="230">
        <v>2653600</v>
      </c>
      <c r="CD55" s="230">
        <v>-42100</v>
      </c>
      <c r="CE55" s="229">
        <v>-1.5900000000000001E-2</v>
      </c>
      <c r="CF55" s="230">
        <v>150200</v>
      </c>
      <c r="CG55" s="230">
        <v>146600</v>
      </c>
      <c r="CH55" s="230">
        <v>3600</v>
      </c>
      <c r="CI55" s="229">
        <v>2.46E-2</v>
      </c>
      <c r="CJ55" s="230">
        <v>12500</v>
      </c>
      <c r="CK55" s="230">
        <v>12500</v>
      </c>
      <c r="CL55" s="228">
        <v>0</v>
      </c>
      <c r="CM55" s="229">
        <v>0</v>
      </c>
      <c r="CN55" s="230">
        <v>1751600</v>
      </c>
      <c r="CO55" s="230">
        <v>1663300</v>
      </c>
      <c r="CP55" s="230">
        <v>88300</v>
      </c>
      <c r="CQ55" s="229">
        <v>5.3100000000000001E-2</v>
      </c>
      <c r="CR55" s="230">
        <v>1731200</v>
      </c>
      <c r="CS55" s="230">
        <v>1750900</v>
      </c>
      <c r="CT55" s="230">
        <v>-19700</v>
      </c>
      <c r="CU55" s="229">
        <v>-1.1299999999999999E-2</v>
      </c>
      <c r="CV55" s="230">
        <v>6257000</v>
      </c>
      <c r="CW55" s="230">
        <v>6226900</v>
      </c>
      <c r="CX55" s="230">
        <v>30100</v>
      </c>
      <c r="CY55" s="229">
        <v>4.7999999999999996E-3</v>
      </c>
      <c r="CZ55" s="228">
        <v>26.78</v>
      </c>
      <c r="DA55" s="228">
        <v>27.33</v>
      </c>
      <c r="DB55" s="228">
        <v>-0.55000000000000004</v>
      </c>
      <c r="DC55" s="228">
        <v>-0.55000000000000004</v>
      </c>
      <c r="DD55" s="228">
        <v>32.17</v>
      </c>
      <c r="DE55" s="228">
        <v>32.25</v>
      </c>
      <c r="DF55" s="228">
        <v>-5.39</v>
      </c>
      <c r="DG55" s="228">
        <v>-0.08</v>
      </c>
      <c r="DH55" s="228">
        <v>25.29</v>
      </c>
      <c r="DI55" s="228">
        <v>25.39</v>
      </c>
      <c r="DJ55" s="228">
        <v>-0.1</v>
      </c>
      <c r="DK55" s="228">
        <v>-0.1</v>
      </c>
      <c r="DL55" s="228">
        <v>29.29</v>
      </c>
      <c r="DM55" s="228">
        <v>30.1</v>
      </c>
      <c r="DN55" s="228">
        <v>-0.81</v>
      </c>
      <c r="DO55" s="228">
        <v>-0.81</v>
      </c>
      <c r="DP55" s="228">
        <v>0.99</v>
      </c>
      <c r="DQ55" s="228">
        <v>1.05</v>
      </c>
      <c r="DR55" s="228">
        <v>-0.06</v>
      </c>
      <c r="DS55" s="229">
        <v>-5.7099999999999998E-2</v>
      </c>
      <c r="DT55" s="231">
        <v>6600</v>
      </c>
      <c r="DU55" s="231">
        <v>6000</v>
      </c>
      <c r="DV55" s="228">
        <v>0.59</v>
      </c>
      <c r="DW55" s="228">
        <v>0.7</v>
      </c>
      <c r="DX55" s="228">
        <v>-0.11</v>
      </c>
      <c r="DY55" s="229">
        <v>-0.15709999999999999</v>
      </c>
      <c r="DZ55" s="229">
        <v>5.8599999999999999E-2</v>
      </c>
      <c r="EA55" s="230">
        <v>159100</v>
      </c>
      <c r="EB55" s="229">
        <v>5.7000000000000002E-3</v>
      </c>
      <c r="EC55" s="229">
        <v>5.8599999999999999E-2</v>
      </c>
      <c r="ED55" s="228">
        <v>33.5</v>
      </c>
      <c r="EE55" s="229">
        <v>5.1000000000000004E-3</v>
      </c>
      <c r="EF55" s="230">
        <v>186472</v>
      </c>
      <c r="EG55" s="230">
        <v>300589</v>
      </c>
      <c r="EH55" s="229">
        <v>-0.37959999999999999</v>
      </c>
      <c r="EI55" s="229">
        <v>0.54320000000000002</v>
      </c>
      <c r="EJ55" s="231">
        <v>186489.17</v>
      </c>
      <c r="EK55" s="231">
        <v>103759.58</v>
      </c>
      <c r="EL55" s="231">
        <v>28727.599999999999</v>
      </c>
      <c r="EM55" s="231">
        <v>6661</v>
      </c>
      <c r="EN55" s="231">
        <v>318976.34999999998</v>
      </c>
      <c r="EO55" s="231">
        <v>225755.33</v>
      </c>
      <c r="EP55" s="231">
        <v>93221.02</v>
      </c>
      <c r="EQ55" s="229">
        <v>0.41289999999999999</v>
      </c>
      <c r="ER55" s="231">
        <v>116719</v>
      </c>
      <c r="ES55" s="231">
        <v>105547</v>
      </c>
      <c r="ET55" s="231">
        <v>183580</v>
      </c>
      <c r="EU55" s="231">
        <v>16353614</v>
      </c>
      <c r="EV55" s="231">
        <v>405845</v>
      </c>
      <c r="EW55" s="231">
        <v>402464</v>
      </c>
      <c r="EX55" s="231">
        <v>3381</v>
      </c>
      <c r="EY55" s="229">
        <v>8.3999999999999995E-3</v>
      </c>
      <c r="EZ55" s="229">
        <v>0.3826</v>
      </c>
      <c r="FA55" s="227" t="s">
        <v>556</v>
      </c>
      <c r="FB55" s="161">
        <f t="shared" si="0"/>
        <v>162700</v>
      </c>
    </row>
    <row r="56" spans="1:158" ht="17.25" hidden="1" thickBot="1" x14ac:dyDescent="0.3">
      <c r="A56" s="226">
        <v>45946</v>
      </c>
      <c r="B56" s="227" t="s">
        <v>184</v>
      </c>
      <c r="C56" s="227" t="s">
        <v>512</v>
      </c>
      <c r="D56" s="228">
        <v>50</v>
      </c>
      <c r="E56" s="231">
        <v>16911</v>
      </c>
      <c r="F56" s="231">
        <v>16848</v>
      </c>
      <c r="G56" s="228">
        <v>63</v>
      </c>
      <c r="H56" s="229">
        <v>3.7000000000000002E-3</v>
      </c>
      <c r="I56" s="231">
        <v>16844</v>
      </c>
      <c r="J56" s="231">
        <v>16777</v>
      </c>
      <c r="K56" s="228">
        <v>67</v>
      </c>
      <c r="L56" s="229">
        <v>4.0000000000000001E-3</v>
      </c>
      <c r="M56" s="231">
        <v>16911</v>
      </c>
      <c r="N56" s="231">
        <v>16848</v>
      </c>
      <c r="O56" s="228">
        <v>63</v>
      </c>
      <c r="P56" s="229">
        <v>3.7000000000000002E-3</v>
      </c>
      <c r="Q56" s="231">
        <v>17003</v>
      </c>
      <c r="R56" s="231">
        <v>16934</v>
      </c>
      <c r="S56" s="228">
        <v>69</v>
      </c>
      <c r="T56" s="229">
        <v>4.1000000000000003E-3</v>
      </c>
      <c r="U56" s="231">
        <v>17092</v>
      </c>
      <c r="V56" s="231">
        <v>17040</v>
      </c>
      <c r="W56" s="228">
        <v>52</v>
      </c>
      <c r="X56" s="229">
        <v>3.0999999999999999E-3</v>
      </c>
      <c r="Y56" s="228">
        <v>67</v>
      </c>
      <c r="Z56" s="228">
        <v>71</v>
      </c>
      <c r="AA56" s="228">
        <v>-4</v>
      </c>
      <c r="AB56" s="229">
        <v>4.0000000000000001E-3</v>
      </c>
      <c r="AC56" s="228">
        <v>67</v>
      </c>
      <c r="AD56" s="228">
        <v>71</v>
      </c>
      <c r="AE56" s="228">
        <v>-4</v>
      </c>
      <c r="AF56" s="229">
        <v>4.0000000000000001E-3</v>
      </c>
      <c r="AG56" s="228">
        <v>159</v>
      </c>
      <c r="AH56" s="228">
        <v>157</v>
      </c>
      <c r="AI56" s="228">
        <v>2</v>
      </c>
      <c r="AJ56" s="229">
        <v>9.4000000000000004E-3</v>
      </c>
      <c r="AK56" s="228">
        <v>248</v>
      </c>
      <c r="AL56" s="228">
        <v>263</v>
      </c>
      <c r="AM56" s="228">
        <v>-15</v>
      </c>
      <c r="AN56" s="229">
        <v>1.47E-2</v>
      </c>
      <c r="AO56" s="231">
        <v>16847.71</v>
      </c>
      <c r="AP56" s="231">
        <v>16949.009999999998</v>
      </c>
      <c r="AQ56" s="228">
        <v>0</v>
      </c>
      <c r="AR56" s="230">
        <v>370850</v>
      </c>
      <c r="AS56" s="230">
        <v>454150</v>
      </c>
      <c r="AT56" s="230">
        <v>-83300</v>
      </c>
      <c r="AU56" s="229">
        <v>-0.18340000000000001</v>
      </c>
      <c r="AV56" s="230">
        <v>309750</v>
      </c>
      <c r="AW56" s="230">
        <v>402550</v>
      </c>
      <c r="AX56" s="230">
        <v>-92800</v>
      </c>
      <c r="AY56" s="229">
        <v>-0.23050000000000001</v>
      </c>
      <c r="AZ56" s="230">
        <v>56050</v>
      </c>
      <c r="BA56" s="230">
        <v>44450</v>
      </c>
      <c r="BB56" s="230">
        <v>11600</v>
      </c>
      <c r="BC56" s="229">
        <v>0.26100000000000001</v>
      </c>
      <c r="BD56" s="230">
        <v>5050</v>
      </c>
      <c r="BE56" s="230">
        <v>7150</v>
      </c>
      <c r="BF56" s="230">
        <v>-2100</v>
      </c>
      <c r="BG56" s="229">
        <v>-0.29370000000000002</v>
      </c>
      <c r="BH56" s="230">
        <v>1617150</v>
      </c>
      <c r="BI56" s="230">
        <v>2720200</v>
      </c>
      <c r="BJ56" s="230">
        <v>-1103050</v>
      </c>
      <c r="BK56" s="229">
        <v>-0.40550000000000003</v>
      </c>
      <c r="BL56" s="230">
        <v>884350</v>
      </c>
      <c r="BM56" s="230">
        <v>1448200</v>
      </c>
      <c r="BN56" s="230">
        <v>-563850</v>
      </c>
      <c r="BO56" s="229">
        <v>-0.38929999999999998</v>
      </c>
      <c r="BP56" s="230">
        <v>2872350</v>
      </c>
      <c r="BQ56" s="230">
        <v>4622550</v>
      </c>
      <c r="BR56" s="230">
        <v>-1750200</v>
      </c>
      <c r="BS56" s="229">
        <v>-0.37859999999999999</v>
      </c>
      <c r="BT56" s="230">
        <v>175986</v>
      </c>
      <c r="BU56" s="230">
        <v>227754</v>
      </c>
      <c r="BV56" s="230">
        <v>-51768</v>
      </c>
      <c r="BW56" s="229">
        <v>-0.2273</v>
      </c>
      <c r="BX56" s="230">
        <v>1528600</v>
      </c>
      <c r="BY56" s="230">
        <v>1522200</v>
      </c>
      <c r="BZ56" s="230">
        <v>6400</v>
      </c>
      <c r="CA56" s="229">
        <v>4.1999999999999997E-3</v>
      </c>
      <c r="CB56" s="230">
        <v>1400950</v>
      </c>
      <c r="CC56" s="230">
        <v>1407700</v>
      </c>
      <c r="CD56" s="230">
        <v>-6750</v>
      </c>
      <c r="CE56" s="229">
        <v>-4.7999999999999996E-3</v>
      </c>
      <c r="CF56" s="230">
        <v>114100</v>
      </c>
      <c r="CG56" s="230">
        <v>101300</v>
      </c>
      <c r="CH56" s="230">
        <v>12800</v>
      </c>
      <c r="CI56" s="229">
        <v>0.12640000000000001</v>
      </c>
      <c r="CJ56" s="230">
        <v>13550</v>
      </c>
      <c r="CK56" s="230">
        <v>13200</v>
      </c>
      <c r="CL56" s="228">
        <v>350</v>
      </c>
      <c r="CM56" s="229">
        <v>2.6499999999999999E-2</v>
      </c>
      <c r="CN56" s="230">
        <v>1236750</v>
      </c>
      <c r="CO56" s="230">
        <v>1239550</v>
      </c>
      <c r="CP56" s="230">
        <v>-2800</v>
      </c>
      <c r="CQ56" s="229">
        <v>-2.3E-3</v>
      </c>
      <c r="CR56" s="230">
        <v>813350</v>
      </c>
      <c r="CS56" s="230">
        <v>791250</v>
      </c>
      <c r="CT56" s="230">
        <v>22100</v>
      </c>
      <c r="CU56" s="229">
        <v>2.7900000000000001E-2</v>
      </c>
      <c r="CV56" s="230">
        <v>3578700</v>
      </c>
      <c r="CW56" s="230">
        <v>3553000</v>
      </c>
      <c r="CX56" s="230">
        <v>25700</v>
      </c>
      <c r="CY56" s="229">
        <v>7.1999999999999998E-3</v>
      </c>
      <c r="CZ56" s="228">
        <v>38.03</v>
      </c>
      <c r="DA56" s="228">
        <v>38.72</v>
      </c>
      <c r="DB56" s="228">
        <v>-0.69</v>
      </c>
      <c r="DC56" s="228">
        <v>-0.69</v>
      </c>
      <c r="DD56" s="228">
        <v>45.1</v>
      </c>
      <c r="DE56" s="228">
        <v>45.21</v>
      </c>
      <c r="DF56" s="228">
        <v>-7.07</v>
      </c>
      <c r="DG56" s="228">
        <v>-0.11</v>
      </c>
      <c r="DH56" s="228">
        <v>37.4</v>
      </c>
      <c r="DI56" s="228">
        <v>38.11</v>
      </c>
      <c r="DJ56" s="228">
        <v>-0.71</v>
      </c>
      <c r="DK56" s="228">
        <v>-0.71</v>
      </c>
      <c r="DL56" s="228">
        <v>39.18</v>
      </c>
      <c r="DM56" s="228">
        <v>39.86</v>
      </c>
      <c r="DN56" s="228">
        <v>-0.68</v>
      </c>
      <c r="DO56" s="228">
        <v>-0.68</v>
      </c>
      <c r="DP56" s="228">
        <v>0.66</v>
      </c>
      <c r="DQ56" s="228">
        <v>0.64</v>
      </c>
      <c r="DR56" s="228">
        <v>0.02</v>
      </c>
      <c r="DS56" s="229">
        <v>3.1300000000000001E-2</v>
      </c>
      <c r="DT56" s="231">
        <v>17000</v>
      </c>
      <c r="DU56" s="231">
        <v>16500</v>
      </c>
      <c r="DV56" s="228">
        <v>0.55000000000000004</v>
      </c>
      <c r="DW56" s="228">
        <v>0.53</v>
      </c>
      <c r="DX56" s="228">
        <v>0.02</v>
      </c>
      <c r="DY56" s="229">
        <v>3.7699999999999997E-2</v>
      </c>
      <c r="DZ56" s="229">
        <v>8.3500000000000005E-2</v>
      </c>
      <c r="EA56" s="230">
        <v>114500</v>
      </c>
      <c r="EB56" s="229">
        <v>5.4000000000000003E-3</v>
      </c>
      <c r="EC56" s="229">
        <v>8.3500000000000005E-2</v>
      </c>
      <c r="ED56" s="228">
        <v>101.3</v>
      </c>
      <c r="EE56" s="229">
        <v>6.0000000000000001E-3</v>
      </c>
      <c r="EF56" s="230">
        <v>62981</v>
      </c>
      <c r="EG56" s="230">
        <v>72580</v>
      </c>
      <c r="EH56" s="229">
        <v>-0.1323</v>
      </c>
      <c r="EI56" s="229">
        <v>0.3579</v>
      </c>
      <c r="EJ56" s="231">
        <v>287639.53999999998</v>
      </c>
      <c r="EK56" s="231">
        <v>144691.67000000001</v>
      </c>
      <c r="EL56" s="231">
        <v>62546.52</v>
      </c>
      <c r="EM56" s="231">
        <v>8517</v>
      </c>
      <c r="EN56" s="231">
        <v>494877.73</v>
      </c>
      <c r="EO56" s="231">
        <v>794926.46</v>
      </c>
      <c r="EP56" s="231">
        <v>-300048.73</v>
      </c>
      <c r="EQ56" s="229">
        <v>-0.3775</v>
      </c>
      <c r="ER56" s="231">
        <v>222523</v>
      </c>
      <c r="ES56" s="231">
        <v>131223</v>
      </c>
      <c r="ET56" s="231">
        <v>258631</v>
      </c>
      <c r="EU56" s="231">
        <v>6445442</v>
      </c>
      <c r="EV56" s="231">
        <v>612378</v>
      </c>
      <c r="EW56" s="231">
        <v>607031</v>
      </c>
      <c r="EX56" s="231">
        <v>5347</v>
      </c>
      <c r="EY56" s="229">
        <v>8.8000000000000005E-3</v>
      </c>
      <c r="EZ56" s="229">
        <v>0.55520000000000003</v>
      </c>
      <c r="FA56" s="227" t="s">
        <v>555</v>
      </c>
      <c r="FB56" s="161">
        <f t="shared" si="0"/>
        <v>127650</v>
      </c>
    </row>
    <row r="57" spans="1:158" ht="17.25" hidden="1" thickBot="1" x14ac:dyDescent="0.3">
      <c r="A57" s="226">
        <v>45946</v>
      </c>
      <c r="B57" s="227" t="s">
        <v>206</v>
      </c>
      <c r="C57" s="227" t="s">
        <v>207</v>
      </c>
      <c r="D57" s="228">
        <v>825</v>
      </c>
      <c r="E57" s="228">
        <v>770.7</v>
      </c>
      <c r="F57" s="228">
        <v>757.65</v>
      </c>
      <c r="G57" s="228">
        <v>13.05</v>
      </c>
      <c r="H57" s="229">
        <v>1.72E-2</v>
      </c>
      <c r="I57" s="228">
        <v>769.7</v>
      </c>
      <c r="J57" s="228">
        <v>756.3</v>
      </c>
      <c r="K57" s="228">
        <v>13.4</v>
      </c>
      <c r="L57" s="229">
        <v>1.77E-2</v>
      </c>
      <c r="M57" s="228">
        <v>770.7</v>
      </c>
      <c r="N57" s="228">
        <v>757.65</v>
      </c>
      <c r="O57" s="228">
        <v>13.05</v>
      </c>
      <c r="P57" s="229">
        <v>1.72E-2</v>
      </c>
      <c r="Q57" s="228">
        <v>774.65</v>
      </c>
      <c r="R57" s="228">
        <v>761.8</v>
      </c>
      <c r="S57" s="228">
        <v>12.85</v>
      </c>
      <c r="T57" s="229">
        <v>1.6899999999999998E-2</v>
      </c>
      <c r="U57" s="228">
        <v>778.85</v>
      </c>
      <c r="V57" s="228">
        <v>766</v>
      </c>
      <c r="W57" s="228">
        <v>12.85</v>
      </c>
      <c r="X57" s="229">
        <v>1.6799999999999999E-2</v>
      </c>
      <c r="Y57" s="228">
        <v>1</v>
      </c>
      <c r="Z57" s="228">
        <v>1.35</v>
      </c>
      <c r="AA57" s="228">
        <v>-0.35</v>
      </c>
      <c r="AB57" s="229">
        <v>1.2999999999999999E-3</v>
      </c>
      <c r="AC57" s="228">
        <v>1</v>
      </c>
      <c r="AD57" s="228">
        <v>1.35</v>
      </c>
      <c r="AE57" s="228">
        <v>-0.35</v>
      </c>
      <c r="AF57" s="229">
        <v>1.2999999999999999E-3</v>
      </c>
      <c r="AG57" s="228">
        <v>4.95</v>
      </c>
      <c r="AH57" s="228">
        <v>5.5</v>
      </c>
      <c r="AI57" s="228">
        <v>-0.55000000000000004</v>
      </c>
      <c r="AJ57" s="229">
        <v>6.4000000000000003E-3</v>
      </c>
      <c r="AK57" s="228">
        <v>9.15</v>
      </c>
      <c r="AL57" s="228">
        <v>9.6999999999999993</v>
      </c>
      <c r="AM57" s="228">
        <v>-0.55000000000000004</v>
      </c>
      <c r="AN57" s="229">
        <v>1.1900000000000001E-2</v>
      </c>
      <c r="AO57" s="228">
        <v>767.33</v>
      </c>
      <c r="AP57" s="228">
        <v>770.53</v>
      </c>
      <c r="AQ57" s="228">
        <v>0</v>
      </c>
      <c r="AR57" s="230">
        <v>6753450</v>
      </c>
      <c r="AS57" s="230">
        <v>9698700</v>
      </c>
      <c r="AT57" s="230">
        <v>-2945250</v>
      </c>
      <c r="AU57" s="229">
        <v>-0.30370000000000003</v>
      </c>
      <c r="AV57" s="230">
        <v>6034050</v>
      </c>
      <c r="AW57" s="230">
        <v>8938875</v>
      </c>
      <c r="AX57" s="230">
        <v>-2904825</v>
      </c>
      <c r="AY57" s="229">
        <v>-0.32500000000000001</v>
      </c>
      <c r="AZ57" s="230">
        <v>648450</v>
      </c>
      <c r="BA57" s="230">
        <v>678975</v>
      </c>
      <c r="BB57" s="230">
        <v>-30525</v>
      </c>
      <c r="BC57" s="229">
        <v>-4.4999999999999998E-2</v>
      </c>
      <c r="BD57" s="230">
        <v>70950</v>
      </c>
      <c r="BE57" s="230">
        <v>80850</v>
      </c>
      <c r="BF57" s="230">
        <v>-9900</v>
      </c>
      <c r="BG57" s="229">
        <v>-0.12239999999999999</v>
      </c>
      <c r="BH57" s="230">
        <v>25748250</v>
      </c>
      <c r="BI57" s="230">
        <v>40008375</v>
      </c>
      <c r="BJ57" s="230">
        <v>-14260125</v>
      </c>
      <c r="BK57" s="229">
        <v>-0.35639999999999999</v>
      </c>
      <c r="BL57" s="230">
        <v>10617750</v>
      </c>
      <c r="BM57" s="230">
        <v>18012225</v>
      </c>
      <c r="BN57" s="230">
        <v>-7394475</v>
      </c>
      <c r="BO57" s="229">
        <v>-0.41049999999999998</v>
      </c>
      <c r="BP57" s="230">
        <v>43119450</v>
      </c>
      <c r="BQ57" s="230">
        <v>67719300</v>
      </c>
      <c r="BR57" s="230">
        <v>-24599850</v>
      </c>
      <c r="BS57" s="229">
        <v>-0.36330000000000001</v>
      </c>
      <c r="BT57" s="230">
        <v>2645930</v>
      </c>
      <c r="BU57" s="230">
        <v>3459198</v>
      </c>
      <c r="BV57" s="230">
        <v>-813268</v>
      </c>
      <c r="BW57" s="229">
        <v>-0.2351</v>
      </c>
      <c r="BX57" s="230">
        <v>38159550</v>
      </c>
      <c r="BY57" s="230">
        <v>39086850</v>
      </c>
      <c r="BZ57" s="230">
        <v>-927300</v>
      </c>
      <c r="CA57" s="229">
        <v>-2.3699999999999999E-2</v>
      </c>
      <c r="CB57" s="230">
        <v>36464175</v>
      </c>
      <c r="CC57" s="230">
        <v>37494600</v>
      </c>
      <c r="CD57" s="230">
        <v>-1030425</v>
      </c>
      <c r="CE57" s="229">
        <v>-2.75E-2</v>
      </c>
      <c r="CF57" s="230">
        <v>1592250</v>
      </c>
      <c r="CG57" s="230">
        <v>1512225</v>
      </c>
      <c r="CH57" s="230">
        <v>80025</v>
      </c>
      <c r="CI57" s="229">
        <v>5.2900000000000003E-2</v>
      </c>
      <c r="CJ57" s="230">
        <v>103125</v>
      </c>
      <c r="CK57" s="230">
        <v>80025</v>
      </c>
      <c r="CL57" s="230">
        <v>23100</v>
      </c>
      <c r="CM57" s="229">
        <v>0.28870000000000001</v>
      </c>
      <c r="CN57" s="230">
        <v>14650350</v>
      </c>
      <c r="CO57" s="230">
        <v>14911050</v>
      </c>
      <c r="CP57" s="230">
        <v>-260700</v>
      </c>
      <c r="CQ57" s="229">
        <v>-1.7500000000000002E-2</v>
      </c>
      <c r="CR57" s="230">
        <v>10277850</v>
      </c>
      <c r="CS57" s="230">
        <v>10263825</v>
      </c>
      <c r="CT57" s="230">
        <v>14025</v>
      </c>
      <c r="CU57" s="229">
        <v>1.4E-3</v>
      </c>
      <c r="CV57" s="230">
        <v>63087750</v>
      </c>
      <c r="CW57" s="230">
        <v>64261725</v>
      </c>
      <c r="CX57" s="230">
        <v>-1173975</v>
      </c>
      <c r="CY57" s="229">
        <v>-1.83E-2</v>
      </c>
      <c r="CZ57" s="228">
        <v>24.99</v>
      </c>
      <c r="DA57" s="228">
        <v>26.33</v>
      </c>
      <c r="DB57" s="228">
        <v>-1.34</v>
      </c>
      <c r="DC57" s="228">
        <v>-1.34</v>
      </c>
      <c r="DD57" s="228">
        <v>36.99</v>
      </c>
      <c r="DE57" s="228">
        <v>37.01</v>
      </c>
      <c r="DF57" s="228">
        <v>-12</v>
      </c>
      <c r="DG57" s="228">
        <v>-0.02</v>
      </c>
      <c r="DH57" s="228">
        <v>24.43</v>
      </c>
      <c r="DI57" s="228">
        <v>26.21</v>
      </c>
      <c r="DJ57" s="228">
        <v>-1.78</v>
      </c>
      <c r="DK57" s="228">
        <v>-1.78</v>
      </c>
      <c r="DL57" s="228">
        <v>26.34</v>
      </c>
      <c r="DM57" s="228">
        <v>26.6</v>
      </c>
      <c r="DN57" s="228">
        <v>-0.26</v>
      </c>
      <c r="DO57" s="228">
        <v>-0.26</v>
      </c>
      <c r="DP57" s="228">
        <v>0.7</v>
      </c>
      <c r="DQ57" s="228">
        <v>0.69</v>
      </c>
      <c r="DR57" s="228">
        <v>0.01</v>
      </c>
      <c r="DS57" s="229">
        <v>1.4500000000000001E-2</v>
      </c>
      <c r="DT57" s="228">
        <v>800</v>
      </c>
      <c r="DU57" s="228">
        <v>720</v>
      </c>
      <c r="DV57" s="228">
        <v>0.41</v>
      </c>
      <c r="DW57" s="228">
        <v>0.45</v>
      </c>
      <c r="DX57" s="228">
        <v>-0.04</v>
      </c>
      <c r="DY57" s="229">
        <v>-8.8900000000000007E-2</v>
      </c>
      <c r="DZ57" s="229">
        <v>4.4400000000000002E-2</v>
      </c>
      <c r="EA57" s="230">
        <v>1592250</v>
      </c>
      <c r="EB57" s="229">
        <v>5.1000000000000004E-3</v>
      </c>
      <c r="EC57" s="229">
        <v>4.4400000000000002E-2</v>
      </c>
      <c r="ED57" s="228">
        <v>3.2</v>
      </c>
      <c r="EE57" s="229">
        <v>4.1999999999999997E-3</v>
      </c>
      <c r="EF57" s="230">
        <v>1451848</v>
      </c>
      <c r="EG57" s="230">
        <v>1430131</v>
      </c>
      <c r="EH57" s="229">
        <v>1.52E-2</v>
      </c>
      <c r="EI57" s="229">
        <v>0.54869999999999997</v>
      </c>
      <c r="EJ57" s="231">
        <v>203049.84</v>
      </c>
      <c r="EK57" s="231">
        <v>79799.64</v>
      </c>
      <c r="EL57" s="231">
        <v>51847.76</v>
      </c>
      <c r="EM57" s="231">
        <v>7187</v>
      </c>
      <c r="EN57" s="231">
        <v>334697.24</v>
      </c>
      <c r="EO57" s="231">
        <v>520958.49</v>
      </c>
      <c r="EP57" s="231">
        <v>-186261.25</v>
      </c>
      <c r="EQ57" s="229">
        <v>-0.35749999999999998</v>
      </c>
      <c r="ER57" s="231">
        <v>113723</v>
      </c>
      <c r="ES57" s="231">
        <v>75538</v>
      </c>
      <c r="ET57" s="231">
        <v>294167</v>
      </c>
      <c r="EU57" s="231">
        <v>83667734</v>
      </c>
      <c r="EV57" s="231">
        <v>483428</v>
      </c>
      <c r="EW57" s="231">
        <v>486778</v>
      </c>
      <c r="EX57" s="231">
        <v>-3350</v>
      </c>
      <c r="EY57" s="229">
        <v>-6.8999999999999999E-3</v>
      </c>
      <c r="EZ57" s="229">
        <v>0.754</v>
      </c>
      <c r="FA57" s="227" t="s">
        <v>556</v>
      </c>
      <c r="FB57" s="161">
        <f t="shared" si="0"/>
        <v>1695375</v>
      </c>
    </row>
    <row r="58" spans="1:158" ht="17.25" hidden="1" thickBot="1" x14ac:dyDescent="0.3">
      <c r="A58" s="226">
        <v>45946</v>
      </c>
      <c r="B58" s="227" t="s">
        <v>615</v>
      </c>
      <c r="C58" s="227" t="s">
        <v>583</v>
      </c>
      <c r="D58" s="228">
        <v>150</v>
      </c>
      <c r="E58" s="231">
        <v>4321.7</v>
      </c>
      <c r="F58" s="231">
        <v>4270.5</v>
      </c>
      <c r="G58" s="228">
        <v>51.2</v>
      </c>
      <c r="H58" s="229">
        <v>1.2E-2</v>
      </c>
      <c r="I58" s="231">
        <v>4316.1000000000004</v>
      </c>
      <c r="J58" s="231">
        <v>4259.6000000000004</v>
      </c>
      <c r="K58" s="228">
        <v>56.5</v>
      </c>
      <c r="L58" s="229">
        <v>1.3299999999999999E-2</v>
      </c>
      <c r="M58" s="231">
        <v>4321.7</v>
      </c>
      <c r="N58" s="231">
        <v>4270.5</v>
      </c>
      <c r="O58" s="228">
        <v>51.2</v>
      </c>
      <c r="P58" s="229">
        <v>1.2E-2</v>
      </c>
      <c r="Q58" s="231">
        <v>4288.3999999999996</v>
      </c>
      <c r="R58" s="231">
        <v>4239.7</v>
      </c>
      <c r="S58" s="228">
        <v>48.7</v>
      </c>
      <c r="T58" s="229">
        <v>1.15E-2</v>
      </c>
      <c r="U58" s="231">
        <v>4277.3999999999996</v>
      </c>
      <c r="V58" s="231">
        <v>4220</v>
      </c>
      <c r="W58" s="228">
        <v>57.4</v>
      </c>
      <c r="X58" s="229">
        <v>1.3599999999999999E-2</v>
      </c>
      <c r="Y58" s="228">
        <v>5.6</v>
      </c>
      <c r="Z58" s="228">
        <v>10.9</v>
      </c>
      <c r="AA58" s="228">
        <v>-5.3</v>
      </c>
      <c r="AB58" s="229">
        <v>1.2999999999999999E-3</v>
      </c>
      <c r="AC58" s="228">
        <v>5.6</v>
      </c>
      <c r="AD58" s="228">
        <v>10.9</v>
      </c>
      <c r="AE58" s="228">
        <v>-5.3</v>
      </c>
      <c r="AF58" s="229">
        <v>1.2999999999999999E-3</v>
      </c>
      <c r="AG58" s="228">
        <v>-27.7</v>
      </c>
      <c r="AH58" s="228">
        <v>-19.899999999999999</v>
      </c>
      <c r="AI58" s="228">
        <v>-7.8</v>
      </c>
      <c r="AJ58" s="229">
        <v>-6.4000000000000003E-3</v>
      </c>
      <c r="AK58" s="228">
        <v>-38.700000000000003</v>
      </c>
      <c r="AL58" s="228">
        <v>-39.6</v>
      </c>
      <c r="AM58" s="228">
        <v>0.9</v>
      </c>
      <c r="AN58" s="229">
        <v>-8.9999999999999993E-3</v>
      </c>
      <c r="AO58" s="231">
        <v>4314.8900000000003</v>
      </c>
      <c r="AP58" s="231">
        <v>4273.95</v>
      </c>
      <c r="AQ58" s="228">
        <v>0</v>
      </c>
      <c r="AR58" s="230">
        <v>1011150</v>
      </c>
      <c r="AS58" s="230">
        <v>694950</v>
      </c>
      <c r="AT58" s="230">
        <v>316200</v>
      </c>
      <c r="AU58" s="229">
        <v>0.45500000000000002</v>
      </c>
      <c r="AV58" s="230">
        <v>783150</v>
      </c>
      <c r="AW58" s="230">
        <v>544800</v>
      </c>
      <c r="AX58" s="230">
        <v>238350</v>
      </c>
      <c r="AY58" s="229">
        <v>0.4375</v>
      </c>
      <c r="AZ58" s="230">
        <v>215250</v>
      </c>
      <c r="BA58" s="230">
        <v>146250</v>
      </c>
      <c r="BB58" s="230">
        <v>69000</v>
      </c>
      <c r="BC58" s="229">
        <v>0.4718</v>
      </c>
      <c r="BD58" s="230">
        <v>12750</v>
      </c>
      <c r="BE58" s="230">
        <v>3900</v>
      </c>
      <c r="BF58" s="230">
        <v>8850</v>
      </c>
      <c r="BG58" s="229">
        <v>2.2692000000000001</v>
      </c>
      <c r="BH58" s="230">
        <v>5097600</v>
      </c>
      <c r="BI58" s="230">
        <v>3366600</v>
      </c>
      <c r="BJ58" s="230">
        <v>1731000</v>
      </c>
      <c r="BK58" s="229">
        <v>0.51419999999999999</v>
      </c>
      <c r="BL58" s="230">
        <v>1760100</v>
      </c>
      <c r="BM58" s="230">
        <v>1138050</v>
      </c>
      <c r="BN58" s="230">
        <v>622050</v>
      </c>
      <c r="BO58" s="229">
        <v>0.54659999999999997</v>
      </c>
      <c r="BP58" s="230">
        <v>7868850</v>
      </c>
      <c r="BQ58" s="230">
        <v>5199600</v>
      </c>
      <c r="BR58" s="230">
        <v>2669250</v>
      </c>
      <c r="BS58" s="229">
        <v>0.51339999999999997</v>
      </c>
      <c r="BT58" s="230">
        <v>452196</v>
      </c>
      <c r="BU58" s="230">
        <v>431874</v>
      </c>
      <c r="BV58" s="230">
        <v>20322</v>
      </c>
      <c r="BW58" s="229">
        <v>4.7100000000000003E-2</v>
      </c>
      <c r="BX58" s="230">
        <v>6735300</v>
      </c>
      <c r="BY58" s="230">
        <v>6719850</v>
      </c>
      <c r="BZ58" s="230">
        <v>15450</v>
      </c>
      <c r="CA58" s="229">
        <v>2.3E-3</v>
      </c>
      <c r="CB58" s="230">
        <v>6110550</v>
      </c>
      <c r="CC58" s="230">
        <v>6212100</v>
      </c>
      <c r="CD58" s="230">
        <v>-101550</v>
      </c>
      <c r="CE58" s="229">
        <v>-1.6299999999999999E-2</v>
      </c>
      <c r="CF58" s="230">
        <v>589650</v>
      </c>
      <c r="CG58" s="230">
        <v>471450</v>
      </c>
      <c r="CH58" s="230">
        <v>118200</v>
      </c>
      <c r="CI58" s="229">
        <v>0.25069999999999998</v>
      </c>
      <c r="CJ58" s="230">
        <v>35100</v>
      </c>
      <c r="CK58" s="230">
        <v>36300</v>
      </c>
      <c r="CL58" s="230">
        <v>-1200</v>
      </c>
      <c r="CM58" s="229">
        <v>-3.3099999999999997E-2</v>
      </c>
      <c r="CN58" s="230">
        <v>3187200</v>
      </c>
      <c r="CO58" s="230">
        <v>3724350</v>
      </c>
      <c r="CP58" s="230">
        <v>-537150</v>
      </c>
      <c r="CQ58" s="229">
        <v>-0.14419999999999999</v>
      </c>
      <c r="CR58" s="230">
        <v>1356450</v>
      </c>
      <c r="CS58" s="230">
        <v>1443600</v>
      </c>
      <c r="CT58" s="230">
        <v>-87150</v>
      </c>
      <c r="CU58" s="229">
        <v>-6.0400000000000002E-2</v>
      </c>
      <c r="CV58" s="230">
        <v>11278950</v>
      </c>
      <c r="CW58" s="230">
        <v>11887800</v>
      </c>
      <c r="CX58" s="230">
        <v>-608850</v>
      </c>
      <c r="CY58" s="229">
        <v>-5.1200000000000002E-2</v>
      </c>
      <c r="CZ58" s="228">
        <v>25.25</v>
      </c>
      <c r="DA58" s="228">
        <v>25.98</v>
      </c>
      <c r="DB58" s="228">
        <v>-0.73</v>
      </c>
      <c r="DC58" s="228">
        <v>-0.73</v>
      </c>
      <c r="DD58" s="228">
        <v>32.840000000000003</v>
      </c>
      <c r="DE58" s="228">
        <v>32.880000000000003</v>
      </c>
      <c r="DF58" s="228">
        <v>-7.59</v>
      </c>
      <c r="DG58" s="228">
        <v>-0.04</v>
      </c>
      <c r="DH58" s="228">
        <v>25.64</v>
      </c>
      <c r="DI58" s="228">
        <v>26.3</v>
      </c>
      <c r="DJ58" s="228">
        <v>-0.66</v>
      </c>
      <c r="DK58" s="228">
        <v>-0.66</v>
      </c>
      <c r="DL58" s="228">
        <v>24.11</v>
      </c>
      <c r="DM58" s="228">
        <v>25.03</v>
      </c>
      <c r="DN58" s="228">
        <v>-0.92</v>
      </c>
      <c r="DO58" s="228">
        <v>-0.92</v>
      </c>
      <c r="DP58" s="228">
        <v>0.43</v>
      </c>
      <c r="DQ58" s="228">
        <v>0.39</v>
      </c>
      <c r="DR58" s="228">
        <v>0.04</v>
      </c>
      <c r="DS58" s="229">
        <v>0.1026</v>
      </c>
      <c r="DT58" s="231">
        <v>4700</v>
      </c>
      <c r="DU58" s="231">
        <v>4200</v>
      </c>
      <c r="DV58" s="228">
        <v>0.35</v>
      </c>
      <c r="DW58" s="228">
        <v>0.34</v>
      </c>
      <c r="DX58" s="228">
        <v>0.01</v>
      </c>
      <c r="DY58" s="229">
        <v>2.9399999999999999E-2</v>
      </c>
      <c r="DZ58" s="229">
        <v>9.2799999999999994E-2</v>
      </c>
      <c r="EA58" s="230">
        <v>507750</v>
      </c>
      <c r="EB58" s="229">
        <v>-7.7000000000000002E-3</v>
      </c>
      <c r="EC58" s="229">
        <v>9.2799999999999994E-2</v>
      </c>
      <c r="ED58" s="228">
        <v>-40.94</v>
      </c>
      <c r="EE58" s="229">
        <v>-9.4999999999999998E-3</v>
      </c>
      <c r="EF58" s="230">
        <v>236802</v>
      </c>
      <c r="EG58" s="230">
        <v>280978</v>
      </c>
      <c r="EH58" s="229">
        <v>-0.15720000000000001</v>
      </c>
      <c r="EI58" s="229">
        <v>0.52370000000000005</v>
      </c>
      <c r="EJ58" s="231">
        <v>229942.78</v>
      </c>
      <c r="EK58" s="231">
        <v>74391.740000000005</v>
      </c>
      <c r="EL58" s="231">
        <v>43535.76</v>
      </c>
      <c r="EM58" s="231">
        <v>6412</v>
      </c>
      <c r="EN58" s="231">
        <v>347870.28</v>
      </c>
      <c r="EO58" s="231">
        <v>227682.8</v>
      </c>
      <c r="EP58" s="231">
        <v>120187.48</v>
      </c>
      <c r="EQ58" s="229">
        <v>0.52790000000000004</v>
      </c>
      <c r="ER58" s="231">
        <v>146049</v>
      </c>
      <c r="ES58" s="231">
        <v>56855</v>
      </c>
      <c r="ET58" s="231">
        <v>290868</v>
      </c>
      <c r="EU58" s="231">
        <v>22136392</v>
      </c>
      <c r="EV58" s="231">
        <v>493771</v>
      </c>
      <c r="EW58" s="231">
        <v>517304</v>
      </c>
      <c r="EX58" s="231">
        <v>-23533</v>
      </c>
      <c r="EY58" s="229">
        <v>-4.5499999999999999E-2</v>
      </c>
      <c r="EZ58" s="229">
        <v>0.50949999999999995</v>
      </c>
      <c r="FA58" s="227" t="s">
        <v>555</v>
      </c>
      <c r="FB58" s="161">
        <f t="shared" si="0"/>
        <v>624750</v>
      </c>
    </row>
    <row r="59" spans="1:158" ht="17.25" hidden="1" thickBot="1" x14ac:dyDescent="0.3">
      <c r="A59" s="226">
        <v>45946</v>
      </c>
      <c r="B59" s="227" t="s">
        <v>170</v>
      </c>
      <c r="C59" s="227" t="s">
        <v>208</v>
      </c>
      <c r="D59" s="228">
        <v>625</v>
      </c>
      <c r="E59" s="231">
        <v>1245.3</v>
      </c>
      <c r="F59" s="231">
        <v>1237.9000000000001</v>
      </c>
      <c r="G59" s="228">
        <v>7.4</v>
      </c>
      <c r="H59" s="229">
        <v>6.0000000000000001E-3</v>
      </c>
      <c r="I59" s="231">
        <v>1240.2</v>
      </c>
      <c r="J59" s="231">
        <v>1232.4000000000001</v>
      </c>
      <c r="K59" s="228">
        <v>7.8</v>
      </c>
      <c r="L59" s="229">
        <v>6.3E-3</v>
      </c>
      <c r="M59" s="231">
        <v>1245.3</v>
      </c>
      <c r="N59" s="231">
        <v>1237.9000000000001</v>
      </c>
      <c r="O59" s="228">
        <v>7.4</v>
      </c>
      <c r="P59" s="229">
        <v>6.0000000000000001E-3</v>
      </c>
      <c r="Q59" s="231">
        <v>1249.8</v>
      </c>
      <c r="R59" s="231">
        <v>1242.9000000000001</v>
      </c>
      <c r="S59" s="228">
        <v>6.9</v>
      </c>
      <c r="T59" s="229">
        <v>5.5999999999999999E-3</v>
      </c>
      <c r="U59" s="231">
        <v>1254.4000000000001</v>
      </c>
      <c r="V59" s="231">
        <v>1246</v>
      </c>
      <c r="W59" s="228">
        <v>8.4</v>
      </c>
      <c r="X59" s="229">
        <v>6.7000000000000002E-3</v>
      </c>
      <c r="Y59" s="228">
        <v>5.0999999999999996</v>
      </c>
      <c r="Z59" s="228">
        <v>5.5</v>
      </c>
      <c r="AA59" s="228">
        <v>-0.4</v>
      </c>
      <c r="AB59" s="229">
        <v>4.1000000000000003E-3</v>
      </c>
      <c r="AC59" s="228">
        <v>5.0999999999999996</v>
      </c>
      <c r="AD59" s="228">
        <v>5.5</v>
      </c>
      <c r="AE59" s="228">
        <v>-0.4</v>
      </c>
      <c r="AF59" s="229">
        <v>4.1000000000000003E-3</v>
      </c>
      <c r="AG59" s="228">
        <v>9.6</v>
      </c>
      <c r="AH59" s="228">
        <v>10.5</v>
      </c>
      <c r="AI59" s="228">
        <v>-0.9</v>
      </c>
      <c r="AJ59" s="229">
        <v>7.7000000000000002E-3</v>
      </c>
      <c r="AK59" s="228">
        <v>14.2</v>
      </c>
      <c r="AL59" s="228">
        <v>13.6</v>
      </c>
      <c r="AM59" s="228">
        <v>0.6</v>
      </c>
      <c r="AN59" s="229">
        <v>1.14E-2</v>
      </c>
      <c r="AO59" s="231">
        <v>1242.1199999999999</v>
      </c>
      <c r="AP59" s="231">
        <v>1244.6199999999999</v>
      </c>
      <c r="AQ59" s="228">
        <v>0</v>
      </c>
      <c r="AR59" s="230">
        <v>1757500</v>
      </c>
      <c r="AS59" s="230">
        <v>1681875</v>
      </c>
      <c r="AT59" s="230">
        <v>75625</v>
      </c>
      <c r="AU59" s="229">
        <v>4.4999999999999998E-2</v>
      </c>
      <c r="AV59" s="230">
        <v>1379375</v>
      </c>
      <c r="AW59" s="230">
        <v>1454375</v>
      </c>
      <c r="AX59" s="230">
        <v>-75000</v>
      </c>
      <c r="AY59" s="229">
        <v>-5.16E-2</v>
      </c>
      <c r="AZ59" s="230">
        <v>372500</v>
      </c>
      <c r="BA59" s="230">
        <v>215625</v>
      </c>
      <c r="BB59" s="230">
        <v>156875</v>
      </c>
      <c r="BC59" s="229">
        <v>0.72750000000000004</v>
      </c>
      <c r="BD59" s="230">
        <v>5625</v>
      </c>
      <c r="BE59" s="230">
        <v>11875</v>
      </c>
      <c r="BF59" s="230">
        <v>-6250</v>
      </c>
      <c r="BG59" s="229">
        <v>-0.52629999999999999</v>
      </c>
      <c r="BH59" s="230">
        <v>2903125</v>
      </c>
      <c r="BI59" s="230">
        <v>3730000</v>
      </c>
      <c r="BJ59" s="230">
        <v>-826875</v>
      </c>
      <c r="BK59" s="229">
        <v>-0.22170000000000001</v>
      </c>
      <c r="BL59" s="230">
        <v>1258750</v>
      </c>
      <c r="BM59" s="230">
        <v>2040625</v>
      </c>
      <c r="BN59" s="230">
        <v>-781875</v>
      </c>
      <c r="BO59" s="229">
        <v>-0.38319999999999999</v>
      </c>
      <c r="BP59" s="230">
        <v>5919375</v>
      </c>
      <c r="BQ59" s="230">
        <v>7452500</v>
      </c>
      <c r="BR59" s="230">
        <v>-1533125</v>
      </c>
      <c r="BS59" s="229">
        <v>-0.20569999999999999</v>
      </c>
      <c r="BT59" s="230">
        <v>1330482</v>
      </c>
      <c r="BU59" s="230">
        <v>2244887</v>
      </c>
      <c r="BV59" s="230">
        <v>-914405</v>
      </c>
      <c r="BW59" s="229">
        <v>-0.4073</v>
      </c>
      <c r="BX59" s="230">
        <v>13080000</v>
      </c>
      <c r="BY59" s="230">
        <v>12866875</v>
      </c>
      <c r="BZ59" s="230">
        <v>213125</v>
      </c>
      <c r="CA59" s="229">
        <v>1.66E-2</v>
      </c>
      <c r="CB59" s="230">
        <v>12323750</v>
      </c>
      <c r="CC59" s="230">
        <v>12266250</v>
      </c>
      <c r="CD59" s="230">
        <v>57500</v>
      </c>
      <c r="CE59" s="229">
        <v>4.7000000000000002E-3</v>
      </c>
      <c r="CF59" s="230">
        <v>710000</v>
      </c>
      <c r="CG59" s="230">
        <v>557500</v>
      </c>
      <c r="CH59" s="230">
        <v>152500</v>
      </c>
      <c r="CI59" s="229">
        <v>0.27350000000000002</v>
      </c>
      <c r="CJ59" s="230">
        <v>46250</v>
      </c>
      <c r="CK59" s="230">
        <v>43125</v>
      </c>
      <c r="CL59" s="230">
        <v>3125</v>
      </c>
      <c r="CM59" s="229">
        <v>7.2499999999999995E-2</v>
      </c>
      <c r="CN59" s="230">
        <v>6705000</v>
      </c>
      <c r="CO59" s="230">
        <v>6614375</v>
      </c>
      <c r="CP59" s="230">
        <v>90625</v>
      </c>
      <c r="CQ59" s="229">
        <v>1.37E-2</v>
      </c>
      <c r="CR59" s="230">
        <v>3267500</v>
      </c>
      <c r="CS59" s="230">
        <v>3245625</v>
      </c>
      <c r="CT59" s="230">
        <v>21875</v>
      </c>
      <c r="CU59" s="229">
        <v>6.7000000000000002E-3</v>
      </c>
      <c r="CV59" s="230">
        <v>23052500</v>
      </c>
      <c r="CW59" s="230">
        <v>22726875</v>
      </c>
      <c r="CX59" s="230">
        <v>325625</v>
      </c>
      <c r="CY59" s="229">
        <v>1.43E-2</v>
      </c>
      <c r="CZ59" s="228">
        <v>24.55</v>
      </c>
      <c r="DA59" s="228">
        <v>26.29</v>
      </c>
      <c r="DB59" s="228">
        <v>-1.74</v>
      </c>
      <c r="DC59" s="228">
        <v>-1.74</v>
      </c>
      <c r="DD59" s="228">
        <v>24.77</v>
      </c>
      <c r="DE59" s="228">
        <v>24.82</v>
      </c>
      <c r="DF59" s="228">
        <v>-0.22</v>
      </c>
      <c r="DG59" s="228">
        <v>-0.05</v>
      </c>
      <c r="DH59" s="228">
        <v>24.21</v>
      </c>
      <c r="DI59" s="228">
        <v>25.76</v>
      </c>
      <c r="DJ59" s="228">
        <v>-1.55</v>
      </c>
      <c r="DK59" s="228">
        <v>-1.55</v>
      </c>
      <c r="DL59" s="228">
        <v>25.34</v>
      </c>
      <c r="DM59" s="228">
        <v>27.26</v>
      </c>
      <c r="DN59" s="228">
        <v>-1.92</v>
      </c>
      <c r="DO59" s="228">
        <v>-1.92</v>
      </c>
      <c r="DP59" s="228">
        <v>0.49</v>
      </c>
      <c r="DQ59" s="228">
        <v>0.49</v>
      </c>
      <c r="DR59" s="228">
        <v>0</v>
      </c>
      <c r="DS59" s="229">
        <v>0</v>
      </c>
      <c r="DT59" s="231">
        <v>1260</v>
      </c>
      <c r="DU59" s="231">
        <v>1240</v>
      </c>
      <c r="DV59" s="228">
        <v>0.43</v>
      </c>
      <c r="DW59" s="228">
        <v>0.55000000000000004</v>
      </c>
      <c r="DX59" s="228">
        <v>-0.12</v>
      </c>
      <c r="DY59" s="229">
        <v>-0.21820000000000001</v>
      </c>
      <c r="DZ59" s="229">
        <v>5.7799999999999997E-2</v>
      </c>
      <c r="EA59" s="230">
        <v>600625</v>
      </c>
      <c r="EB59" s="229">
        <v>3.5999999999999999E-3</v>
      </c>
      <c r="EC59" s="229">
        <v>5.7799999999999997E-2</v>
      </c>
      <c r="ED59" s="228">
        <v>2.5</v>
      </c>
      <c r="EE59" s="229">
        <v>2E-3</v>
      </c>
      <c r="EF59" s="230">
        <v>947361</v>
      </c>
      <c r="EG59" s="230">
        <v>1600545</v>
      </c>
      <c r="EH59" s="229">
        <v>-0.40810000000000002</v>
      </c>
      <c r="EI59" s="229">
        <v>0.71199999999999997</v>
      </c>
      <c r="EJ59" s="231">
        <v>37234.300000000003</v>
      </c>
      <c r="EK59" s="231">
        <v>15651.08</v>
      </c>
      <c r="EL59" s="231">
        <v>21840.1</v>
      </c>
      <c r="EM59" s="231">
        <v>3768</v>
      </c>
      <c r="EN59" s="231">
        <v>74725.48</v>
      </c>
      <c r="EO59" s="231">
        <v>94016.05</v>
      </c>
      <c r="EP59" s="231">
        <v>-19290.57</v>
      </c>
      <c r="EQ59" s="229">
        <v>-0.20519999999999999</v>
      </c>
      <c r="ER59" s="231">
        <v>87665</v>
      </c>
      <c r="ES59" s="231">
        <v>39519</v>
      </c>
      <c r="ET59" s="231">
        <v>162921</v>
      </c>
      <c r="EU59" s="231">
        <v>61006521</v>
      </c>
      <c r="EV59" s="231">
        <v>290106</v>
      </c>
      <c r="EW59" s="231">
        <v>285099</v>
      </c>
      <c r="EX59" s="231">
        <v>5007</v>
      </c>
      <c r="EY59" s="229">
        <v>1.7600000000000001E-2</v>
      </c>
      <c r="EZ59" s="229">
        <v>0.37790000000000001</v>
      </c>
      <c r="FA59" s="227" t="s">
        <v>555</v>
      </c>
      <c r="FB59" s="161">
        <f t="shared" si="0"/>
        <v>756250</v>
      </c>
    </row>
    <row r="60" spans="1:158" ht="17.25" hidden="1" thickBot="1" x14ac:dyDescent="0.3">
      <c r="A60" s="226">
        <v>45946</v>
      </c>
      <c r="B60" s="227" t="s">
        <v>162</v>
      </c>
      <c r="C60" s="227" t="s">
        <v>209</v>
      </c>
      <c r="D60" s="228">
        <v>175</v>
      </c>
      <c r="E60" s="231">
        <v>7014.5</v>
      </c>
      <c r="F60" s="231">
        <v>6925</v>
      </c>
      <c r="G60" s="228">
        <v>89.5</v>
      </c>
      <c r="H60" s="229">
        <v>1.29E-2</v>
      </c>
      <c r="I60" s="231">
        <v>6988</v>
      </c>
      <c r="J60" s="231">
        <v>6895</v>
      </c>
      <c r="K60" s="228">
        <v>93</v>
      </c>
      <c r="L60" s="229">
        <v>1.35E-2</v>
      </c>
      <c r="M60" s="231">
        <v>7014.5</v>
      </c>
      <c r="N60" s="231">
        <v>6925</v>
      </c>
      <c r="O60" s="228">
        <v>89.5</v>
      </c>
      <c r="P60" s="229">
        <v>1.29E-2</v>
      </c>
      <c r="Q60" s="231">
        <v>7056</v>
      </c>
      <c r="R60" s="231">
        <v>6963</v>
      </c>
      <c r="S60" s="228">
        <v>93</v>
      </c>
      <c r="T60" s="229">
        <v>1.34E-2</v>
      </c>
      <c r="U60" s="231">
        <v>7090</v>
      </c>
      <c r="V60" s="231">
        <v>7004</v>
      </c>
      <c r="W60" s="228">
        <v>86</v>
      </c>
      <c r="X60" s="229">
        <v>1.23E-2</v>
      </c>
      <c r="Y60" s="228">
        <v>26.5</v>
      </c>
      <c r="Z60" s="228">
        <v>30</v>
      </c>
      <c r="AA60" s="228">
        <v>-3.5</v>
      </c>
      <c r="AB60" s="229">
        <v>3.8E-3</v>
      </c>
      <c r="AC60" s="228">
        <v>26.5</v>
      </c>
      <c r="AD60" s="228">
        <v>30</v>
      </c>
      <c r="AE60" s="228">
        <v>-3.5</v>
      </c>
      <c r="AF60" s="229">
        <v>3.8E-3</v>
      </c>
      <c r="AG60" s="228">
        <v>68</v>
      </c>
      <c r="AH60" s="228">
        <v>68</v>
      </c>
      <c r="AI60" s="228">
        <v>0</v>
      </c>
      <c r="AJ60" s="229">
        <v>9.7000000000000003E-3</v>
      </c>
      <c r="AK60" s="228">
        <v>102</v>
      </c>
      <c r="AL60" s="228">
        <v>109</v>
      </c>
      <c r="AM60" s="228">
        <v>-7</v>
      </c>
      <c r="AN60" s="229">
        <v>1.46E-2</v>
      </c>
      <c r="AO60" s="231">
        <v>7006.62</v>
      </c>
      <c r="AP60" s="231">
        <v>7044.91</v>
      </c>
      <c r="AQ60" s="228">
        <v>0</v>
      </c>
      <c r="AR60" s="230">
        <v>495775</v>
      </c>
      <c r="AS60" s="230">
        <v>404250</v>
      </c>
      <c r="AT60" s="230">
        <v>91525</v>
      </c>
      <c r="AU60" s="229">
        <v>0.22639999999999999</v>
      </c>
      <c r="AV60" s="230">
        <v>445725</v>
      </c>
      <c r="AW60" s="230">
        <v>361375</v>
      </c>
      <c r="AX60" s="230">
        <v>84350</v>
      </c>
      <c r="AY60" s="229">
        <v>0.2334</v>
      </c>
      <c r="AZ60" s="230">
        <v>44800</v>
      </c>
      <c r="BA60" s="230">
        <v>40425</v>
      </c>
      <c r="BB60" s="230">
        <v>4375</v>
      </c>
      <c r="BC60" s="229">
        <v>0.1082</v>
      </c>
      <c r="BD60" s="230">
        <v>5250</v>
      </c>
      <c r="BE60" s="230">
        <v>2450</v>
      </c>
      <c r="BF60" s="230">
        <v>2800</v>
      </c>
      <c r="BG60" s="229">
        <v>1.1429</v>
      </c>
      <c r="BH60" s="230">
        <v>4350150</v>
      </c>
      <c r="BI60" s="230">
        <v>1983100</v>
      </c>
      <c r="BJ60" s="230">
        <v>2367050</v>
      </c>
      <c r="BK60" s="229">
        <v>1.1936</v>
      </c>
      <c r="BL60" s="230">
        <v>1599150</v>
      </c>
      <c r="BM60" s="230">
        <v>1020600</v>
      </c>
      <c r="BN60" s="230">
        <v>578550</v>
      </c>
      <c r="BO60" s="229">
        <v>0.56689999999999996</v>
      </c>
      <c r="BP60" s="230">
        <v>6445075</v>
      </c>
      <c r="BQ60" s="230">
        <v>3407950</v>
      </c>
      <c r="BR60" s="230">
        <v>3037125</v>
      </c>
      <c r="BS60" s="229">
        <v>0.89119999999999999</v>
      </c>
      <c r="BT60" s="230">
        <v>325805</v>
      </c>
      <c r="BU60" s="230">
        <v>239149</v>
      </c>
      <c r="BV60" s="230">
        <v>86656</v>
      </c>
      <c r="BW60" s="229">
        <v>0.3624</v>
      </c>
      <c r="BX60" s="230">
        <v>3431400</v>
      </c>
      <c r="BY60" s="230">
        <v>3484250</v>
      </c>
      <c r="BZ60" s="230">
        <v>-52850</v>
      </c>
      <c r="CA60" s="229">
        <v>-1.52E-2</v>
      </c>
      <c r="CB60" s="230">
        <v>3311350</v>
      </c>
      <c r="CC60" s="230">
        <v>3372250</v>
      </c>
      <c r="CD60" s="230">
        <v>-60900</v>
      </c>
      <c r="CE60" s="229">
        <v>-1.8100000000000002E-2</v>
      </c>
      <c r="CF60" s="230">
        <v>103600</v>
      </c>
      <c r="CG60" s="230">
        <v>94500</v>
      </c>
      <c r="CH60" s="230">
        <v>9100</v>
      </c>
      <c r="CI60" s="229">
        <v>9.6299999999999997E-2</v>
      </c>
      <c r="CJ60" s="230">
        <v>16450</v>
      </c>
      <c r="CK60" s="230">
        <v>17500</v>
      </c>
      <c r="CL60" s="230">
        <v>-1050</v>
      </c>
      <c r="CM60" s="229">
        <v>-0.06</v>
      </c>
      <c r="CN60" s="230">
        <v>2074100</v>
      </c>
      <c r="CO60" s="230">
        <v>2249100</v>
      </c>
      <c r="CP60" s="230">
        <v>-175000</v>
      </c>
      <c r="CQ60" s="229">
        <v>-7.7799999999999994E-2</v>
      </c>
      <c r="CR60" s="230">
        <v>1563975</v>
      </c>
      <c r="CS60" s="230">
        <v>1545600</v>
      </c>
      <c r="CT60" s="230">
        <v>18375</v>
      </c>
      <c r="CU60" s="229">
        <v>1.1900000000000001E-2</v>
      </c>
      <c r="CV60" s="230">
        <v>7069475</v>
      </c>
      <c r="CW60" s="230">
        <v>7278950</v>
      </c>
      <c r="CX60" s="230">
        <v>-209475</v>
      </c>
      <c r="CY60" s="229">
        <v>-2.8799999999999999E-2</v>
      </c>
      <c r="CZ60" s="228">
        <v>20.52</v>
      </c>
      <c r="DA60" s="228">
        <v>21.35</v>
      </c>
      <c r="DB60" s="228">
        <v>-0.83</v>
      </c>
      <c r="DC60" s="228">
        <v>-0.83</v>
      </c>
      <c r="DD60" s="228">
        <v>28.02</v>
      </c>
      <c r="DE60" s="228">
        <v>28.03</v>
      </c>
      <c r="DF60" s="228">
        <v>-7.5</v>
      </c>
      <c r="DG60" s="228">
        <v>-0.01</v>
      </c>
      <c r="DH60" s="228">
        <v>20.21</v>
      </c>
      <c r="DI60" s="228">
        <v>21.27</v>
      </c>
      <c r="DJ60" s="228">
        <v>-1.06</v>
      </c>
      <c r="DK60" s="228">
        <v>-1.06</v>
      </c>
      <c r="DL60" s="228">
        <v>21.36</v>
      </c>
      <c r="DM60" s="228">
        <v>21.52</v>
      </c>
      <c r="DN60" s="228">
        <v>-0.16</v>
      </c>
      <c r="DO60" s="228">
        <v>-0.16</v>
      </c>
      <c r="DP60" s="228">
        <v>0.75</v>
      </c>
      <c r="DQ60" s="228">
        <v>0.69</v>
      </c>
      <c r="DR60" s="228">
        <v>0.06</v>
      </c>
      <c r="DS60" s="229">
        <v>8.6999999999999994E-2</v>
      </c>
      <c r="DT60" s="231">
        <v>7000</v>
      </c>
      <c r="DU60" s="231">
        <v>6500</v>
      </c>
      <c r="DV60" s="228">
        <v>0.37</v>
      </c>
      <c r="DW60" s="228">
        <v>0.51</v>
      </c>
      <c r="DX60" s="228">
        <v>-0.14000000000000001</v>
      </c>
      <c r="DY60" s="229">
        <v>-0.27450000000000002</v>
      </c>
      <c r="DZ60" s="229">
        <v>3.5000000000000003E-2</v>
      </c>
      <c r="EA60" s="230">
        <v>112000</v>
      </c>
      <c r="EB60" s="229">
        <v>5.8999999999999999E-3</v>
      </c>
      <c r="EC60" s="229">
        <v>3.5000000000000003E-2</v>
      </c>
      <c r="ED60" s="228">
        <v>38.29</v>
      </c>
      <c r="EE60" s="229">
        <v>5.4999999999999997E-3</v>
      </c>
      <c r="EF60" s="230">
        <v>173435</v>
      </c>
      <c r="EG60" s="230">
        <v>146654</v>
      </c>
      <c r="EH60" s="229">
        <v>0.18260000000000001</v>
      </c>
      <c r="EI60" s="229">
        <v>0.5323</v>
      </c>
      <c r="EJ60" s="231">
        <v>312094.08000000002</v>
      </c>
      <c r="EK60" s="231">
        <v>110364.03</v>
      </c>
      <c r="EL60" s="231">
        <v>34758.550000000003</v>
      </c>
      <c r="EM60" s="231">
        <v>3181</v>
      </c>
      <c r="EN60" s="231">
        <v>457216.66</v>
      </c>
      <c r="EO60" s="231">
        <v>239783.17</v>
      </c>
      <c r="EP60" s="231">
        <v>217433.49</v>
      </c>
      <c r="EQ60" s="229">
        <v>0.90680000000000005</v>
      </c>
      <c r="ER60" s="231">
        <v>149784</v>
      </c>
      <c r="ES60" s="231">
        <v>103272</v>
      </c>
      <c r="ET60" s="231">
        <v>240751</v>
      </c>
      <c r="EU60" s="231">
        <v>20353850</v>
      </c>
      <c r="EV60" s="231">
        <v>493807</v>
      </c>
      <c r="EW60" s="231">
        <v>505582</v>
      </c>
      <c r="EX60" s="231">
        <v>-11775</v>
      </c>
      <c r="EY60" s="229">
        <v>-2.3300000000000001E-2</v>
      </c>
      <c r="EZ60" s="229">
        <v>0.3473</v>
      </c>
      <c r="FA60" s="227" t="s">
        <v>556</v>
      </c>
      <c r="FB60" s="161">
        <f t="shared" si="0"/>
        <v>120050</v>
      </c>
    </row>
    <row r="61" spans="1:158" ht="17.25" hidden="1" thickBot="1" x14ac:dyDescent="0.3">
      <c r="A61" s="226">
        <v>45946</v>
      </c>
      <c r="B61" s="227" t="s">
        <v>615</v>
      </c>
      <c r="C61" s="227" t="s">
        <v>668</v>
      </c>
      <c r="D61" s="228">
        <v>2425</v>
      </c>
      <c r="E61" s="228">
        <v>348.25</v>
      </c>
      <c r="F61" s="228">
        <v>355.15</v>
      </c>
      <c r="G61" s="228">
        <v>-6.9</v>
      </c>
      <c r="H61" s="229">
        <v>-1.9400000000000001E-2</v>
      </c>
      <c r="I61" s="228">
        <v>347.85</v>
      </c>
      <c r="J61" s="228">
        <v>354.35</v>
      </c>
      <c r="K61" s="228">
        <v>-6.5</v>
      </c>
      <c r="L61" s="229">
        <v>-1.83E-2</v>
      </c>
      <c r="M61" s="228">
        <v>348.25</v>
      </c>
      <c r="N61" s="228">
        <v>355.15</v>
      </c>
      <c r="O61" s="228">
        <v>-6.9</v>
      </c>
      <c r="P61" s="229">
        <v>-1.9400000000000001E-2</v>
      </c>
      <c r="Q61" s="228">
        <v>349.45</v>
      </c>
      <c r="R61" s="228">
        <v>357.15</v>
      </c>
      <c r="S61" s="228">
        <v>-7.7</v>
      </c>
      <c r="T61" s="229">
        <v>-2.1600000000000001E-2</v>
      </c>
      <c r="U61" s="228">
        <v>351.4</v>
      </c>
      <c r="V61" s="228">
        <v>359.3</v>
      </c>
      <c r="W61" s="228">
        <v>-7.9</v>
      </c>
      <c r="X61" s="229">
        <v>-2.1999999999999999E-2</v>
      </c>
      <c r="Y61" s="228">
        <v>0.4</v>
      </c>
      <c r="Z61" s="228">
        <v>0.8</v>
      </c>
      <c r="AA61" s="228">
        <v>-0.4</v>
      </c>
      <c r="AB61" s="229">
        <v>1.1000000000000001E-3</v>
      </c>
      <c r="AC61" s="228">
        <v>0.4</v>
      </c>
      <c r="AD61" s="228">
        <v>0.8</v>
      </c>
      <c r="AE61" s="228">
        <v>-0.4</v>
      </c>
      <c r="AF61" s="229">
        <v>1.1000000000000001E-3</v>
      </c>
      <c r="AG61" s="228">
        <v>1.6</v>
      </c>
      <c r="AH61" s="228">
        <v>2.8</v>
      </c>
      <c r="AI61" s="228">
        <v>-1.2</v>
      </c>
      <c r="AJ61" s="229">
        <v>4.5999999999999999E-3</v>
      </c>
      <c r="AK61" s="228">
        <v>3.55</v>
      </c>
      <c r="AL61" s="228">
        <v>4.95</v>
      </c>
      <c r="AM61" s="228">
        <v>-1.4</v>
      </c>
      <c r="AN61" s="229">
        <v>1.0200000000000001E-2</v>
      </c>
      <c r="AO61" s="228">
        <v>352.92</v>
      </c>
      <c r="AP61" s="228">
        <v>354.1</v>
      </c>
      <c r="AQ61" s="228">
        <v>0</v>
      </c>
      <c r="AR61" s="230">
        <v>184501275</v>
      </c>
      <c r="AS61" s="230">
        <v>28704725</v>
      </c>
      <c r="AT61" s="230">
        <v>155796550</v>
      </c>
      <c r="AU61" s="229">
        <v>5.4276</v>
      </c>
      <c r="AV61" s="230">
        <v>163837850</v>
      </c>
      <c r="AW61" s="230">
        <v>25797150</v>
      </c>
      <c r="AX61" s="230">
        <v>138040700</v>
      </c>
      <c r="AY61" s="229">
        <v>5.351</v>
      </c>
      <c r="AZ61" s="230">
        <v>19176900</v>
      </c>
      <c r="BA61" s="230">
        <v>2543825</v>
      </c>
      <c r="BB61" s="230">
        <v>16633075</v>
      </c>
      <c r="BC61" s="229">
        <v>6.5385999999999997</v>
      </c>
      <c r="BD61" s="230">
        <v>1486525</v>
      </c>
      <c r="BE61" s="230">
        <v>363750</v>
      </c>
      <c r="BF61" s="230">
        <v>1122775</v>
      </c>
      <c r="BG61" s="229">
        <v>3.0867</v>
      </c>
      <c r="BH61" s="230">
        <v>557163150</v>
      </c>
      <c r="BI61" s="230">
        <v>92069975</v>
      </c>
      <c r="BJ61" s="230">
        <v>465093175</v>
      </c>
      <c r="BK61" s="229">
        <v>5.0514999999999999</v>
      </c>
      <c r="BL61" s="230">
        <v>338813725</v>
      </c>
      <c r="BM61" s="230">
        <v>40599350</v>
      </c>
      <c r="BN61" s="230">
        <v>298214375</v>
      </c>
      <c r="BO61" s="229">
        <v>7.3452999999999999</v>
      </c>
      <c r="BP61" s="230">
        <v>1080478150</v>
      </c>
      <c r="BQ61" s="230">
        <v>161374050</v>
      </c>
      <c r="BR61" s="230">
        <v>919104100</v>
      </c>
      <c r="BS61" s="229">
        <v>5.6955</v>
      </c>
      <c r="BT61" s="230">
        <v>95215964</v>
      </c>
      <c r="BU61" s="230">
        <v>32212600</v>
      </c>
      <c r="BV61" s="230">
        <v>63003364</v>
      </c>
      <c r="BW61" s="229">
        <v>1.9559</v>
      </c>
      <c r="BX61" s="230">
        <v>219700150</v>
      </c>
      <c r="BY61" s="230">
        <v>231432300</v>
      </c>
      <c r="BZ61" s="230">
        <v>-11732150</v>
      </c>
      <c r="CA61" s="229">
        <v>-5.0700000000000002E-2</v>
      </c>
      <c r="CB61" s="230">
        <v>210931350</v>
      </c>
      <c r="CC61" s="230">
        <v>227072150</v>
      </c>
      <c r="CD61" s="230">
        <v>-16140800</v>
      </c>
      <c r="CE61" s="229">
        <v>-7.1099999999999997E-2</v>
      </c>
      <c r="CF61" s="230">
        <v>7949150</v>
      </c>
      <c r="CG61" s="230">
        <v>3761175</v>
      </c>
      <c r="CH61" s="230">
        <v>4187975</v>
      </c>
      <c r="CI61" s="229">
        <v>1.1134999999999999</v>
      </c>
      <c r="CJ61" s="230">
        <v>819650</v>
      </c>
      <c r="CK61" s="230">
        <v>598975</v>
      </c>
      <c r="CL61" s="230">
        <v>220675</v>
      </c>
      <c r="CM61" s="229">
        <v>0.36840000000000001</v>
      </c>
      <c r="CN61" s="230">
        <v>90360350</v>
      </c>
      <c r="CO61" s="230">
        <v>60501325</v>
      </c>
      <c r="CP61" s="230">
        <v>29859025</v>
      </c>
      <c r="CQ61" s="229">
        <v>0.49349999999999999</v>
      </c>
      <c r="CR61" s="230">
        <v>56284250</v>
      </c>
      <c r="CS61" s="230">
        <v>42709100</v>
      </c>
      <c r="CT61" s="230">
        <v>13575150</v>
      </c>
      <c r="CU61" s="229">
        <v>0.31790000000000002</v>
      </c>
      <c r="CV61" s="230">
        <v>366344750</v>
      </c>
      <c r="CW61" s="230">
        <v>334642725</v>
      </c>
      <c r="CX61" s="230">
        <v>31702025</v>
      </c>
      <c r="CY61" s="229">
        <v>9.4700000000000006E-2</v>
      </c>
      <c r="CZ61" s="228">
        <v>46.3</v>
      </c>
      <c r="DA61" s="228">
        <v>39.78</v>
      </c>
      <c r="DB61" s="228">
        <v>6.52</v>
      </c>
      <c r="DC61" s="228">
        <v>6.52</v>
      </c>
      <c r="DD61" s="228">
        <v>45.7</v>
      </c>
      <c r="DE61" s="228">
        <v>45.75</v>
      </c>
      <c r="DF61" s="228">
        <v>0.6</v>
      </c>
      <c r="DG61" s="228">
        <v>-0.05</v>
      </c>
      <c r="DH61" s="228">
        <v>45.42</v>
      </c>
      <c r="DI61" s="228">
        <v>39.26</v>
      </c>
      <c r="DJ61" s="228">
        <v>6.16</v>
      </c>
      <c r="DK61" s="228">
        <v>6.16</v>
      </c>
      <c r="DL61" s="228">
        <v>47.74</v>
      </c>
      <c r="DM61" s="228">
        <v>40.96</v>
      </c>
      <c r="DN61" s="228">
        <v>6.78</v>
      </c>
      <c r="DO61" s="228">
        <v>6.78</v>
      </c>
      <c r="DP61" s="228">
        <v>0.62</v>
      </c>
      <c r="DQ61" s="228">
        <v>0.71</v>
      </c>
      <c r="DR61" s="228">
        <v>-0.09</v>
      </c>
      <c r="DS61" s="229">
        <v>-0.1268</v>
      </c>
      <c r="DT61" s="228">
        <v>350</v>
      </c>
      <c r="DU61" s="228">
        <v>330</v>
      </c>
      <c r="DV61" s="228">
        <v>0.61</v>
      </c>
      <c r="DW61" s="228">
        <v>0.44</v>
      </c>
      <c r="DX61" s="228">
        <v>0.17</v>
      </c>
      <c r="DY61" s="229">
        <v>0.38640000000000002</v>
      </c>
      <c r="DZ61" s="229">
        <v>3.9899999999999998E-2</v>
      </c>
      <c r="EA61" s="230">
        <v>4360150</v>
      </c>
      <c r="EB61" s="229">
        <v>3.3999999999999998E-3</v>
      </c>
      <c r="EC61" s="229">
        <v>3.9899999999999998E-2</v>
      </c>
      <c r="ED61" s="228">
        <v>1.18</v>
      </c>
      <c r="EE61" s="229">
        <v>3.3E-3</v>
      </c>
      <c r="EF61" s="230">
        <v>31941679</v>
      </c>
      <c r="EG61" s="230">
        <v>19303667</v>
      </c>
      <c r="EH61" s="229">
        <v>0.65469999999999995</v>
      </c>
      <c r="EI61" s="229">
        <v>0.33550000000000002</v>
      </c>
      <c r="EJ61" s="231">
        <v>2086835.74</v>
      </c>
      <c r="EK61" s="231">
        <v>1167926.72</v>
      </c>
      <c r="EL61" s="231">
        <v>651439.77</v>
      </c>
      <c r="EM61" s="231">
        <v>9716</v>
      </c>
      <c r="EN61" s="231">
        <v>3906202.23</v>
      </c>
      <c r="EO61" s="231">
        <v>580036.67000000004</v>
      </c>
      <c r="EP61" s="231">
        <v>3326165.56</v>
      </c>
      <c r="EQ61" s="229">
        <v>5.7343999999999999</v>
      </c>
      <c r="ER61" s="231">
        <v>324194</v>
      </c>
      <c r="ES61" s="231">
        <v>184344</v>
      </c>
      <c r="ET61" s="231">
        <v>765227</v>
      </c>
      <c r="EU61" s="231">
        <v>1361988292</v>
      </c>
      <c r="EV61" s="231">
        <v>1273765</v>
      </c>
      <c r="EW61" s="231">
        <v>1172271</v>
      </c>
      <c r="EX61" s="231">
        <v>101494</v>
      </c>
      <c r="EY61" s="229">
        <v>8.6599999999999996E-2</v>
      </c>
      <c r="EZ61" s="229">
        <v>0.26900000000000002</v>
      </c>
      <c r="FA61" s="227" t="s">
        <v>568</v>
      </c>
      <c r="FB61" s="161">
        <f t="shared" si="0"/>
        <v>8768800</v>
      </c>
    </row>
    <row r="62" spans="1:158" ht="17.25" hidden="1" thickBot="1" x14ac:dyDescent="0.3">
      <c r="A62" s="226">
        <v>45946</v>
      </c>
      <c r="B62" s="227" t="s">
        <v>162</v>
      </c>
      <c r="C62" s="227" t="s">
        <v>211</v>
      </c>
      <c r="D62" s="228">
        <v>1800</v>
      </c>
      <c r="E62" s="228">
        <v>398.95</v>
      </c>
      <c r="F62" s="228">
        <v>392.35</v>
      </c>
      <c r="G62" s="228">
        <v>6.6</v>
      </c>
      <c r="H62" s="229">
        <v>1.6799999999999999E-2</v>
      </c>
      <c r="I62" s="228">
        <v>397.85</v>
      </c>
      <c r="J62" s="228">
        <v>390.6</v>
      </c>
      <c r="K62" s="228">
        <v>7.25</v>
      </c>
      <c r="L62" s="229">
        <v>1.8599999999999998E-2</v>
      </c>
      <c r="M62" s="228">
        <v>398.95</v>
      </c>
      <c r="N62" s="228">
        <v>392.35</v>
      </c>
      <c r="O62" s="228">
        <v>6.6</v>
      </c>
      <c r="P62" s="229">
        <v>1.6799999999999999E-2</v>
      </c>
      <c r="Q62" s="228">
        <v>401.25</v>
      </c>
      <c r="R62" s="228">
        <v>394.4</v>
      </c>
      <c r="S62" s="228">
        <v>6.85</v>
      </c>
      <c r="T62" s="229">
        <v>1.7399999999999999E-2</v>
      </c>
      <c r="U62" s="228">
        <v>403.7</v>
      </c>
      <c r="V62" s="228">
        <v>397.25</v>
      </c>
      <c r="W62" s="228">
        <v>6.45</v>
      </c>
      <c r="X62" s="229">
        <v>1.6199999999999999E-2</v>
      </c>
      <c r="Y62" s="228">
        <v>1.1000000000000001</v>
      </c>
      <c r="Z62" s="228">
        <v>1.75</v>
      </c>
      <c r="AA62" s="228">
        <v>-0.65</v>
      </c>
      <c r="AB62" s="229">
        <v>2.8E-3</v>
      </c>
      <c r="AC62" s="228">
        <v>1.1000000000000001</v>
      </c>
      <c r="AD62" s="228">
        <v>1.75</v>
      </c>
      <c r="AE62" s="228">
        <v>-0.65</v>
      </c>
      <c r="AF62" s="229">
        <v>2.8E-3</v>
      </c>
      <c r="AG62" s="228">
        <v>3.4</v>
      </c>
      <c r="AH62" s="228">
        <v>3.8</v>
      </c>
      <c r="AI62" s="228">
        <v>-0.4</v>
      </c>
      <c r="AJ62" s="229">
        <v>8.5000000000000006E-3</v>
      </c>
      <c r="AK62" s="228">
        <v>5.85</v>
      </c>
      <c r="AL62" s="228">
        <v>6.65</v>
      </c>
      <c r="AM62" s="228">
        <v>-0.8</v>
      </c>
      <c r="AN62" s="229">
        <v>1.47E-2</v>
      </c>
      <c r="AO62" s="228">
        <v>397.63</v>
      </c>
      <c r="AP62" s="228">
        <v>400.31</v>
      </c>
      <c r="AQ62" s="228">
        <v>0</v>
      </c>
      <c r="AR62" s="230">
        <v>5522400</v>
      </c>
      <c r="AS62" s="230">
        <v>3186000</v>
      </c>
      <c r="AT62" s="230">
        <v>2336400</v>
      </c>
      <c r="AU62" s="229">
        <v>0.73329999999999995</v>
      </c>
      <c r="AV62" s="230">
        <v>4343400</v>
      </c>
      <c r="AW62" s="230">
        <v>2606400</v>
      </c>
      <c r="AX62" s="230">
        <v>1737000</v>
      </c>
      <c r="AY62" s="229">
        <v>0.66639999999999999</v>
      </c>
      <c r="AZ62" s="230">
        <v>1137600</v>
      </c>
      <c r="BA62" s="230">
        <v>558000</v>
      </c>
      <c r="BB62" s="230">
        <v>579600</v>
      </c>
      <c r="BC62" s="229">
        <v>1.0387</v>
      </c>
      <c r="BD62" s="230">
        <v>41400</v>
      </c>
      <c r="BE62" s="230">
        <v>21600</v>
      </c>
      <c r="BF62" s="230">
        <v>19800</v>
      </c>
      <c r="BG62" s="229">
        <v>0.91669999999999996</v>
      </c>
      <c r="BH62" s="230">
        <v>16581600</v>
      </c>
      <c r="BI62" s="230">
        <v>8703000</v>
      </c>
      <c r="BJ62" s="230">
        <v>7878600</v>
      </c>
      <c r="BK62" s="229">
        <v>0.90529999999999999</v>
      </c>
      <c r="BL62" s="230">
        <v>8735400</v>
      </c>
      <c r="BM62" s="230">
        <v>5538600</v>
      </c>
      <c r="BN62" s="230">
        <v>3196800</v>
      </c>
      <c r="BO62" s="229">
        <v>0.57720000000000005</v>
      </c>
      <c r="BP62" s="230">
        <v>30839400</v>
      </c>
      <c r="BQ62" s="230">
        <v>17427600</v>
      </c>
      <c r="BR62" s="230">
        <v>13411800</v>
      </c>
      <c r="BS62" s="229">
        <v>0.76959999999999995</v>
      </c>
      <c r="BT62" s="230">
        <v>1584384</v>
      </c>
      <c r="BU62" s="230">
        <v>1652657</v>
      </c>
      <c r="BV62" s="230">
        <v>-68273</v>
      </c>
      <c r="BW62" s="229">
        <v>-4.1300000000000003E-2</v>
      </c>
      <c r="BX62" s="230">
        <v>30839400</v>
      </c>
      <c r="BY62" s="230">
        <v>30918600</v>
      </c>
      <c r="BZ62" s="230">
        <v>-79200</v>
      </c>
      <c r="CA62" s="229">
        <v>-2.5999999999999999E-3</v>
      </c>
      <c r="CB62" s="230">
        <v>28326600</v>
      </c>
      <c r="CC62" s="230">
        <v>28848600</v>
      </c>
      <c r="CD62" s="230">
        <v>-522000</v>
      </c>
      <c r="CE62" s="229">
        <v>-1.8100000000000002E-2</v>
      </c>
      <c r="CF62" s="230">
        <v>2419200</v>
      </c>
      <c r="CG62" s="230">
        <v>1972800</v>
      </c>
      <c r="CH62" s="230">
        <v>446400</v>
      </c>
      <c r="CI62" s="229">
        <v>0.2263</v>
      </c>
      <c r="CJ62" s="230">
        <v>93600</v>
      </c>
      <c r="CK62" s="230">
        <v>97200</v>
      </c>
      <c r="CL62" s="230">
        <v>-3600</v>
      </c>
      <c r="CM62" s="229">
        <v>-3.6999999999999998E-2</v>
      </c>
      <c r="CN62" s="230">
        <v>13030200</v>
      </c>
      <c r="CO62" s="230">
        <v>13408200</v>
      </c>
      <c r="CP62" s="230">
        <v>-378000</v>
      </c>
      <c r="CQ62" s="229">
        <v>-2.8199999999999999E-2</v>
      </c>
      <c r="CR62" s="230">
        <v>8758800</v>
      </c>
      <c r="CS62" s="230">
        <v>8555400</v>
      </c>
      <c r="CT62" s="230">
        <v>203400</v>
      </c>
      <c r="CU62" s="229">
        <v>2.3800000000000002E-2</v>
      </c>
      <c r="CV62" s="230">
        <v>52628400</v>
      </c>
      <c r="CW62" s="230">
        <v>52882200</v>
      </c>
      <c r="CX62" s="230">
        <v>-253800</v>
      </c>
      <c r="CY62" s="229">
        <v>-4.7999999999999996E-3</v>
      </c>
      <c r="CZ62" s="228">
        <v>22.25</v>
      </c>
      <c r="DA62" s="228">
        <v>23.96</v>
      </c>
      <c r="DB62" s="228">
        <v>-1.71</v>
      </c>
      <c r="DC62" s="228">
        <v>-1.71</v>
      </c>
      <c r="DD62" s="228">
        <v>35.729999999999997</v>
      </c>
      <c r="DE62" s="228">
        <v>35.75</v>
      </c>
      <c r="DF62" s="228">
        <v>-13.48</v>
      </c>
      <c r="DG62" s="228">
        <v>-0.02</v>
      </c>
      <c r="DH62" s="228">
        <v>22.1</v>
      </c>
      <c r="DI62" s="228">
        <v>24.32</v>
      </c>
      <c r="DJ62" s="228">
        <v>-2.2200000000000002</v>
      </c>
      <c r="DK62" s="228">
        <v>-2.2200000000000002</v>
      </c>
      <c r="DL62" s="228">
        <v>22.54</v>
      </c>
      <c r="DM62" s="228">
        <v>23.39</v>
      </c>
      <c r="DN62" s="228">
        <v>-0.85</v>
      </c>
      <c r="DO62" s="228">
        <v>-0.85</v>
      </c>
      <c r="DP62" s="228">
        <v>0.67</v>
      </c>
      <c r="DQ62" s="228">
        <v>0.64</v>
      </c>
      <c r="DR62" s="228">
        <v>0.03</v>
      </c>
      <c r="DS62" s="229">
        <v>4.6899999999999997E-2</v>
      </c>
      <c r="DT62" s="228">
        <v>400</v>
      </c>
      <c r="DU62" s="228">
        <v>400</v>
      </c>
      <c r="DV62" s="228">
        <v>0.53</v>
      </c>
      <c r="DW62" s="228">
        <v>0.64</v>
      </c>
      <c r="DX62" s="228">
        <v>-0.11</v>
      </c>
      <c r="DY62" s="229">
        <v>-0.1719</v>
      </c>
      <c r="DZ62" s="229">
        <v>8.1500000000000003E-2</v>
      </c>
      <c r="EA62" s="230">
        <v>2070000</v>
      </c>
      <c r="EB62" s="229">
        <v>5.7999999999999996E-3</v>
      </c>
      <c r="EC62" s="229">
        <v>8.1500000000000003E-2</v>
      </c>
      <c r="ED62" s="228">
        <v>2.68</v>
      </c>
      <c r="EE62" s="229">
        <v>6.7000000000000002E-3</v>
      </c>
      <c r="EF62" s="230">
        <v>725104</v>
      </c>
      <c r="EG62" s="230">
        <v>1059343</v>
      </c>
      <c r="EH62" s="229">
        <v>-0.3155</v>
      </c>
      <c r="EI62" s="229">
        <v>0.4577</v>
      </c>
      <c r="EJ62" s="231">
        <v>67787.72</v>
      </c>
      <c r="EK62" s="231">
        <v>34452.01</v>
      </c>
      <c r="EL62" s="231">
        <v>21991.5</v>
      </c>
      <c r="EM62" s="231">
        <v>2422</v>
      </c>
      <c r="EN62" s="231">
        <v>124231.23</v>
      </c>
      <c r="EO62" s="231">
        <v>69967.19</v>
      </c>
      <c r="EP62" s="231">
        <v>54264.04</v>
      </c>
      <c r="EQ62" s="229">
        <v>0.77559999999999996</v>
      </c>
      <c r="ER62" s="231">
        <v>54042</v>
      </c>
      <c r="ES62" s="231">
        <v>34418</v>
      </c>
      <c r="ET62" s="231">
        <v>123094</v>
      </c>
      <c r="EU62" s="231">
        <v>68856800</v>
      </c>
      <c r="EV62" s="231">
        <v>211554</v>
      </c>
      <c r="EW62" s="231">
        <v>210542</v>
      </c>
      <c r="EX62" s="231">
        <v>1012</v>
      </c>
      <c r="EY62" s="229">
        <v>4.7999999999999996E-3</v>
      </c>
      <c r="EZ62" s="229">
        <v>0.76429999999999998</v>
      </c>
      <c r="FA62" s="227" t="s">
        <v>556</v>
      </c>
      <c r="FB62" s="161">
        <f t="shared" si="0"/>
        <v>2512800</v>
      </c>
    </row>
    <row r="63" spans="1:158" ht="17.25" hidden="1" thickBot="1" x14ac:dyDescent="0.3">
      <c r="A63" s="226">
        <v>45946</v>
      </c>
      <c r="B63" s="227" t="s">
        <v>172</v>
      </c>
      <c r="C63" s="227" t="s">
        <v>212</v>
      </c>
      <c r="D63" s="228">
        <v>5000</v>
      </c>
      <c r="E63" s="228">
        <v>215.29</v>
      </c>
      <c r="F63" s="228">
        <v>217.25</v>
      </c>
      <c r="G63" s="228">
        <v>-1.96</v>
      </c>
      <c r="H63" s="229">
        <v>-8.9999999999999993E-3</v>
      </c>
      <c r="I63" s="228">
        <v>214.5</v>
      </c>
      <c r="J63" s="228">
        <v>216.33</v>
      </c>
      <c r="K63" s="228">
        <v>-1.83</v>
      </c>
      <c r="L63" s="229">
        <v>-8.5000000000000006E-3</v>
      </c>
      <c r="M63" s="228">
        <v>215.29</v>
      </c>
      <c r="N63" s="228">
        <v>217.25</v>
      </c>
      <c r="O63" s="228">
        <v>-1.96</v>
      </c>
      <c r="P63" s="229">
        <v>-8.9999999999999993E-3</v>
      </c>
      <c r="Q63" s="228">
        <v>216.35</v>
      </c>
      <c r="R63" s="228">
        <v>218.32</v>
      </c>
      <c r="S63" s="228">
        <v>-1.97</v>
      </c>
      <c r="T63" s="229">
        <v>-8.9999999999999993E-3</v>
      </c>
      <c r="U63" s="228">
        <v>217.39</v>
      </c>
      <c r="V63" s="228">
        <v>219.4</v>
      </c>
      <c r="W63" s="228">
        <v>-2.0099999999999998</v>
      </c>
      <c r="X63" s="229">
        <v>-9.1999999999999998E-3</v>
      </c>
      <c r="Y63" s="228">
        <v>0.79</v>
      </c>
      <c r="Z63" s="228">
        <v>0.92</v>
      </c>
      <c r="AA63" s="228">
        <v>-0.13</v>
      </c>
      <c r="AB63" s="229">
        <v>3.7000000000000002E-3</v>
      </c>
      <c r="AC63" s="228">
        <v>0.79</v>
      </c>
      <c r="AD63" s="228">
        <v>0.92</v>
      </c>
      <c r="AE63" s="228">
        <v>-0.13</v>
      </c>
      <c r="AF63" s="229">
        <v>3.7000000000000002E-3</v>
      </c>
      <c r="AG63" s="228">
        <v>1.85</v>
      </c>
      <c r="AH63" s="228">
        <v>1.99</v>
      </c>
      <c r="AI63" s="228">
        <v>-0.14000000000000001</v>
      </c>
      <c r="AJ63" s="229">
        <v>8.6E-3</v>
      </c>
      <c r="AK63" s="228">
        <v>2.89</v>
      </c>
      <c r="AL63" s="228">
        <v>3.07</v>
      </c>
      <c r="AM63" s="228">
        <v>-0.18</v>
      </c>
      <c r="AN63" s="229">
        <v>1.35E-2</v>
      </c>
      <c r="AO63" s="228">
        <v>215.96</v>
      </c>
      <c r="AP63" s="228">
        <v>217</v>
      </c>
      <c r="AQ63" s="228">
        <v>0</v>
      </c>
      <c r="AR63" s="230">
        <v>25050000</v>
      </c>
      <c r="AS63" s="230">
        <v>29915000</v>
      </c>
      <c r="AT63" s="230">
        <v>-4865000</v>
      </c>
      <c r="AU63" s="229">
        <v>-0.16259999999999999</v>
      </c>
      <c r="AV63" s="230">
        <v>21455000</v>
      </c>
      <c r="AW63" s="230">
        <v>25975000</v>
      </c>
      <c r="AX63" s="230">
        <v>-4520000</v>
      </c>
      <c r="AY63" s="229">
        <v>-0.17399999999999999</v>
      </c>
      <c r="AZ63" s="230">
        <v>3440000</v>
      </c>
      <c r="BA63" s="230">
        <v>3725000</v>
      </c>
      <c r="BB63" s="230">
        <v>-285000</v>
      </c>
      <c r="BC63" s="229">
        <v>-7.6499999999999999E-2</v>
      </c>
      <c r="BD63" s="230">
        <v>155000</v>
      </c>
      <c r="BE63" s="230">
        <v>215000</v>
      </c>
      <c r="BF63" s="230">
        <v>-60000</v>
      </c>
      <c r="BG63" s="229">
        <v>-0.27910000000000001</v>
      </c>
      <c r="BH63" s="230">
        <v>59060000</v>
      </c>
      <c r="BI63" s="230">
        <v>95585000</v>
      </c>
      <c r="BJ63" s="230">
        <v>-36525000</v>
      </c>
      <c r="BK63" s="229">
        <v>-0.3821</v>
      </c>
      <c r="BL63" s="230">
        <v>26355000</v>
      </c>
      <c r="BM63" s="230">
        <v>45145000</v>
      </c>
      <c r="BN63" s="230">
        <v>-18790000</v>
      </c>
      <c r="BO63" s="229">
        <v>-0.41620000000000001</v>
      </c>
      <c r="BP63" s="230">
        <v>110465000</v>
      </c>
      <c r="BQ63" s="230">
        <v>170645000</v>
      </c>
      <c r="BR63" s="230">
        <v>-60180000</v>
      </c>
      <c r="BS63" s="229">
        <v>-0.35270000000000001</v>
      </c>
      <c r="BT63" s="230">
        <v>5913196</v>
      </c>
      <c r="BU63" s="230">
        <v>8543662</v>
      </c>
      <c r="BV63" s="230">
        <v>-2630466</v>
      </c>
      <c r="BW63" s="229">
        <v>-0.30790000000000001</v>
      </c>
      <c r="BX63" s="230">
        <v>100940000</v>
      </c>
      <c r="BY63" s="230">
        <v>98845000</v>
      </c>
      <c r="BZ63" s="230">
        <v>2095000</v>
      </c>
      <c r="CA63" s="229">
        <v>2.12E-2</v>
      </c>
      <c r="CB63" s="230">
        <v>93820000</v>
      </c>
      <c r="CC63" s="230">
        <v>93060000</v>
      </c>
      <c r="CD63" s="230">
        <v>760000</v>
      </c>
      <c r="CE63" s="229">
        <v>8.2000000000000007E-3</v>
      </c>
      <c r="CF63" s="230">
        <v>6470000</v>
      </c>
      <c r="CG63" s="230">
        <v>5110000</v>
      </c>
      <c r="CH63" s="230">
        <v>1360000</v>
      </c>
      <c r="CI63" s="229">
        <v>0.2661</v>
      </c>
      <c r="CJ63" s="230">
        <v>650000</v>
      </c>
      <c r="CK63" s="230">
        <v>675000</v>
      </c>
      <c r="CL63" s="230">
        <v>-25000</v>
      </c>
      <c r="CM63" s="229">
        <v>-3.6999999999999998E-2</v>
      </c>
      <c r="CN63" s="230">
        <v>68715000</v>
      </c>
      <c r="CO63" s="230">
        <v>68430000</v>
      </c>
      <c r="CP63" s="230">
        <v>285000</v>
      </c>
      <c r="CQ63" s="229">
        <v>4.1999999999999997E-3</v>
      </c>
      <c r="CR63" s="230">
        <v>45025000</v>
      </c>
      <c r="CS63" s="230">
        <v>44610000</v>
      </c>
      <c r="CT63" s="230">
        <v>415000</v>
      </c>
      <c r="CU63" s="229">
        <v>9.2999999999999992E-3</v>
      </c>
      <c r="CV63" s="230">
        <v>214680000</v>
      </c>
      <c r="CW63" s="230">
        <v>211885000</v>
      </c>
      <c r="CX63" s="230">
        <v>2795000</v>
      </c>
      <c r="CY63" s="229">
        <v>1.32E-2</v>
      </c>
      <c r="CZ63" s="228">
        <v>31.71</v>
      </c>
      <c r="DA63" s="228">
        <v>31.07</v>
      </c>
      <c r="DB63" s="228">
        <v>0.64</v>
      </c>
      <c r="DC63" s="228">
        <v>0.64</v>
      </c>
      <c r="DD63" s="228">
        <v>28.65</v>
      </c>
      <c r="DE63" s="228">
        <v>28.7</v>
      </c>
      <c r="DF63" s="228">
        <v>3.06</v>
      </c>
      <c r="DG63" s="228">
        <v>-0.05</v>
      </c>
      <c r="DH63" s="228">
        <v>31.74</v>
      </c>
      <c r="DI63" s="228">
        <v>30.76</v>
      </c>
      <c r="DJ63" s="228">
        <v>0.98</v>
      </c>
      <c r="DK63" s="228">
        <v>0.98</v>
      </c>
      <c r="DL63" s="228">
        <v>31.62</v>
      </c>
      <c r="DM63" s="228">
        <v>31.73</v>
      </c>
      <c r="DN63" s="228">
        <v>-0.11</v>
      </c>
      <c r="DO63" s="228">
        <v>-0.11</v>
      </c>
      <c r="DP63" s="228">
        <v>0.66</v>
      </c>
      <c r="DQ63" s="228">
        <v>0.65</v>
      </c>
      <c r="DR63" s="228">
        <v>0.01</v>
      </c>
      <c r="DS63" s="229">
        <v>1.54E-2</v>
      </c>
      <c r="DT63" s="228">
        <v>225</v>
      </c>
      <c r="DU63" s="228">
        <v>210</v>
      </c>
      <c r="DV63" s="228">
        <v>0.45</v>
      </c>
      <c r="DW63" s="228">
        <v>0.47</v>
      </c>
      <c r="DX63" s="228">
        <v>-0.02</v>
      </c>
      <c r="DY63" s="229">
        <v>-4.2599999999999999E-2</v>
      </c>
      <c r="DZ63" s="229">
        <v>7.0499999999999993E-2</v>
      </c>
      <c r="EA63" s="230">
        <v>5785000</v>
      </c>
      <c r="EB63" s="229">
        <v>4.8999999999999998E-3</v>
      </c>
      <c r="EC63" s="229">
        <v>7.0499999999999993E-2</v>
      </c>
      <c r="ED63" s="228">
        <v>1.04</v>
      </c>
      <c r="EE63" s="229">
        <v>4.7999999999999996E-3</v>
      </c>
      <c r="EF63" s="230">
        <v>3257202</v>
      </c>
      <c r="EG63" s="230">
        <v>4947238</v>
      </c>
      <c r="EH63" s="229">
        <v>-0.34160000000000001</v>
      </c>
      <c r="EI63" s="229">
        <v>0.55079999999999996</v>
      </c>
      <c r="EJ63" s="231">
        <v>132660.79999999999</v>
      </c>
      <c r="EK63" s="231">
        <v>56488.76</v>
      </c>
      <c r="EL63" s="231">
        <v>54138.07</v>
      </c>
      <c r="EM63" s="231">
        <v>7226</v>
      </c>
      <c r="EN63" s="231">
        <v>243287.63</v>
      </c>
      <c r="EO63" s="231">
        <v>376070.98</v>
      </c>
      <c r="EP63" s="231">
        <v>-132783.35</v>
      </c>
      <c r="EQ63" s="229">
        <v>-0.35310000000000002</v>
      </c>
      <c r="ER63" s="231">
        <v>149450</v>
      </c>
      <c r="ES63" s="231">
        <v>91135</v>
      </c>
      <c r="ET63" s="231">
        <v>217396</v>
      </c>
      <c r="EU63" s="231">
        <v>338654719</v>
      </c>
      <c r="EV63" s="231">
        <v>457981</v>
      </c>
      <c r="EW63" s="231">
        <v>453367</v>
      </c>
      <c r="EX63" s="231">
        <v>4614</v>
      </c>
      <c r="EY63" s="229">
        <v>1.0200000000000001E-2</v>
      </c>
      <c r="EZ63" s="229">
        <v>0.63390000000000002</v>
      </c>
      <c r="FA63" s="227" t="s">
        <v>567</v>
      </c>
      <c r="FB63" s="161">
        <f t="shared" si="0"/>
        <v>7120000</v>
      </c>
    </row>
    <row r="64" spans="1:158" ht="17.25" hidden="1" thickBot="1" x14ac:dyDescent="0.3">
      <c r="A64" s="226">
        <v>45946</v>
      </c>
      <c r="B64" s="227" t="s">
        <v>181</v>
      </c>
      <c r="C64" s="227" t="s">
        <v>480</v>
      </c>
      <c r="D64" s="228">
        <v>65</v>
      </c>
      <c r="E64" s="231">
        <v>27409.4</v>
      </c>
      <c r="F64" s="231">
        <v>27165.7</v>
      </c>
      <c r="G64" s="228">
        <v>243.7</v>
      </c>
      <c r="H64" s="229">
        <v>8.9999999999999993E-3</v>
      </c>
      <c r="I64" s="231">
        <v>27381.200000000001</v>
      </c>
      <c r="J64" s="231">
        <v>27071.8</v>
      </c>
      <c r="K64" s="228">
        <v>309.39999999999998</v>
      </c>
      <c r="L64" s="229">
        <v>1.14E-2</v>
      </c>
      <c r="M64" s="231">
        <v>27409.4</v>
      </c>
      <c r="N64" s="231">
        <v>27165.7</v>
      </c>
      <c r="O64" s="228">
        <v>243.7</v>
      </c>
      <c r="P64" s="229">
        <v>8.9999999999999993E-3</v>
      </c>
      <c r="Q64" s="231">
        <v>27526.9</v>
      </c>
      <c r="R64" s="231">
        <v>27279.1</v>
      </c>
      <c r="S64" s="228">
        <v>247.8</v>
      </c>
      <c r="T64" s="229">
        <v>9.1000000000000004E-3</v>
      </c>
      <c r="U64" s="228">
        <v>0</v>
      </c>
      <c r="V64" s="228">
        <v>0</v>
      </c>
      <c r="W64" s="228">
        <v>0</v>
      </c>
      <c r="X64" s="229">
        <v>0</v>
      </c>
      <c r="Y64" s="228">
        <v>28.2</v>
      </c>
      <c r="Z64" s="228">
        <v>93.9</v>
      </c>
      <c r="AA64" s="228">
        <v>-65.7</v>
      </c>
      <c r="AB64" s="229">
        <v>1E-3</v>
      </c>
      <c r="AC64" s="228">
        <v>28.2</v>
      </c>
      <c r="AD64" s="228">
        <v>93.9</v>
      </c>
      <c r="AE64" s="228">
        <v>-65.7</v>
      </c>
      <c r="AF64" s="229">
        <v>1E-3</v>
      </c>
      <c r="AG64" s="228">
        <v>145.69999999999999</v>
      </c>
      <c r="AH64" s="228">
        <v>207.3</v>
      </c>
      <c r="AI64" s="228">
        <v>-61.6</v>
      </c>
      <c r="AJ64" s="229">
        <v>5.3E-3</v>
      </c>
      <c r="AK64" s="228">
        <v>0</v>
      </c>
      <c r="AL64" s="228">
        <v>0</v>
      </c>
      <c r="AM64" s="228">
        <v>0</v>
      </c>
      <c r="AN64" s="229">
        <v>0</v>
      </c>
      <c r="AO64" s="231">
        <v>27306.25</v>
      </c>
      <c r="AP64" s="231">
        <v>27474.9</v>
      </c>
      <c r="AQ64" s="228">
        <v>0</v>
      </c>
      <c r="AR64" s="230">
        <v>27105</v>
      </c>
      <c r="AS64" s="230">
        <v>36335</v>
      </c>
      <c r="AT64" s="230">
        <v>-9230</v>
      </c>
      <c r="AU64" s="229">
        <v>-0.254</v>
      </c>
      <c r="AV64" s="230">
        <v>22165</v>
      </c>
      <c r="AW64" s="230">
        <v>33800</v>
      </c>
      <c r="AX64" s="230">
        <v>-11635</v>
      </c>
      <c r="AY64" s="229">
        <v>-0.34420000000000001</v>
      </c>
      <c r="AZ64" s="230">
        <v>4940</v>
      </c>
      <c r="BA64" s="230">
        <v>2535</v>
      </c>
      <c r="BB64" s="230">
        <v>2405</v>
      </c>
      <c r="BC64" s="229">
        <v>0.94869999999999999</v>
      </c>
      <c r="BD64" s="228">
        <v>0</v>
      </c>
      <c r="BE64" s="228">
        <v>0</v>
      </c>
      <c r="BF64" s="228">
        <v>0</v>
      </c>
      <c r="BG64" s="229">
        <v>0</v>
      </c>
      <c r="BH64" s="230">
        <v>3596905</v>
      </c>
      <c r="BI64" s="230">
        <v>2711800</v>
      </c>
      <c r="BJ64" s="230">
        <v>885105</v>
      </c>
      <c r="BK64" s="229">
        <v>0.32640000000000002</v>
      </c>
      <c r="BL64" s="230">
        <v>2163785</v>
      </c>
      <c r="BM64" s="230">
        <v>2025205</v>
      </c>
      <c r="BN64" s="230">
        <v>138580</v>
      </c>
      <c r="BO64" s="229">
        <v>6.8400000000000002E-2</v>
      </c>
      <c r="BP64" s="230">
        <v>5787795</v>
      </c>
      <c r="BQ64" s="230">
        <v>4773340</v>
      </c>
      <c r="BR64" s="230">
        <v>1014455</v>
      </c>
      <c r="BS64" s="229">
        <v>0.21249999999999999</v>
      </c>
      <c r="BT64" s="228">
        <v>0</v>
      </c>
      <c r="BU64" s="228">
        <v>0</v>
      </c>
      <c r="BV64" s="228">
        <v>0</v>
      </c>
      <c r="BW64" s="229">
        <v>0</v>
      </c>
      <c r="BX64" s="230">
        <v>43290</v>
      </c>
      <c r="BY64" s="230">
        <v>42445</v>
      </c>
      <c r="BZ64" s="228">
        <v>845</v>
      </c>
      <c r="CA64" s="229">
        <v>1.9900000000000001E-2</v>
      </c>
      <c r="CB64" s="230">
        <v>40495</v>
      </c>
      <c r="CC64" s="230">
        <v>40040</v>
      </c>
      <c r="CD64" s="228">
        <v>455</v>
      </c>
      <c r="CE64" s="229">
        <v>1.14E-2</v>
      </c>
      <c r="CF64" s="230">
        <v>2795</v>
      </c>
      <c r="CG64" s="230">
        <v>2405</v>
      </c>
      <c r="CH64" s="228">
        <v>390</v>
      </c>
      <c r="CI64" s="229">
        <v>0.16220000000000001</v>
      </c>
      <c r="CJ64" s="228">
        <v>0</v>
      </c>
      <c r="CK64" s="228">
        <v>0</v>
      </c>
      <c r="CL64" s="228">
        <v>0</v>
      </c>
      <c r="CM64" s="229">
        <v>0</v>
      </c>
      <c r="CN64" s="230">
        <v>1034280</v>
      </c>
      <c r="CO64" s="230">
        <v>1140360</v>
      </c>
      <c r="CP64" s="230">
        <v>-106080</v>
      </c>
      <c r="CQ64" s="229">
        <v>-9.2999999999999999E-2</v>
      </c>
      <c r="CR64" s="230">
        <v>971555</v>
      </c>
      <c r="CS64" s="230">
        <v>914225</v>
      </c>
      <c r="CT64" s="230">
        <v>57330</v>
      </c>
      <c r="CU64" s="229">
        <v>6.2700000000000006E-2</v>
      </c>
      <c r="CV64" s="230">
        <v>2049125</v>
      </c>
      <c r="CW64" s="230">
        <v>2097030</v>
      </c>
      <c r="CX64" s="230">
        <v>-47905</v>
      </c>
      <c r="CY64" s="229">
        <v>-2.2800000000000001E-2</v>
      </c>
      <c r="CZ64" s="228">
        <v>12.62</v>
      </c>
      <c r="DA64" s="228">
        <v>12.57</v>
      </c>
      <c r="DB64" s="228">
        <v>0.05</v>
      </c>
      <c r="DC64" s="228">
        <v>0.05</v>
      </c>
      <c r="DD64" s="228">
        <v>17.71</v>
      </c>
      <c r="DE64" s="228">
        <v>17.68</v>
      </c>
      <c r="DF64" s="228">
        <v>-5.09</v>
      </c>
      <c r="DG64" s="228">
        <v>0.03</v>
      </c>
      <c r="DH64" s="228">
        <v>11.92</v>
      </c>
      <c r="DI64" s="228">
        <v>11.59</v>
      </c>
      <c r="DJ64" s="228">
        <v>0.33</v>
      </c>
      <c r="DK64" s="228">
        <v>0.33</v>
      </c>
      <c r="DL64" s="228">
        <v>13.78</v>
      </c>
      <c r="DM64" s="228">
        <v>13.89</v>
      </c>
      <c r="DN64" s="228">
        <v>-0.11</v>
      </c>
      <c r="DO64" s="228">
        <v>-0.11</v>
      </c>
      <c r="DP64" s="228">
        <v>0.94</v>
      </c>
      <c r="DQ64" s="228">
        <v>0.8</v>
      </c>
      <c r="DR64" s="228">
        <v>0.14000000000000001</v>
      </c>
      <c r="DS64" s="229">
        <v>0.17499999999999999</v>
      </c>
      <c r="DT64" s="231">
        <v>27600</v>
      </c>
      <c r="DU64" s="231">
        <v>26900</v>
      </c>
      <c r="DV64" s="228">
        <v>0.6</v>
      </c>
      <c r="DW64" s="228">
        <v>0.75</v>
      </c>
      <c r="DX64" s="228">
        <v>-0.15</v>
      </c>
      <c r="DY64" s="229">
        <v>-0.2</v>
      </c>
      <c r="DZ64" s="229">
        <v>6.4600000000000005E-2</v>
      </c>
      <c r="EA64" s="230">
        <v>2405</v>
      </c>
      <c r="EB64" s="229">
        <v>4.3E-3</v>
      </c>
      <c r="EC64" s="229">
        <v>6.4600000000000005E-2</v>
      </c>
      <c r="ED64" s="228">
        <v>168.65</v>
      </c>
      <c r="EE64" s="229">
        <v>6.1999999999999998E-3</v>
      </c>
      <c r="EF64" s="228">
        <v>0</v>
      </c>
      <c r="EG64" s="228">
        <v>0</v>
      </c>
      <c r="EH64" s="229">
        <v>0</v>
      </c>
      <c r="EI64" s="229">
        <v>0</v>
      </c>
      <c r="EJ64" s="231">
        <v>997674.55</v>
      </c>
      <c r="EK64" s="231">
        <v>583295.26</v>
      </c>
      <c r="EL64" s="231">
        <v>7409.69</v>
      </c>
      <c r="EM64" s="228">
        <v>0</v>
      </c>
      <c r="EN64" s="231">
        <v>1588379.5</v>
      </c>
      <c r="EO64" s="231">
        <v>1296659.74</v>
      </c>
      <c r="EP64" s="231">
        <v>291719.76</v>
      </c>
      <c r="EQ64" s="229">
        <v>0.22500000000000001</v>
      </c>
      <c r="ER64" s="231">
        <v>284772</v>
      </c>
      <c r="ES64" s="231">
        <v>257411</v>
      </c>
      <c r="ET64" s="231">
        <v>11869</v>
      </c>
      <c r="EU64" s="228">
        <v>0</v>
      </c>
      <c r="EV64" s="231">
        <v>554052</v>
      </c>
      <c r="EW64" s="231">
        <v>565297</v>
      </c>
      <c r="EX64" s="231">
        <v>-11245</v>
      </c>
      <c r="EY64" s="229">
        <v>-1.9900000000000001E-2</v>
      </c>
      <c r="EZ64" s="229">
        <v>0</v>
      </c>
      <c r="FA64" s="227" t="s">
        <v>555</v>
      </c>
      <c r="FB64" s="161">
        <f t="shared" si="0"/>
        <v>2795</v>
      </c>
    </row>
    <row r="65" spans="1:158" ht="17.25" hidden="1" thickBot="1" x14ac:dyDescent="0.3">
      <c r="A65" s="226">
        <v>45946</v>
      </c>
      <c r="B65" s="227" t="s">
        <v>170</v>
      </c>
      <c r="C65" s="227" t="s">
        <v>678</v>
      </c>
      <c r="D65" s="228">
        <v>775</v>
      </c>
      <c r="E65" s="231">
        <v>1099.3</v>
      </c>
      <c r="F65" s="231">
        <v>1092.1500000000001</v>
      </c>
      <c r="G65" s="228">
        <v>7.15</v>
      </c>
      <c r="H65" s="229">
        <v>6.4999999999999997E-3</v>
      </c>
      <c r="I65" s="231">
        <v>1095.25</v>
      </c>
      <c r="J65" s="231">
        <v>1087.5999999999999</v>
      </c>
      <c r="K65" s="228">
        <v>7.65</v>
      </c>
      <c r="L65" s="229">
        <v>7.0000000000000001E-3</v>
      </c>
      <c r="M65" s="231">
        <v>1099.3</v>
      </c>
      <c r="N65" s="231">
        <v>1092.1500000000001</v>
      </c>
      <c r="O65" s="228">
        <v>7.15</v>
      </c>
      <c r="P65" s="229">
        <v>6.4999999999999997E-3</v>
      </c>
      <c r="Q65" s="231">
        <v>1103.8499999999999</v>
      </c>
      <c r="R65" s="231">
        <v>1094.7</v>
      </c>
      <c r="S65" s="228">
        <v>9.15</v>
      </c>
      <c r="T65" s="229">
        <v>8.3999999999999995E-3</v>
      </c>
      <c r="U65" s="231">
        <v>1102.5999999999999</v>
      </c>
      <c r="V65" s="231">
        <v>1099.0999999999999</v>
      </c>
      <c r="W65" s="228">
        <v>3.5</v>
      </c>
      <c r="X65" s="229">
        <v>3.2000000000000002E-3</v>
      </c>
      <c r="Y65" s="228">
        <v>4.05</v>
      </c>
      <c r="Z65" s="228">
        <v>4.55</v>
      </c>
      <c r="AA65" s="228">
        <v>-0.5</v>
      </c>
      <c r="AB65" s="229">
        <v>3.7000000000000002E-3</v>
      </c>
      <c r="AC65" s="228">
        <v>4.05</v>
      </c>
      <c r="AD65" s="228">
        <v>4.55</v>
      </c>
      <c r="AE65" s="228">
        <v>-0.5</v>
      </c>
      <c r="AF65" s="229">
        <v>3.7000000000000002E-3</v>
      </c>
      <c r="AG65" s="228">
        <v>8.6</v>
      </c>
      <c r="AH65" s="228">
        <v>7.1</v>
      </c>
      <c r="AI65" s="228">
        <v>1.5</v>
      </c>
      <c r="AJ65" s="229">
        <v>7.9000000000000008E-3</v>
      </c>
      <c r="AK65" s="228">
        <v>7.35</v>
      </c>
      <c r="AL65" s="228">
        <v>11.5</v>
      </c>
      <c r="AM65" s="228">
        <v>-4.1500000000000004</v>
      </c>
      <c r="AN65" s="229">
        <v>6.7000000000000002E-3</v>
      </c>
      <c r="AO65" s="231">
        <v>1093.3800000000001</v>
      </c>
      <c r="AP65" s="231">
        <v>1098.76</v>
      </c>
      <c r="AQ65" s="228">
        <v>0</v>
      </c>
      <c r="AR65" s="230">
        <v>1687950</v>
      </c>
      <c r="AS65" s="230">
        <v>1471725</v>
      </c>
      <c r="AT65" s="230">
        <v>216225</v>
      </c>
      <c r="AU65" s="229">
        <v>0.1469</v>
      </c>
      <c r="AV65" s="230">
        <v>1443050</v>
      </c>
      <c r="AW65" s="230">
        <v>1346950</v>
      </c>
      <c r="AX65" s="230">
        <v>96100</v>
      </c>
      <c r="AY65" s="229">
        <v>7.1300000000000002E-2</v>
      </c>
      <c r="AZ65" s="230">
        <v>234825</v>
      </c>
      <c r="BA65" s="230">
        <v>119350</v>
      </c>
      <c r="BB65" s="230">
        <v>115475</v>
      </c>
      <c r="BC65" s="229">
        <v>0.96750000000000003</v>
      </c>
      <c r="BD65" s="230">
        <v>10075</v>
      </c>
      <c r="BE65" s="230">
        <v>5425</v>
      </c>
      <c r="BF65" s="230">
        <v>4650</v>
      </c>
      <c r="BG65" s="229">
        <v>0.85709999999999997</v>
      </c>
      <c r="BH65" s="230">
        <v>4375650</v>
      </c>
      <c r="BI65" s="230">
        <v>3879650</v>
      </c>
      <c r="BJ65" s="230">
        <v>496000</v>
      </c>
      <c r="BK65" s="229">
        <v>0.1278</v>
      </c>
      <c r="BL65" s="230">
        <v>2130475</v>
      </c>
      <c r="BM65" s="230">
        <v>2283150</v>
      </c>
      <c r="BN65" s="230">
        <v>-152675</v>
      </c>
      <c r="BO65" s="229">
        <v>-6.6900000000000001E-2</v>
      </c>
      <c r="BP65" s="230">
        <v>8194075</v>
      </c>
      <c r="BQ65" s="230">
        <v>7634525</v>
      </c>
      <c r="BR65" s="230">
        <v>559550</v>
      </c>
      <c r="BS65" s="229">
        <v>7.3300000000000004E-2</v>
      </c>
      <c r="BT65" s="230">
        <v>1903646</v>
      </c>
      <c r="BU65" s="230">
        <v>1766256</v>
      </c>
      <c r="BV65" s="230">
        <v>137390</v>
      </c>
      <c r="BW65" s="229">
        <v>7.7799999999999994E-2</v>
      </c>
      <c r="BX65" s="230">
        <v>8349075</v>
      </c>
      <c r="BY65" s="230">
        <v>8335900</v>
      </c>
      <c r="BZ65" s="230">
        <v>13175</v>
      </c>
      <c r="CA65" s="229">
        <v>1.6000000000000001E-3</v>
      </c>
      <c r="CB65" s="230">
        <v>7823625</v>
      </c>
      <c r="CC65" s="230">
        <v>7863150</v>
      </c>
      <c r="CD65" s="230">
        <v>-39525</v>
      </c>
      <c r="CE65" s="229">
        <v>-5.0000000000000001E-3</v>
      </c>
      <c r="CF65" s="230">
        <v>471975</v>
      </c>
      <c r="CG65" s="230">
        <v>420825</v>
      </c>
      <c r="CH65" s="230">
        <v>51150</v>
      </c>
      <c r="CI65" s="229">
        <v>0.1215</v>
      </c>
      <c r="CJ65" s="230">
        <v>53475</v>
      </c>
      <c r="CK65" s="230">
        <v>51925</v>
      </c>
      <c r="CL65" s="230">
        <v>1550</v>
      </c>
      <c r="CM65" s="229">
        <v>2.9899999999999999E-2</v>
      </c>
      <c r="CN65" s="230">
        <v>4061000</v>
      </c>
      <c r="CO65" s="230">
        <v>4281875</v>
      </c>
      <c r="CP65" s="230">
        <v>-220875</v>
      </c>
      <c r="CQ65" s="229">
        <v>-5.16E-2</v>
      </c>
      <c r="CR65" s="230">
        <v>3372800</v>
      </c>
      <c r="CS65" s="230">
        <v>3394500</v>
      </c>
      <c r="CT65" s="230">
        <v>-21700</v>
      </c>
      <c r="CU65" s="229">
        <v>-6.4000000000000003E-3</v>
      </c>
      <c r="CV65" s="230">
        <v>15782875</v>
      </c>
      <c r="CW65" s="230">
        <v>16012275</v>
      </c>
      <c r="CX65" s="230">
        <v>-229400</v>
      </c>
      <c r="CY65" s="229">
        <v>-1.43E-2</v>
      </c>
      <c r="CZ65" s="228">
        <v>25.81</v>
      </c>
      <c r="DA65" s="228">
        <v>26.5</v>
      </c>
      <c r="DB65" s="228">
        <v>-0.69</v>
      </c>
      <c r="DC65" s="228">
        <v>-0.69</v>
      </c>
      <c r="DD65" s="228">
        <v>36.85</v>
      </c>
      <c r="DE65" s="228">
        <v>36.93</v>
      </c>
      <c r="DF65" s="228">
        <v>-11.04</v>
      </c>
      <c r="DG65" s="228">
        <v>-0.08</v>
      </c>
      <c r="DH65" s="228">
        <v>24.98</v>
      </c>
      <c r="DI65" s="228">
        <v>25.74</v>
      </c>
      <c r="DJ65" s="228">
        <v>-0.76</v>
      </c>
      <c r="DK65" s="228">
        <v>-0.76</v>
      </c>
      <c r="DL65" s="228">
        <v>27.51</v>
      </c>
      <c r="DM65" s="228">
        <v>27.79</v>
      </c>
      <c r="DN65" s="228">
        <v>-0.28000000000000003</v>
      </c>
      <c r="DO65" s="228">
        <v>-0.28000000000000003</v>
      </c>
      <c r="DP65" s="228">
        <v>0.83</v>
      </c>
      <c r="DQ65" s="228">
        <v>0.79</v>
      </c>
      <c r="DR65" s="228">
        <v>0.04</v>
      </c>
      <c r="DS65" s="229">
        <v>5.0599999999999999E-2</v>
      </c>
      <c r="DT65" s="231">
        <v>1100</v>
      </c>
      <c r="DU65" s="231">
        <v>1000</v>
      </c>
      <c r="DV65" s="228">
        <v>0.49</v>
      </c>
      <c r="DW65" s="228">
        <v>0.59</v>
      </c>
      <c r="DX65" s="228">
        <v>-0.1</v>
      </c>
      <c r="DY65" s="229">
        <v>-0.16950000000000001</v>
      </c>
      <c r="DZ65" s="229">
        <v>6.2899999999999998E-2</v>
      </c>
      <c r="EA65" s="230">
        <v>472750</v>
      </c>
      <c r="EB65" s="229">
        <v>4.1000000000000003E-3</v>
      </c>
      <c r="EC65" s="229">
        <v>6.2899999999999998E-2</v>
      </c>
      <c r="ED65" s="228">
        <v>5.38</v>
      </c>
      <c r="EE65" s="229">
        <v>4.8999999999999998E-3</v>
      </c>
      <c r="EF65" s="230">
        <v>1309968</v>
      </c>
      <c r="EG65" s="230">
        <v>1189606</v>
      </c>
      <c r="EH65" s="229">
        <v>0.1012</v>
      </c>
      <c r="EI65" s="229">
        <v>0.68810000000000004</v>
      </c>
      <c r="EJ65" s="231">
        <v>49177.82</v>
      </c>
      <c r="EK65" s="231">
        <v>22880.89</v>
      </c>
      <c r="EL65" s="231">
        <v>18468.96</v>
      </c>
      <c r="EM65" s="231">
        <v>2788</v>
      </c>
      <c r="EN65" s="231">
        <v>90527.67</v>
      </c>
      <c r="EO65" s="231">
        <v>84267.59</v>
      </c>
      <c r="EP65" s="231">
        <v>6260.08</v>
      </c>
      <c r="EQ65" s="229">
        <v>7.4300000000000005E-2</v>
      </c>
      <c r="ER65" s="231">
        <v>44264</v>
      </c>
      <c r="ES65" s="231">
        <v>34234</v>
      </c>
      <c r="ET65" s="231">
        <v>91805</v>
      </c>
      <c r="EU65" s="231">
        <v>62490435</v>
      </c>
      <c r="EV65" s="231">
        <v>170303</v>
      </c>
      <c r="EW65" s="231">
        <v>172110</v>
      </c>
      <c r="EX65" s="231">
        <v>-1807</v>
      </c>
      <c r="EY65" s="229">
        <v>-1.0500000000000001E-2</v>
      </c>
      <c r="EZ65" s="229">
        <v>0.25259999999999999</v>
      </c>
      <c r="FA65" s="227" t="s">
        <v>555</v>
      </c>
      <c r="FB65" s="161">
        <f t="shared" si="0"/>
        <v>525450</v>
      </c>
    </row>
    <row r="66" spans="1:158" ht="17.25" hidden="1" thickBot="1" x14ac:dyDescent="0.3">
      <c r="A66" s="226">
        <v>45946</v>
      </c>
      <c r="B66" s="227" t="s">
        <v>193</v>
      </c>
      <c r="C66" s="227" t="s">
        <v>213</v>
      </c>
      <c r="D66" s="228">
        <v>3150</v>
      </c>
      <c r="E66" s="228">
        <v>179.38</v>
      </c>
      <c r="F66" s="228">
        <v>177.52</v>
      </c>
      <c r="G66" s="228">
        <v>1.86</v>
      </c>
      <c r="H66" s="229">
        <v>1.0500000000000001E-2</v>
      </c>
      <c r="I66" s="228">
        <v>179.17</v>
      </c>
      <c r="J66" s="228">
        <v>177.37</v>
      </c>
      <c r="K66" s="228">
        <v>1.8</v>
      </c>
      <c r="L66" s="229">
        <v>1.01E-2</v>
      </c>
      <c r="M66" s="228">
        <v>179.38</v>
      </c>
      <c r="N66" s="228">
        <v>177.52</v>
      </c>
      <c r="O66" s="228">
        <v>1.86</v>
      </c>
      <c r="P66" s="229">
        <v>1.0500000000000001E-2</v>
      </c>
      <c r="Q66" s="228">
        <v>180.41</v>
      </c>
      <c r="R66" s="228">
        <v>178.59</v>
      </c>
      <c r="S66" s="228">
        <v>1.82</v>
      </c>
      <c r="T66" s="229">
        <v>1.0200000000000001E-2</v>
      </c>
      <c r="U66" s="228">
        <v>181.51</v>
      </c>
      <c r="V66" s="228">
        <v>179.81</v>
      </c>
      <c r="W66" s="228">
        <v>1.7</v>
      </c>
      <c r="X66" s="229">
        <v>9.4999999999999998E-3</v>
      </c>
      <c r="Y66" s="228">
        <v>0.21</v>
      </c>
      <c r="Z66" s="228">
        <v>0.15</v>
      </c>
      <c r="AA66" s="228">
        <v>0.06</v>
      </c>
      <c r="AB66" s="229">
        <v>1.1999999999999999E-3</v>
      </c>
      <c r="AC66" s="228">
        <v>0.21</v>
      </c>
      <c r="AD66" s="228">
        <v>0.15</v>
      </c>
      <c r="AE66" s="228">
        <v>0.06</v>
      </c>
      <c r="AF66" s="229">
        <v>1.1999999999999999E-3</v>
      </c>
      <c r="AG66" s="228">
        <v>1.24</v>
      </c>
      <c r="AH66" s="228">
        <v>1.22</v>
      </c>
      <c r="AI66" s="228">
        <v>0.02</v>
      </c>
      <c r="AJ66" s="229">
        <v>6.8999999999999999E-3</v>
      </c>
      <c r="AK66" s="228">
        <v>2.34</v>
      </c>
      <c r="AL66" s="228">
        <v>2.44</v>
      </c>
      <c r="AM66" s="228">
        <v>-0.1</v>
      </c>
      <c r="AN66" s="229">
        <v>1.3100000000000001E-2</v>
      </c>
      <c r="AO66" s="228">
        <v>179.38</v>
      </c>
      <c r="AP66" s="228">
        <v>180.25</v>
      </c>
      <c r="AQ66" s="228">
        <v>0</v>
      </c>
      <c r="AR66" s="230">
        <v>15564150</v>
      </c>
      <c r="AS66" s="230">
        <v>16260300</v>
      </c>
      <c r="AT66" s="230">
        <v>-696150</v>
      </c>
      <c r="AU66" s="229">
        <v>-4.2799999999999998E-2</v>
      </c>
      <c r="AV66" s="230">
        <v>13941900</v>
      </c>
      <c r="AW66" s="230">
        <v>14805000</v>
      </c>
      <c r="AX66" s="230">
        <v>-863100</v>
      </c>
      <c r="AY66" s="229">
        <v>-5.8299999999999998E-2</v>
      </c>
      <c r="AZ66" s="230">
        <v>1357650</v>
      </c>
      <c r="BA66" s="230">
        <v>1064700</v>
      </c>
      <c r="BB66" s="230">
        <v>292950</v>
      </c>
      <c r="BC66" s="229">
        <v>0.27510000000000001</v>
      </c>
      <c r="BD66" s="230">
        <v>264600</v>
      </c>
      <c r="BE66" s="230">
        <v>390600</v>
      </c>
      <c r="BF66" s="230">
        <v>-126000</v>
      </c>
      <c r="BG66" s="229">
        <v>-0.3226</v>
      </c>
      <c r="BH66" s="230">
        <v>38187450</v>
      </c>
      <c r="BI66" s="230">
        <v>35191800</v>
      </c>
      <c r="BJ66" s="230">
        <v>2995650</v>
      </c>
      <c r="BK66" s="229">
        <v>8.5099999999999995E-2</v>
      </c>
      <c r="BL66" s="230">
        <v>21045150</v>
      </c>
      <c r="BM66" s="230">
        <v>16672950</v>
      </c>
      <c r="BN66" s="230">
        <v>4372200</v>
      </c>
      <c r="BO66" s="229">
        <v>0.26219999999999999</v>
      </c>
      <c r="BP66" s="230">
        <v>74796750</v>
      </c>
      <c r="BQ66" s="230">
        <v>68125050</v>
      </c>
      <c r="BR66" s="230">
        <v>6671700</v>
      </c>
      <c r="BS66" s="229">
        <v>9.7900000000000001E-2</v>
      </c>
      <c r="BT66" s="230">
        <v>12958198</v>
      </c>
      <c r="BU66" s="230">
        <v>10695058</v>
      </c>
      <c r="BV66" s="230">
        <v>2263140</v>
      </c>
      <c r="BW66" s="229">
        <v>0.21160000000000001</v>
      </c>
      <c r="BX66" s="230">
        <v>96056100</v>
      </c>
      <c r="BY66" s="230">
        <v>97987050</v>
      </c>
      <c r="BZ66" s="230">
        <v>-1930950</v>
      </c>
      <c r="CA66" s="229">
        <v>-1.9699999999999999E-2</v>
      </c>
      <c r="CB66" s="230">
        <v>89671050</v>
      </c>
      <c r="CC66" s="230">
        <v>91611450</v>
      </c>
      <c r="CD66" s="230">
        <v>-1940400</v>
      </c>
      <c r="CE66" s="229">
        <v>-2.12E-2</v>
      </c>
      <c r="CF66" s="230">
        <v>5802300</v>
      </c>
      <c r="CG66" s="230">
        <v>5846400</v>
      </c>
      <c r="CH66" s="230">
        <v>-44100</v>
      </c>
      <c r="CI66" s="229">
        <v>-7.4999999999999997E-3</v>
      </c>
      <c r="CJ66" s="230">
        <v>582750</v>
      </c>
      <c r="CK66" s="230">
        <v>529200</v>
      </c>
      <c r="CL66" s="230">
        <v>53550</v>
      </c>
      <c r="CM66" s="229">
        <v>0.1012</v>
      </c>
      <c r="CN66" s="230">
        <v>41085450</v>
      </c>
      <c r="CO66" s="230">
        <v>43161300</v>
      </c>
      <c r="CP66" s="230">
        <v>-2075850</v>
      </c>
      <c r="CQ66" s="229">
        <v>-4.8099999999999997E-2</v>
      </c>
      <c r="CR66" s="230">
        <v>25007850</v>
      </c>
      <c r="CS66" s="230">
        <v>25426800</v>
      </c>
      <c r="CT66" s="230">
        <v>-418950</v>
      </c>
      <c r="CU66" s="229">
        <v>-1.6500000000000001E-2</v>
      </c>
      <c r="CV66" s="230">
        <v>162149400</v>
      </c>
      <c r="CW66" s="230">
        <v>166575150</v>
      </c>
      <c r="CX66" s="230">
        <v>-4425750</v>
      </c>
      <c r="CY66" s="229">
        <v>-2.6599999999999999E-2</v>
      </c>
      <c r="CZ66" s="228">
        <v>24.5</v>
      </c>
      <c r="DA66" s="228">
        <v>25.82</v>
      </c>
      <c r="DB66" s="228">
        <v>-1.32</v>
      </c>
      <c r="DC66" s="228">
        <v>-1.32</v>
      </c>
      <c r="DD66" s="228">
        <v>36.450000000000003</v>
      </c>
      <c r="DE66" s="228">
        <v>36.520000000000003</v>
      </c>
      <c r="DF66" s="228">
        <v>-11.95</v>
      </c>
      <c r="DG66" s="228">
        <v>-7.0000000000000007E-2</v>
      </c>
      <c r="DH66" s="228">
        <v>24.38</v>
      </c>
      <c r="DI66" s="228">
        <v>25.72</v>
      </c>
      <c r="DJ66" s="228">
        <v>-1.34</v>
      </c>
      <c r="DK66" s="228">
        <v>-1.34</v>
      </c>
      <c r="DL66" s="228">
        <v>24.7</v>
      </c>
      <c r="DM66" s="228">
        <v>26.04</v>
      </c>
      <c r="DN66" s="228">
        <v>-1.34</v>
      </c>
      <c r="DO66" s="228">
        <v>-1.34</v>
      </c>
      <c r="DP66" s="228">
        <v>0.61</v>
      </c>
      <c r="DQ66" s="228">
        <v>0.59</v>
      </c>
      <c r="DR66" s="228">
        <v>0.02</v>
      </c>
      <c r="DS66" s="229">
        <v>3.39E-2</v>
      </c>
      <c r="DT66" s="228">
        <v>180</v>
      </c>
      <c r="DU66" s="228">
        <v>180</v>
      </c>
      <c r="DV66" s="228">
        <v>0.55000000000000004</v>
      </c>
      <c r="DW66" s="228">
        <v>0.47</v>
      </c>
      <c r="DX66" s="228">
        <v>0.08</v>
      </c>
      <c r="DY66" s="229">
        <v>0.17019999999999999</v>
      </c>
      <c r="DZ66" s="229">
        <v>6.6500000000000004E-2</v>
      </c>
      <c r="EA66" s="230">
        <v>6375600</v>
      </c>
      <c r="EB66" s="229">
        <v>5.7000000000000002E-3</v>
      </c>
      <c r="EC66" s="229">
        <v>6.6500000000000004E-2</v>
      </c>
      <c r="ED66" s="228">
        <v>0.87</v>
      </c>
      <c r="EE66" s="229">
        <v>4.8999999999999998E-3</v>
      </c>
      <c r="EF66" s="230">
        <v>8172212</v>
      </c>
      <c r="EG66" s="230">
        <v>7068559</v>
      </c>
      <c r="EH66" s="229">
        <v>0.15609999999999999</v>
      </c>
      <c r="EI66" s="229">
        <v>0.63070000000000004</v>
      </c>
      <c r="EJ66" s="231">
        <v>71013.77</v>
      </c>
      <c r="EK66" s="231">
        <v>37417.79</v>
      </c>
      <c r="EL66" s="231">
        <v>27936.06</v>
      </c>
      <c r="EM66" s="231">
        <v>5264</v>
      </c>
      <c r="EN66" s="231">
        <v>136367.62</v>
      </c>
      <c r="EO66" s="231">
        <v>123579.57</v>
      </c>
      <c r="EP66" s="231">
        <v>12788.05</v>
      </c>
      <c r="EQ66" s="229">
        <v>0.10349999999999999</v>
      </c>
      <c r="ER66" s="231">
        <v>76268</v>
      </c>
      <c r="ES66" s="231">
        <v>44935</v>
      </c>
      <c r="ET66" s="231">
        <v>172378</v>
      </c>
      <c r="EU66" s="231">
        <v>402429848</v>
      </c>
      <c r="EV66" s="231">
        <v>293580</v>
      </c>
      <c r="EW66" s="231">
        <v>299623</v>
      </c>
      <c r="EX66" s="231">
        <v>-6043</v>
      </c>
      <c r="EY66" s="229">
        <v>-2.0199999999999999E-2</v>
      </c>
      <c r="EZ66" s="229">
        <v>0.40289999999999998</v>
      </c>
      <c r="FA66" s="227" t="s">
        <v>556</v>
      </c>
      <c r="FB66" s="161">
        <f t="shared" si="0"/>
        <v>6385050</v>
      </c>
    </row>
    <row r="67" spans="1:158" ht="17.25" hidden="1" thickBot="1" x14ac:dyDescent="0.3">
      <c r="A67" s="226">
        <v>45946</v>
      </c>
      <c r="B67" s="227" t="s">
        <v>170</v>
      </c>
      <c r="C67" s="227" t="s">
        <v>214</v>
      </c>
      <c r="D67" s="228">
        <v>375</v>
      </c>
      <c r="E67" s="231">
        <v>1872.6</v>
      </c>
      <c r="F67" s="231">
        <v>1897.8</v>
      </c>
      <c r="G67" s="228">
        <v>-25.2</v>
      </c>
      <c r="H67" s="229">
        <v>-1.3299999999999999E-2</v>
      </c>
      <c r="I67" s="231">
        <v>1864.4</v>
      </c>
      <c r="J67" s="231">
        <v>1894.2</v>
      </c>
      <c r="K67" s="228">
        <v>-29.8</v>
      </c>
      <c r="L67" s="229">
        <v>-1.5699999999999999E-2</v>
      </c>
      <c r="M67" s="231">
        <v>1872.6</v>
      </c>
      <c r="N67" s="231">
        <v>1897.8</v>
      </c>
      <c r="O67" s="228">
        <v>-25.2</v>
      </c>
      <c r="P67" s="229">
        <v>-1.3299999999999999E-2</v>
      </c>
      <c r="Q67" s="231">
        <v>1881.5</v>
      </c>
      <c r="R67" s="231">
        <v>1908.2</v>
      </c>
      <c r="S67" s="228">
        <v>-26.7</v>
      </c>
      <c r="T67" s="229">
        <v>-1.4E-2</v>
      </c>
      <c r="U67" s="231">
        <v>1896.2</v>
      </c>
      <c r="V67" s="231">
        <v>1920</v>
      </c>
      <c r="W67" s="228">
        <v>-23.8</v>
      </c>
      <c r="X67" s="229">
        <v>-1.24E-2</v>
      </c>
      <c r="Y67" s="228">
        <v>8.1999999999999993</v>
      </c>
      <c r="Z67" s="228">
        <v>3.6</v>
      </c>
      <c r="AA67" s="228">
        <v>4.5999999999999996</v>
      </c>
      <c r="AB67" s="229">
        <v>4.4000000000000003E-3</v>
      </c>
      <c r="AC67" s="228">
        <v>8.1999999999999993</v>
      </c>
      <c r="AD67" s="228">
        <v>3.6</v>
      </c>
      <c r="AE67" s="228">
        <v>4.5999999999999996</v>
      </c>
      <c r="AF67" s="229">
        <v>4.4000000000000003E-3</v>
      </c>
      <c r="AG67" s="228">
        <v>17.100000000000001</v>
      </c>
      <c r="AH67" s="228">
        <v>14</v>
      </c>
      <c r="AI67" s="228">
        <v>3.1</v>
      </c>
      <c r="AJ67" s="229">
        <v>9.1999999999999998E-3</v>
      </c>
      <c r="AK67" s="228">
        <v>31.8</v>
      </c>
      <c r="AL67" s="228">
        <v>25.8</v>
      </c>
      <c r="AM67" s="228">
        <v>6</v>
      </c>
      <c r="AN67" s="229">
        <v>1.7100000000000001E-2</v>
      </c>
      <c r="AO67" s="231">
        <v>1876.44</v>
      </c>
      <c r="AP67" s="231">
        <v>1886.59</v>
      </c>
      <c r="AQ67" s="228">
        <v>0</v>
      </c>
      <c r="AR67" s="230">
        <v>1348125</v>
      </c>
      <c r="AS67" s="230">
        <v>645000</v>
      </c>
      <c r="AT67" s="230">
        <v>703125</v>
      </c>
      <c r="AU67" s="229">
        <v>1.0901000000000001</v>
      </c>
      <c r="AV67" s="230">
        <v>1045500</v>
      </c>
      <c r="AW67" s="230">
        <v>579375</v>
      </c>
      <c r="AX67" s="230">
        <v>466125</v>
      </c>
      <c r="AY67" s="229">
        <v>0.80449999999999999</v>
      </c>
      <c r="AZ67" s="230">
        <v>296250</v>
      </c>
      <c r="BA67" s="230">
        <v>60375</v>
      </c>
      <c r="BB67" s="230">
        <v>235875</v>
      </c>
      <c r="BC67" s="229">
        <v>3.9068000000000001</v>
      </c>
      <c r="BD67" s="230">
        <v>6375</v>
      </c>
      <c r="BE67" s="230">
        <v>5250</v>
      </c>
      <c r="BF67" s="230">
        <v>1125</v>
      </c>
      <c r="BG67" s="229">
        <v>0.21429999999999999</v>
      </c>
      <c r="BH67" s="230">
        <v>2406375</v>
      </c>
      <c r="BI67" s="230">
        <v>1887375</v>
      </c>
      <c r="BJ67" s="230">
        <v>519000</v>
      </c>
      <c r="BK67" s="229">
        <v>0.27500000000000002</v>
      </c>
      <c r="BL67" s="230">
        <v>1074375</v>
      </c>
      <c r="BM67" s="230">
        <v>886500</v>
      </c>
      <c r="BN67" s="230">
        <v>187875</v>
      </c>
      <c r="BO67" s="229">
        <v>0.21190000000000001</v>
      </c>
      <c r="BP67" s="230">
        <v>4828875</v>
      </c>
      <c r="BQ67" s="230">
        <v>3418875</v>
      </c>
      <c r="BR67" s="230">
        <v>1410000</v>
      </c>
      <c r="BS67" s="229">
        <v>0.41239999999999999</v>
      </c>
      <c r="BT67" s="230">
        <v>1342487</v>
      </c>
      <c r="BU67" s="230">
        <v>666308</v>
      </c>
      <c r="BV67" s="230">
        <v>676179</v>
      </c>
      <c r="BW67" s="229">
        <v>1.0147999999999999</v>
      </c>
      <c r="BX67" s="230">
        <v>7991625</v>
      </c>
      <c r="BY67" s="230">
        <v>7875750</v>
      </c>
      <c r="BZ67" s="230">
        <v>115875</v>
      </c>
      <c r="CA67" s="229">
        <v>1.47E-2</v>
      </c>
      <c r="CB67" s="230">
        <v>7700625</v>
      </c>
      <c r="CC67" s="230">
        <v>7735125</v>
      </c>
      <c r="CD67" s="230">
        <v>-34500</v>
      </c>
      <c r="CE67" s="229">
        <v>-4.4999999999999997E-3</v>
      </c>
      <c r="CF67" s="230">
        <v>274500</v>
      </c>
      <c r="CG67" s="230">
        <v>126375</v>
      </c>
      <c r="CH67" s="230">
        <v>148125</v>
      </c>
      <c r="CI67" s="229">
        <v>1.1720999999999999</v>
      </c>
      <c r="CJ67" s="230">
        <v>16500</v>
      </c>
      <c r="CK67" s="230">
        <v>14250</v>
      </c>
      <c r="CL67" s="230">
        <v>2250</v>
      </c>
      <c r="CM67" s="229">
        <v>0.15790000000000001</v>
      </c>
      <c r="CN67" s="230">
        <v>2598000</v>
      </c>
      <c r="CO67" s="230">
        <v>2381250</v>
      </c>
      <c r="CP67" s="230">
        <v>216750</v>
      </c>
      <c r="CQ67" s="229">
        <v>9.0999999999999998E-2</v>
      </c>
      <c r="CR67" s="230">
        <v>1231875</v>
      </c>
      <c r="CS67" s="230">
        <v>1263375</v>
      </c>
      <c r="CT67" s="230">
        <v>-31500</v>
      </c>
      <c r="CU67" s="229">
        <v>-2.4899999999999999E-2</v>
      </c>
      <c r="CV67" s="230">
        <v>11821500</v>
      </c>
      <c r="CW67" s="230">
        <v>11520375</v>
      </c>
      <c r="CX67" s="230">
        <v>301125</v>
      </c>
      <c r="CY67" s="229">
        <v>2.6100000000000002E-2</v>
      </c>
      <c r="CZ67" s="228">
        <v>27.88</v>
      </c>
      <c r="DA67" s="228">
        <v>27.84</v>
      </c>
      <c r="DB67" s="228">
        <v>0.04</v>
      </c>
      <c r="DC67" s="228">
        <v>0.04</v>
      </c>
      <c r="DD67" s="228">
        <v>38.229999999999997</v>
      </c>
      <c r="DE67" s="228">
        <v>38.26</v>
      </c>
      <c r="DF67" s="228">
        <v>-10.35</v>
      </c>
      <c r="DG67" s="228">
        <v>-0.03</v>
      </c>
      <c r="DH67" s="228">
        <v>28.95</v>
      </c>
      <c r="DI67" s="228">
        <v>28.45</v>
      </c>
      <c r="DJ67" s="228">
        <v>0.5</v>
      </c>
      <c r="DK67" s="228">
        <v>0.5</v>
      </c>
      <c r="DL67" s="228">
        <v>25.5</v>
      </c>
      <c r="DM67" s="228">
        <v>26.54</v>
      </c>
      <c r="DN67" s="228">
        <v>-1.04</v>
      </c>
      <c r="DO67" s="228">
        <v>-1.04</v>
      </c>
      <c r="DP67" s="228">
        <v>0.47</v>
      </c>
      <c r="DQ67" s="228">
        <v>0.53</v>
      </c>
      <c r="DR67" s="228">
        <v>-0.06</v>
      </c>
      <c r="DS67" s="229">
        <v>-0.1132</v>
      </c>
      <c r="DT67" s="231">
        <v>2000</v>
      </c>
      <c r="DU67" s="231">
        <v>1860</v>
      </c>
      <c r="DV67" s="228">
        <v>0.45</v>
      </c>
      <c r="DW67" s="228">
        <v>0.47</v>
      </c>
      <c r="DX67" s="228">
        <v>-0.02</v>
      </c>
      <c r="DY67" s="229">
        <v>-4.2599999999999999E-2</v>
      </c>
      <c r="DZ67" s="229">
        <v>3.6400000000000002E-2</v>
      </c>
      <c r="EA67" s="230">
        <v>140625</v>
      </c>
      <c r="EB67" s="229">
        <v>4.7999999999999996E-3</v>
      </c>
      <c r="EC67" s="229">
        <v>3.6400000000000002E-2</v>
      </c>
      <c r="ED67" s="228">
        <v>10.15</v>
      </c>
      <c r="EE67" s="229">
        <v>5.4000000000000003E-3</v>
      </c>
      <c r="EF67" s="230">
        <v>999886</v>
      </c>
      <c r="EG67" s="230">
        <v>508113</v>
      </c>
      <c r="EH67" s="229">
        <v>0.96779999999999999</v>
      </c>
      <c r="EI67" s="229">
        <v>0.74480000000000002</v>
      </c>
      <c r="EJ67" s="231">
        <v>47783.1</v>
      </c>
      <c r="EK67" s="231">
        <v>20313.61</v>
      </c>
      <c r="EL67" s="231">
        <v>25328.09</v>
      </c>
      <c r="EM67" s="231">
        <v>2421</v>
      </c>
      <c r="EN67" s="231">
        <v>93424.8</v>
      </c>
      <c r="EO67" s="231">
        <v>66882.710000000006</v>
      </c>
      <c r="EP67" s="231">
        <v>26542.09</v>
      </c>
      <c r="EQ67" s="229">
        <v>0.39679999999999999</v>
      </c>
      <c r="ER67" s="231">
        <v>52867</v>
      </c>
      <c r="ES67" s="231">
        <v>23301</v>
      </c>
      <c r="ET67" s="231">
        <v>149679</v>
      </c>
      <c r="EU67" s="231">
        <v>22585180</v>
      </c>
      <c r="EV67" s="231">
        <v>225848</v>
      </c>
      <c r="EW67" s="231">
        <v>222285</v>
      </c>
      <c r="EX67" s="231">
        <v>3563</v>
      </c>
      <c r="EY67" s="229">
        <v>1.6E-2</v>
      </c>
      <c r="EZ67" s="229">
        <v>0.52339999999999998</v>
      </c>
      <c r="FA67" s="227" t="s">
        <v>567</v>
      </c>
      <c r="FB67" s="161">
        <f t="shared" ref="FB67:FB130" si="1">BX67-CB67</f>
        <v>291000</v>
      </c>
    </row>
    <row r="68" spans="1:158" ht="17.25" hidden="1" thickBot="1" x14ac:dyDescent="0.3">
      <c r="A68" s="226">
        <v>45946</v>
      </c>
      <c r="B68" s="227" t="s">
        <v>215</v>
      </c>
      <c r="C68" s="227" t="s">
        <v>631</v>
      </c>
      <c r="D68" s="228">
        <v>6975</v>
      </c>
      <c r="E68" s="228">
        <v>90.97</v>
      </c>
      <c r="F68" s="228">
        <v>90.32</v>
      </c>
      <c r="G68" s="228">
        <v>0.65</v>
      </c>
      <c r="H68" s="229">
        <v>7.1999999999999998E-3</v>
      </c>
      <c r="I68" s="228">
        <v>90.87</v>
      </c>
      <c r="J68" s="228">
        <v>90.16</v>
      </c>
      <c r="K68" s="228">
        <v>0.71</v>
      </c>
      <c r="L68" s="229">
        <v>7.9000000000000008E-3</v>
      </c>
      <c r="M68" s="228">
        <v>90.97</v>
      </c>
      <c r="N68" s="228">
        <v>90.32</v>
      </c>
      <c r="O68" s="228">
        <v>0.65</v>
      </c>
      <c r="P68" s="229">
        <v>7.1999999999999998E-3</v>
      </c>
      <c r="Q68" s="228">
        <v>91.55</v>
      </c>
      <c r="R68" s="228">
        <v>90.8</v>
      </c>
      <c r="S68" s="228">
        <v>0.75</v>
      </c>
      <c r="T68" s="229">
        <v>8.3000000000000001E-3</v>
      </c>
      <c r="U68" s="228">
        <v>91.98</v>
      </c>
      <c r="V68" s="228">
        <v>91.47</v>
      </c>
      <c r="W68" s="228">
        <v>0.51</v>
      </c>
      <c r="X68" s="229">
        <v>5.5999999999999999E-3</v>
      </c>
      <c r="Y68" s="228">
        <v>0.1</v>
      </c>
      <c r="Z68" s="228">
        <v>0.16</v>
      </c>
      <c r="AA68" s="228">
        <v>-0.06</v>
      </c>
      <c r="AB68" s="229">
        <v>1.1000000000000001E-3</v>
      </c>
      <c r="AC68" s="228">
        <v>0.1</v>
      </c>
      <c r="AD68" s="228">
        <v>0.16</v>
      </c>
      <c r="AE68" s="228">
        <v>-0.06</v>
      </c>
      <c r="AF68" s="229">
        <v>1.1000000000000001E-3</v>
      </c>
      <c r="AG68" s="228">
        <v>0.68</v>
      </c>
      <c r="AH68" s="228">
        <v>0.64</v>
      </c>
      <c r="AI68" s="228">
        <v>0.04</v>
      </c>
      <c r="AJ68" s="229">
        <v>7.4999999999999997E-3</v>
      </c>
      <c r="AK68" s="228">
        <v>1.1100000000000001</v>
      </c>
      <c r="AL68" s="228">
        <v>1.31</v>
      </c>
      <c r="AM68" s="228">
        <v>-0.2</v>
      </c>
      <c r="AN68" s="229">
        <v>1.2200000000000001E-2</v>
      </c>
      <c r="AO68" s="228">
        <v>90.96</v>
      </c>
      <c r="AP68" s="228">
        <v>91.47</v>
      </c>
      <c r="AQ68" s="228">
        <v>0</v>
      </c>
      <c r="AR68" s="230">
        <v>20318175</v>
      </c>
      <c r="AS68" s="230">
        <v>12603825</v>
      </c>
      <c r="AT68" s="230">
        <v>7714350</v>
      </c>
      <c r="AU68" s="229">
        <v>0.61209999999999998</v>
      </c>
      <c r="AV68" s="230">
        <v>17256150</v>
      </c>
      <c r="AW68" s="230">
        <v>10699650</v>
      </c>
      <c r="AX68" s="230">
        <v>6556500</v>
      </c>
      <c r="AY68" s="229">
        <v>0.61280000000000001</v>
      </c>
      <c r="AZ68" s="230">
        <v>2985300</v>
      </c>
      <c r="BA68" s="230">
        <v>1792575</v>
      </c>
      <c r="BB68" s="230">
        <v>1192725</v>
      </c>
      <c r="BC68" s="229">
        <v>0.66539999999999999</v>
      </c>
      <c r="BD68" s="230">
        <v>76725</v>
      </c>
      <c r="BE68" s="230">
        <v>111600</v>
      </c>
      <c r="BF68" s="230">
        <v>-34875</v>
      </c>
      <c r="BG68" s="229">
        <v>-0.3125</v>
      </c>
      <c r="BH68" s="230">
        <v>47151000</v>
      </c>
      <c r="BI68" s="230">
        <v>35460900</v>
      </c>
      <c r="BJ68" s="230">
        <v>11690100</v>
      </c>
      <c r="BK68" s="229">
        <v>0.32969999999999999</v>
      </c>
      <c r="BL68" s="230">
        <v>25207650</v>
      </c>
      <c r="BM68" s="230">
        <v>13622175</v>
      </c>
      <c r="BN68" s="230">
        <v>11585475</v>
      </c>
      <c r="BO68" s="229">
        <v>0.85050000000000003</v>
      </c>
      <c r="BP68" s="230">
        <v>92676825</v>
      </c>
      <c r="BQ68" s="230">
        <v>61686900</v>
      </c>
      <c r="BR68" s="230">
        <v>30989925</v>
      </c>
      <c r="BS68" s="229">
        <v>0.50239999999999996</v>
      </c>
      <c r="BT68" s="230">
        <v>6688742</v>
      </c>
      <c r="BU68" s="230">
        <v>4646050</v>
      </c>
      <c r="BV68" s="230">
        <v>2042692</v>
      </c>
      <c r="BW68" s="229">
        <v>0.43969999999999998</v>
      </c>
      <c r="BX68" s="230">
        <v>222195600</v>
      </c>
      <c r="BY68" s="230">
        <v>222363000</v>
      </c>
      <c r="BZ68" s="230">
        <v>-167400</v>
      </c>
      <c r="CA68" s="229">
        <v>-8.0000000000000004E-4</v>
      </c>
      <c r="CB68" s="230">
        <v>205364925</v>
      </c>
      <c r="CC68" s="230">
        <v>206536725</v>
      </c>
      <c r="CD68" s="230">
        <v>-1171800</v>
      </c>
      <c r="CE68" s="229">
        <v>-5.7000000000000002E-3</v>
      </c>
      <c r="CF68" s="230">
        <v>16440075</v>
      </c>
      <c r="CG68" s="230">
        <v>15400800</v>
      </c>
      <c r="CH68" s="230">
        <v>1039275</v>
      </c>
      <c r="CI68" s="229">
        <v>6.7500000000000004E-2</v>
      </c>
      <c r="CJ68" s="230">
        <v>390600</v>
      </c>
      <c r="CK68" s="230">
        <v>425475</v>
      </c>
      <c r="CL68" s="230">
        <v>-34875</v>
      </c>
      <c r="CM68" s="229">
        <v>-8.2000000000000003E-2</v>
      </c>
      <c r="CN68" s="230">
        <v>79487100</v>
      </c>
      <c r="CO68" s="230">
        <v>77478300</v>
      </c>
      <c r="CP68" s="230">
        <v>2008800</v>
      </c>
      <c r="CQ68" s="229">
        <v>2.5899999999999999E-2</v>
      </c>
      <c r="CR68" s="230">
        <v>39394800</v>
      </c>
      <c r="CS68" s="230">
        <v>36953550</v>
      </c>
      <c r="CT68" s="230">
        <v>2441250</v>
      </c>
      <c r="CU68" s="229">
        <v>6.6100000000000006E-2</v>
      </c>
      <c r="CV68" s="230">
        <v>341077500</v>
      </c>
      <c r="CW68" s="230">
        <v>336794850</v>
      </c>
      <c r="CX68" s="230">
        <v>4282650</v>
      </c>
      <c r="CY68" s="229">
        <v>1.2699999999999999E-2</v>
      </c>
      <c r="CZ68" s="228">
        <v>26.48</v>
      </c>
      <c r="DA68" s="228">
        <v>27.31</v>
      </c>
      <c r="DB68" s="228">
        <v>-0.83</v>
      </c>
      <c r="DC68" s="228">
        <v>-0.83</v>
      </c>
      <c r="DD68" s="228">
        <v>37.340000000000003</v>
      </c>
      <c r="DE68" s="228">
        <v>37.42</v>
      </c>
      <c r="DF68" s="228">
        <v>-10.86</v>
      </c>
      <c r="DG68" s="228">
        <v>-0.08</v>
      </c>
      <c r="DH68" s="228">
        <v>25.66</v>
      </c>
      <c r="DI68" s="228">
        <v>27.53</v>
      </c>
      <c r="DJ68" s="228">
        <v>-1.87</v>
      </c>
      <c r="DK68" s="228">
        <v>-1.87</v>
      </c>
      <c r="DL68" s="228">
        <v>28.01</v>
      </c>
      <c r="DM68" s="228">
        <v>26.73</v>
      </c>
      <c r="DN68" s="228">
        <v>1.28</v>
      </c>
      <c r="DO68" s="228">
        <v>1.28</v>
      </c>
      <c r="DP68" s="228">
        <v>0.5</v>
      </c>
      <c r="DQ68" s="228">
        <v>0.48</v>
      </c>
      <c r="DR68" s="228">
        <v>0.02</v>
      </c>
      <c r="DS68" s="229">
        <v>4.1700000000000001E-2</v>
      </c>
      <c r="DT68" s="228">
        <v>95</v>
      </c>
      <c r="DU68" s="228">
        <v>85</v>
      </c>
      <c r="DV68" s="228">
        <v>0.53</v>
      </c>
      <c r="DW68" s="228">
        <v>0.38</v>
      </c>
      <c r="DX68" s="228">
        <v>0.15</v>
      </c>
      <c r="DY68" s="229">
        <v>0.3947</v>
      </c>
      <c r="DZ68" s="229">
        <v>7.5700000000000003E-2</v>
      </c>
      <c r="EA68" s="230">
        <v>15826275</v>
      </c>
      <c r="EB68" s="229">
        <v>6.4000000000000003E-3</v>
      </c>
      <c r="EC68" s="229">
        <v>7.5700000000000003E-2</v>
      </c>
      <c r="ED68" s="228">
        <v>0.51</v>
      </c>
      <c r="EE68" s="229">
        <v>5.5999999999999999E-3</v>
      </c>
      <c r="EF68" s="230">
        <v>3845369</v>
      </c>
      <c r="EG68" s="230">
        <v>2717220</v>
      </c>
      <c r="EH68" s="229">
        <v>0.41520000000000001</v>
      </c>
      <c r="EI68" s="229">
        <v>0.57489999999999997</v>
      </c>
      <c r="EJ68" s="231">
        <v>44529.31</v>
      </c>
      <c r="EK68" s="231">
        <v>22526.31</v>
      </c>
      <c r="EL68" s="231">
        <v>18497.87</v>
      </c>
      <c r="EM68" s="231">
        <v>2950</v>
      </c>
      <c r="EN68" s="231">
        <v>85553.49</v>
      </c>
      <c r="EO68" s="231">
        <v>56910.3</v>
      </c>
      <c r="EP68" s="231">
        <v>28643.19</v>
      </c>
      <c r="EQ68" s="229">
        <v>0.50329999999999997</v>
      </c>
      <c r="ER68" s="231">
        <v>74737</v>
      </c>
      <c r="ES68" s="231">
        <v>34154</v>
      </c>
      <c r="ET68" s="231">
        <v>202231</v>
      </c>
      <c r="EU68" s="231">
        <v>534704421</v>
      </c>
      <c r="EV68" s="231">
        <v>311121</v>
      </c>
      <c r="EW68" s="231">
        <v>305873</v>
      </c>
      <c r="EX68" s="231">
        <v>5248</v>
      </c>
      <c r="EY68" s="229">
        <v>1.72E-2</v>
      </c>
      <c r="EZ68" s="229">
        <v>0.63790000000000002</v>
      </c>
      <c r="FA68" s="227" t="s">
        <v>556</v>
      </c>
      <c r="FB68" s="161">
        <f t="shared" si="1"/>
        <v>16830675</v>
      </c>
    </row>
    <row r="69" spans="1:158" ht="17.25" hidden="1" thickBot="1" x14ac:dyDescent="0.3">
      <c r="A69" s="226">
        <v>45946</v>
      </c>
      <c r="B69" s="227" t="s">
        <v>168</v>
      </c>
      <c r="C69" s="227" t="s">
        <v>217</v>
      </c>
      <c r="D69" s="228">
        <v>500</v>
      </c>
      <c r="E69" s="231">
        <v>1122.9000000000001</v>
      </c>
      <c r="F69" s="231">
        <v>1113</v>
      </c>
      <c r="G69" s="228">
        <v>9.9</v>
      </c>
      <c r="H69" s="229">
        <v>8.8999999999999999E-3</v>
      </c>
      <c r="I69" s="231">
        <v>1120.0999999999999</v>
      </c>
      <c r="J69" s="231">
        <v>1110.5999999999999</v>
      </c>
      <c r="K69" s="228">
        <v>9.5</v>
      </c>
      <c r="L69" s="229">
        <v>8.6E-3</v>
      </c>
      <c r="M69" s="231">
        <v>1122.9000000000001</v>
      </c>
      <c r="N69" s="231">
        <v>1113</v>
      </c>
      <c r="O69" s="228">
        <v>9.9</v>
      </c>
      <c r="P69" s="229">
        <v>8.8999999999999999E-3</v>
      </c>
      <c r="Q69" s="231">
        <v>1114.2</v>
      </c>
      <c r="R69" s="231">
        <v>1104</v>
      </c>
      <c r="S69" s="228">
        <v>10.199999999999999</v>
      </c>
      <c r="T69" s="229">
        <v>9.1999999999999998E-3</v>
      </c>
      <c r="U69" s="231">
        <v>1111.4000000000001</v>
      </c>
      <c r="V69" s="231">
        <v>1097</v>
      </c>
      <c r="W69" s="228">
        <v>14.4</v>
      </c>
      <c r="X69" s="229">
        <v>1.3100000000000001E-2</v>
      </c>
      <c r="Y69" s="228">
        <v>2.8</v>
      </c>
      <c r="Z69" s="228">
        <v>2.4</v>
      </c>
      <c r="AA69" s="228">
        <v>0.4</v>
      </c>
      <c r="AB69" s="229">
        <v>2.5000000000000001E-3</v>
      </c>
      <c r="AC69" s="228">
        <v>2.8</v>
      </c>
      <c r="AD69" s="228">
        <v>2.4</v>
      </c>
      <c r="AE69" s="228">
        <v>0.4</v>
      </c>
      <c r="AF69" s="229">
        <v>2.5000000000000001E-3</v>
      </c>
      <c r="AG69" s="228">
        <v>-5.9</v>
      </c>
      <c r="AH69" s="228">
        <v>-6.6</v>
      </c>
      <c r="AI69" s="228">
        <v>0.7</v>
      </c>
      <c r="AJ69" s="229">
        <v>-5.3E-3</v>
      </c>
      <c r="AK69" s="228">
        <v>-8.6999999999999993</v>
      </c>
      <c r="AL69" s="228">
        <v>-13.6</v>
      </c>
      <c r="AM69" s="228">
        <v>4.9000000000000004</v>
      </c>
      <c r="AN69" s="229">
        <v>-7.7999999999999996E-3</v>
      </c>
      <c r="AO69" s="231">
        <v>1119.0899999999999</v>
      </c>
      <c r="AP69" s="231">
        <v>1109.94</v>
      </c>
      <c r="AQ69" s="228">
        <v>0</v>
      </c>
      <c r="AR69" s="230">
        <v>1723000</v>
      </c>
      <c r="AS69" s="230">
        <v>1130000</v>
      </c>
      <c r="AT69" s="230">
        <v>593000</v>
      </c>
      <c r="AU69" s="229">
        <v>0.52480000000000004</v>
      </c>
      <c r="AV69" s="230">
        <v>1431500</v>
      </c>
      <c r="AW69" s="230">
        <v>965500</v>
      </c>
      <c r="AX69" s="230">
        <v>466000</v>
      </c>
      <c r="AY69" s="229">
        <v>0.48270000000000002</v>
      </c>
      <c r="AZ69" s="230">
        <v>278500</v>
      </c>
      <c r="BA69" s="230">
        <v>160000</v>
      </c>
      <c r="BB69" s="230">
        <v>118500</v>
      </c>
      <c r="BC69" s="229">
        <v>0.74060000000000004</v>
      </c>
      <c r="BD69" s="230">
        <v>13000</v>
      </c>
      <c r="BE69" s="230">
        <v>4500</v>
      </c>
      <c r="BF69" s="230">
        <v>8500</v>
      </c>
      <c r="BG69" s="229">
        <v>1.8889</v>
      </c>
      <c r="BH69" s="230">
        <v>5049000</v>
      </c>
      <c r="BI69" s="230">
        <v>2215500</v>
      </c>
      <c r="BJ69" s="230">
        <v>2833500</v>
      </c>
      <c r="BK69" s="229">
        <v>1.2788999999999999</v>
      </c>
      <c r="BL69" s="230">
        <v>1033500</v>
      </c>
      <c r="BM69" s="230">
        <v>794000</v>
      </c>
      <c r="BN69" s="230">
        <v>239500</v>
      </c>
      <c r="BO69" s="229">
        <v>0.30159999999999998</v>
      </c>
      <c r="BP69" s="230">
        <v>7805500</v>
      </c>
      <c r="BQ69" s="230">
        <v>4139500</v>
      </c>
      <c r="BR69" s="230">
        <v>3666000</v>
      </c>
      <c r="BS69" s="229">
        <v>0.88560000000000005</v>
      </c>
      <c r="BT69" s="230">
        <v>1562812</v>
      </c>
      <c r="BU69" s="230">
        <v>827277</v>
      </c>
      <c r="BV69" s="230">
        <v>735535</v>
      </c>
      <c r="BW69" s="229">
        <v>0.8891</v>
      </c>
      <c r="BX69" s="230">
        <v>12464500</v>
      </c>
      <c r="BY69" s="230">
        <v>12205500</v>
      </c>
      <c r="BZ69" s="230">
        <v>259000</v>
      </c>
      <c r="CA69" s="229">
        <v>2.12E-2</v>
      </c>
      <c r="CB69" s="230">
        <v>11782000</v>
      </c>
      <c r="CC69" s="230">
        <v>11608000</v>
      </c>
      <c r="CD69" s="230">
        <v>174000</v>
      </c>
      <c r="CE69" s="229">
        <v>1.4999999999999999E-2</v>
      </c>
      <c r="CF69" s="230">
        <v>647000</v>
      </c>
      <c r="CG69" s="230">
        <v>571500</v>
      </c>
      <c r="CH69" s="230">
        <v>75500</v>
      </c>
      <c r="CI69" s="229">
        <v>0.1321</v>
      </c>
      <c r="CJ69" s="230">
        <v>35500</v>
      </c>
      <c r="CK69" s="230">
        <v>26000</v>
      </c>
      <c r="CL69" s="230">
        <v>9500</v>
      </c>
      <c r="CM69" s="229">
        <v>0.3654</v>
      </c>
      <c r="CN69" s="230">
        <v>4730500</v>
      </c>
      <c r="CO69" s="230">
        <v>4241500</v>
      </c>
      <c r="CP69" s="230">
        <v>489000</v>
      </c>
      <c r="CQ69" s="229">
        <v>0.1153</v>
      </c>
      <c r="CR69" s="230">
        <v>2134500</v>
      </c>
      <c r="CS69" s="230">
        <v>2136500</v>
      </c>
      <c r="CT69" s="230">
        <v>-2000</v>
      </c>
      <c r="CU69" s="229">
        <v>-8.9999999999999998E-4</v>
      </c>
      <c r="CV69" s="230">
        <v>19329500</v>
      </c>
      <c r="CW69" s="230">
        <v>18583500</v>
      </c>
      <c r="CX69" s="230">
        <v>746000</v>
      </c>
      <c r="CY69" s="229">
        <v>4.0099999999999997E-2</v>
      </c>
      <c r="CZ69" s="228">
        <v>26.58</v>
      </c>
      <c r="DA69" s="228">
        <v>24.85</v>
      </c>
      <c r="DB69" s="228">
        <v>1.73</v>
      </c>
      <c r="DC69" s="228">
        <v>1.73</v>
      </c>
      <c r="DD69" s="228">
        <v>29.91</v>
      </c>
      <c r="DE69" s="228">
        <v>29.96</v>
      </c>
      <c r="DF69" s="228">
        <v>-3.33</v>
      </c>
      <c r="DG69" s="228">
        <v>-0.05</v>
      </c>
      <c r="DH69" s="228">
        <v>26.86</v>
      </c>
      <c r="DI69" s="228">
        <v>25.01</v>
      </c>
      <c r="DJ69" s="228">
        <v>1.85</v>
      </c>
      <c r="DK69" s="228">
        <v>1.85</v>
      </c>
      <c r="DL69" s="228">
        <v>25.23</v>
      </c>
      <c r="DM69" s="228">
        <v>24.4</v>
      </c>
      <c r="DN69" s="228">
        <v>0.83</v>
      </c>
      <c r="DO69" s="228">
        <v>0.83</v>
      </c>
      <c r="DP69" s="228">
        <v>0.45</v>
      </c>
      <c r="DQ69" s="228">
        <v>0.5</v>
      </c>
      <c r="DR69" s="228">
        <v>-0.05</v>
      </c>
      <c r="DS69" s="229">
        <v>-0.1</v>
      </c>
      <c r="DT69" s="231">
        <v>1200</v>
      </c>
      <c r="DU69" s="231">
        <v>1100</v>
      </c>
      <c r="DV69" s="228">
        <v>0.2</v>
      </c>
      <c r="DW69" s="228">
        <v>0.36</v>
      </c>
      <c r="DX69" s="228">
        <v>-0.16</v>
      </c>
      <c r="DY69" s="229">
        <v>-0.44440000000000002</v>
      </c>
      <c r="DZ69" s="229">
        <v>5.4800000000000001E-2</v>
      </c>
      <c r="EA69" s="230">
        <v>597500</v>
      </c>
      <c r="EB69" s="229">
        <v>-7.7000000000000002E-3</v>
      </c>
      <c r="EC69" s="229">
        <v>5.4800000000000001E-2</v>
      </c>
      <c r="ED69" s="228">
        <v>-9.15</v>
      </c>
      <c r="EE69" s="229">
        <v>-8.2000000000000007E-3</v>
      </c>
      <c r="EF69" s="230">
        <v>1036470</v>
      </c>
      <c r="EG69" s="230">
        <v>508988</v>
      </c>
      <c r="EH69" s="229">
        <v>1.0363</v>
      </c>
      <c r="EI69" s="229">
        <v>0.66320000000000001</v>
      </c>
      <c r="EJ69" s="231">
        <v>59417.62</v>
      </c>
      <c r="EK69" s="231">
        <v>11522.73</v>
      </c>
      <c r="EL69" s="231">
        <v>19255</v>
      </c>
      <c r="EM69" s="231">
        <v>2834</v>
      </c>
      <c r="EN69" s="231">
        <v>90195.35</v>
      </c>
      <c r="EO69" s="231">
        <v>47065.26</v>
      </c>
      <c r="EP69" s="231">
        <v>43130.09</v>
      </c>
      <c r="EQ69" s="229">
        <v>0.91639999999999999</v>
      </c>
      <c r="ER69" s="231">
        <v>56514</v>
      </c>
      <c r="ES69" s="231">
        <v>23526</v>
      </c>
      <c r="ET69" s="231">
        <v>139903</v>
      </c>
      <c r="EU69" s="231">
        <v>58001204</v>
      </c>
      <c r="EV69" s="231">
        <v>219944</v>
      </c>
      <c r="EW69" s="231">
        <v>210042</v>
      </c>
      <c r="EX69" s="231">
        <v>9902</v>
      </c>
      <c r="EY69" s="229">
        <v>4.7100000000000003E-2</v>
      </c>
      <c r="EZ69" s="229">
        <v>0.33329999999999999</v>
      </c>
      <c r="FA69" s="227" t="s">
        <v>555</v>
      </c>
      <c r="FB69" s="161">
        <f t="shared" si="1"/>
        <v>682500</v>
      </c>
    </row>
    <row r="70" spans="1:158" ht="17.25" hidden="1" thickBot="1" x14ac:dyDescent="0.3">
      <c r="A70" s="226">
        <v>45946</v>
      </c>
      <c r="B70" s="227" t="s">
        <v>206</v>
      </c>
      <c r="C70" s="227" t="s">
        <v>218</v>
      </c>
      <c r="D70" s="228">
        <v>275</v>
      </c>
      <c r="E70" s="231">
        <v>2208</v>
      </c>
      <c r="F70" s="231">
        <v>2140.4</v>
      </c>
      <c r="G70" s="228">
        <v>67.599999999999994</v>
      </c>
      <c r="H70" s="229">
        <v>3.1600000000000003E-2</v>
      </c>
      <c r="I70" s="231">
        <v>2205.3000000000002</v>
      </c>
      <c r="J70" s="231">
        <v>2135.6</v>
      </c>
      <c r="K70" s="228">
        <v>69.7</v>
      </c>
      <c r="L70" s="229">
        <v>3.2599999999999997E-2</v>
      </c>
      <c r="M70" s="231">
        <v>2208</v>
      </c>
      <c r="N70" s="231">
        <v>2140.4</v>
      </c>
      <c r="O70" s="228">
        <v>67.599999999999994</v>
      </c>
      <c r="P70" s="229">
        <v>3.1600000000000003E-2</v>
      </c>
      <c r="Q70" s="231">
        <v>2218.4</v>
      </c>
      <c r="R70" s="231">
        <v>2151</v>
      </c>
      <c r="S70" s="228">
        <v>67.400000000000006</v>
      </c>
      <c r="T70" s="229">
        <v>3.1300000000000001E-2</v>
      </c>
      <c r="U70" s="231">
        <v>2231.5</v>
      </c>
      <c r="V70" s="231">
        <v>2165.1999999999998</v>
      </c>
      <c r="W70" s="228">
        <v>66.3</v>
      </c>
      <c r="X70" s="229">
        <v>3.0599999999999999E-2</v>
      </c>
      <c r="Y70" s="228">
        <v>2.7</v>
      </c>
      <c r="Z70" s="228">
        <v>4.8</v>
      </c>
      <c r="AA70" s="228">
        <v>-2.1</v>
      </c>
      <c r="AB70" s="229">
        <v>1.1999999999999999E-3</v>
      </c>
      <c r="AC70" s="228">
        <v>2.7</v>
      </c>
      <c r="AD70" s="228">
        <v>4.8</v>
      </c>
      <c r="AE70" s="228">
        <v>-2.1</v>
      </c>
      <c r="AF70" s="229">
        <v>1.1999999999999999E-3</v>
      </c>
      <c r="AG70" s="228">
        <v>13.1</v>
      </c>
      <c r="AH70" s="228">
        <v>15.4</v>
      </c>
      <c r="AI70" s="228">
        <v>-2.2999999999999998</v>
      </c>
      <c r="AJ70" s="229">
        <v>5.8999999999999999E-3</v>
      </c>
      <c r="AK70" s="228">
        <v>26.2</v>
      </c>
      <c r="AL70" s="228">
        <v>29.6</v>
      </c>
      <c r="AM70" s="228">
        <v>-3.4</v>
      </c>
      <c r="AN70" s="229">
        <v>1.1900000000000001E-2</v>
      </c>
      <c r="AO70" s="231">
        <v>2191.75</v>
      </c>
      <c r="AP70" s="231">
        <v>2206.19</v>
      </c>
      <c r="AQ70" s="228">
        <v>0</v>
      </c>
      <c r="AR70" s="230">
        <v>2600400</v>
      </c>
      <c r="AS70" s="230">
        <v>2314400</v>
      </c>
      <c r="AT70" s="230">
        <v>286000</v>
      </c>
      <c r="AU70" s="229">
        <v>0.1236</v>
      </c>
      <c r="AV70" s="230">
        <v>2211000</v>
      </c>
      <c r="AW70" s="230">
        <v>2124375</v>
      </c>
      <c r="AX70" s="230">
        <v>86625</v>
      </c>
      <c r="AY70" s="229">
        <v>4.0800000000000003E-2</v>
      </c>
      <c r="AZ70" s="230">
        <v>342925</v>
      </c>
      <c r="BA70" s="230">
        <v>151800</v>
      </c>
      <c r="BB70" s="230">
        <v>191125</v>
      </c>
      <c r="BC70" s="229">
        <v>1.2591000000000001</v>
      </c>
      <c r="BD70" s="230">
        <v>46475</v>
      </c>
      <c r="BE70" s="230">
        <v>38225</v>
      </c>
      <c r="BF70" s="230">
        <v>8250</v>
      </c>
      <c r="BG70" s="229">
        <v>0.21579999999999999</v>
      </c>
      <c r="BH70" s="230">
        <v>10064450</v>
      </c>
      <c r="BI70" s="230">
        <v>10949675</v>
      </c>
      <c r="BJ70" s="230">
        <v>-885225</v>
      </c>
      <c r="BK70" s="229">
        <v>-8.0799999999999997E-2</v>
      </c>
      <c r="BL70" s="230">
        <v>4709375</v>
      </c>
      <c r="BM70" s="230">
        <v>4114275</v>
      </c>
      <c r="BN70" s="230">
        <v>595100</v>
      </c>
      <c r="BO70" s="229">
        <v>0.14460000000000001</v>
      </c>
      <c r="BP70" s="230">
        <v>17374225</v>
      </c>
      <c r="BQ70" s="230">
        <v>17378350</v>
      </c>
      <c r="BR70" s="230">
        <v>-4125</v>
      </c>
      <c r="BS70" s="229">
        <v>-2.0000000000000001E-4</v>
      </c>
      <c r="BT70" s="230">
        <v>1337154</v>
      </c>
      <c r="BU70" s="230">
        <v>1083031</v>
      </c>
      <c r="BV70" s="230">
        <v>254123</v>
      </c>
      <c r="BW70" s="229">
        <v>0.2346</v>
      </c>
      <c r="BX70" s="230">
        <v>9054100</v>
      </c>
      <c r="BY70" s="230">
        <v>9307925</v>
      </c>
      <c r="BZ70" s="230">
        <v>-253825</v>
      </c>
      <c r="CA70" s="229">
        <v>-2.7300000000000001E-2</v>
      </c>
      <c r="CB70" s="230">
        <v>8664150</v>
      </c>
      <c r="CC70" s="230">
        <v>9041725</v>
      </c>
      <c r="CD70" s="230">
        <v>-377575</v>
      </c>
      <c r="CE70" s="229">
        <v>-4.1799999999999997E-2</v>
      </c>
      <c r="CF70" s="230">
        <v>349800</v>
      </c>
      <c r="CG70" s="230">
        <v>241175</v>
      </c>
      <c r="CH70" s="230">
        <v>108625</v>
      </c>
      <c r="CI70" s="229">
        <v>0.45040000000000002</v>
      </c>
      <c r="CJ70" s="230">
        <v>40150</v>
      </c>
      <c r="CK70" s="230">
        <v>25025</v>
      </c>
      <c r="CL70" s="230">
        <v>15125</v>
      </c>
      <c r="CM70" s="229">
        <v>0.60440000000000005</v>
      </c>
      <c r="CN70" s="230">
        <v>2986225</v>
      </c>
      <c r="CO70" s="230">
        <v>3060750</v>
      </c>
      <c r="CP70" s="230">
        <v>-74525</v>
      </c>
      <c r="CQ70" s="229">
        <v>-2.4299999999999999E-2</v>
      </c>
      <c r="CR70" s="230">
        <v>2208525</v>
      </c>
      <c r="CS70" s="230">
        <v>1990175</v>
      </c>
      <c r="CT70" s="230">
        <v>218350</v>
      </c>
      <c r="CU70" s="229">
        <v>0.10970000000000001</v>
      </c>
      <c r="CV70" s="230">
        <v>14248850</v>
      </c>
      <c r="CW70" s="230">
        <v>14358850</v>
      </c>
      <c r="CX70" s="230">
        <v>-110000</v>
      </c>
      <c r="CY70" s="229">
        <v>-7.7000000000000002E-3</v>
      </c>
      <c r="CZ70" s="228">
        <v>29.57</v>
      </c>
      <c r="DA70" s="228">
        <v>30.71</v>
      </c>
      <c r="DB70" s="228">
        <v>-1.1399999999999999</v>
      </c>
      <c r="DC70" s="228">
        <v>-1.1399999999999999</v>
      </c>
      <c r="DD70" s="228">
        <v>44.42</v>
      </c>
      <c r="DE70" s="228">
        <v>44.34</v>
      </c>
      <c r="DF70" s="228">
        <v>-14.85</v>
      </c>
      <c r="DG70" s="228">
        <v>0.08</v>
      </c>
      <c r="DH70" s="228">
        <v>28.85</v>
      </c>
      <c r="DI70" s="228">
        <v>30.48</v>
      </c>
      <c r="DJ70" s="228">
        <v>-1.63</v>
      </c>
      <c r="DK70" s="228">
        <v>-1.63</v>
      </c>
      <c r="DL70" s="228">
        <v>31.12</v>
      </c>
      <c r="DM70" s="228">
        <v>31.3</v>
      </c>
      <c r="DN70" s="228">
        <v>-0.18</v>
      </c>
      <c r="DO70" s="228">
        <v>-0.18</v>
      </c>
      <c r="DP70" s="228">
        <v>0.74</v>
      </c>
      <c r="DQ70" s="228">
        <v>0.65</v>
      </c>
      <c r="DR70" s="228">
        <v>0.09</v>
      </c>
      <c r="DS70" s="229">
        <v>0.13850000000000001</v>
      </c>
      <c r="DT70" s="231">
        <v>2200</v>
      </c>
      <c r="DU70" s="231">
        <v>2000</v>
      </c>
      <c r="DV70" s="228">
        <v>0.47</v>
      </c>
      <c r="DW70" s="228">
        <v>0.38</v>
      </c>
      <c r="DX70" s="228">
        <v>0.09</v>
      </c>
      <c r="DY70" s="229">
        <v>0.23680000000000001</v>
      </c>
      <c r="DZ70" s="229">
        <v>4.3099999999999999E-2</v>
      </c>
      <c r="EA70" s="230">
        <v>266200</v>
      </c>
      <c r="EB70" s="229">
        <v>4.7000000000000002E-3</v>
      </c>
      <c r="EC70" s="229">
        <v>4.3099999999999999E-2</v>
      </c>
      <c r="ED70" s="228">
        <v>14.44</v>
      </c>
      <c r="EE70" s="229">
        <v>6.6E-3</v>
      </c>
      <c r="EF70" s="230">
        <v>687541</v>
      </c>
      <c r="EG70" s="230">
        <v>370529</v>
      </c>
      <c r="EH70" s="229">
        <v>0.85560000000000003</v>
      </c>
      <c r="EI70" s="229">
        <v>0.51419999999999999</v>
      </c>
      <c r="EJ70" s="231">
        <v>227634.89</v>
      </c>
      <c r="EK70" s="231">
        <v>100605.2</v>
      </c>
      <c r="EL70" s="231">
        <v>57055.19</v>
      </c>
      <c r="EM70" s="231">
        <v>5949</v>
      </c>
      <c r="EN70" s="231">
        <v>385295.28</v>
      </c>
      <c r="EO70" s="231">
        <v>376425.48</v>
      </c>
      <c r="EP70" s="231">
        <v>8869.7999999999993</v>
      </c>
      <c r="EQ70" s="229">
        <v>2.3599999999999999E-2</v>
      </c>
      <c r="ER70" s="231">
        <v>66189</v>
      </c>
      <c r="ES70" s="231">
        <v>45163</v>
      </c>
      <c r="ET70" s="231">
        <v>199960</v>
      </c>
      <c r="EU70" s="231">
        <v>24082879</v>
      </c>
      <c r="EV70" s="231">
        <v>311313</v>
      </c>
      <c r="EW70" s="231">
        <v>306590</v>
      </c>
      <c r="EX70" s="231">
        <v>4723</v>
      </c>
      <c r="EY70" s="229">
        <v>1.54E-2</v>
      </c>
      <c r="EZ70" s="229">
        <v>0.5917</v>
      </c>
      <c r="FA70" s="227" t="s">
        <v>556</v>
      </c>
      <c r="FB70" s="161">
        <f t="shared" si="1"/>
        <v>389950</v>
      </c>
    </row>
    <row r="71" spans="1:158" ht="17.25" hidden="1" thickBot="1" x14ac:dyDescent="0.3">
      <c r="A71" s="226">
        <v>45946</v>
      </c>
      <c r="B71" s="227" t="s">
        <v>157</v>
      </c>
      <c r="C71" s="227" t="s">
        <v>219</v>
      </c>
      <c r="D71" s="228">
        <v>250</v>
      </c>
      <c r="E71" s="231">
        <v>2868.7</v>
      </c>
      <c r="F71" s="231">
        <v>2829</v>
      </c>
      <c r="G71" s="228">
        <v>39.700000000000003</v>
      </c>
      <c r="H71" s="229">
        <v>1.4E-2</v>
      </c>
      <c r="I71" s="231">
        <v>2859.8</v>
      </c>
      <c r="J71" s="231">
        <v>2816.8</v>
      </c>
      <c r="K71" s="228">
        <v>43</v>
      </c>
      <c r="L71" s="229">
        <v>1.5299999999999999E-2</v>
      </c>
      <c r="M71" s="231">
        <v>2868.7</v>
      </c>
      <c r="N71" s="231">
        <v>2829</v>
      </c>
      <c r="O71" s="228">
        <v>39.700000000000003</v>
      </c>
      <c r="P71" s="229">
        <v>1.4E-2</v>
      </c>
      <c r="Q71" s="231">
        <v>2883.8</v>
      </c>
      <c r="R71" s="231">
        <v>2843.8</v>
      </c>
      <c r="S71" s="228">
        <v>40</v>
      </c>
      <c r="T71" s="229">
        <v>1.41E-2</v>
      </c>
      <c r="U71" s="231">
        <v>2905</v>
      </c>
      <c r="V71" s="231">
        <v>2862.7</v>
      </c>
      <c r="W71" s="228">
        <v>42.3</v>
      </c>
      <c r="X71" s="229">
        <v>1.4800000000000001E-2</v>
      </c>
      <c r="Y71" s="228">
        <v>8.9</v>
      </c>
      <c r="Z71" s="228">
        <v>12.2</v>
      </c>
      <c r="AA71" s="228">
        <v>-3.3</v>
      </c>
      <c r="AB71" s="229">
        <v>3.0999999999999999E-3</v>
      </c>
      <c r="AC71" s="228">
        <v>8.9</v>
      </c>
      <c r="AD71" s="228">
        <v>12.2</v>
      </c>
      <c r="AE71" s="228">
        <v>-3.3</v>
      </c>
      <c r="AF71" s="229">
        <v>3.0999999999999999E-3</v>
      </c>
      <c r="AG71" s="228">
        <v>24</v>
      </c>
      <c r="AH71" s="228">
        <v>27</v>
      </c>
      <c r="AI71" s="228">
        <v>-3</v>
      </c>
      <c r="AJ71" s="229">
        <v>8.3999999999999995E-3</v>
      </c>
      <c r="AK71" s="228">
        <v>45.2</v>
      </c>
      <c r="AL71" s="228">
        <v>45.9</v>
      </c>
      <c r="AM71" s="228">
        <v>-0.7</v>
      </c>
      <c r="AN71" s="229">
        <v>1.5800000000000002E-2</v>
      </c>
      <c r="AO71" s="231">
        <v>2862.32</v>
      </c>
      <c r="AP71" s="231">
        <v>2875.34</v>
      </c>
      <c r="AQ71" s="228">
        <v>0</v>
      </c>
      <c r="AR71" s="230">
        <v>1486750</v>
      </c>
      <c r="AS71" s="230">
        <v>778000</v>
      </c>
      <c r="AT71" s="230">
        <v>708750</v>
      </c>
      <c r="AU71" s="229">
        <v>0.91100000000000003</v>
      </c>
      <c r="AV71" s="230">
        <v>1381250</v>
      </c>
      <c r="AW71" s="230">
        <v>641000</v>
      </c>
      <c r="AX71" s="230">
        <v>740250</v>
      </c>
      <c r="AY71" s="229">
        <v>1.1548</v>
      </c>
      <c r="AZ71" s="230">
        <v>101750</v>
      </c>
      <c r="BA71" s="230">
        <v>133250</v>
      </c>
      <c r="BB71" s="230">
        <v>-31500</v>
      </c>
      <c r="BC71" s="229">
        <v>-0.2364</v>
      </c>
      <c r="BD71" s="230">
        <v>3750</v>
      </c>
      <c r="BE71" s="230">
        <v>3750</v>
      </c>
      <c r="BF71" s="228">
        <v>0</v>
      </c>
      <c r="BG71" s="229">
        <v>0</v>
      </c>
      <c r="BH71" s="230">
        <v>3747000</v>
      </c>
      <c r="BI71" s="230">
        <v>1662500</v>
      </c>
      <c r="BJ71" s="230">
        <v>2084500</v>
      </c>
      <c r="BK71" s="229">
        <v>1.2538</v>
      </c>
      <c r="BL71" s="230">
        <v>1751250</v>
      </c>
      <c r="BM71" s="230">
        <v>739500</v>
      </c>
      <c r="BN71" s="230">
        <v>1011750</v>
      </c>
      <c r="BO71" s="229">
        <v>1.3682000000000001</v>
      </c>
      <c r="BP71" s="230">
        <v>6985000</v>
      </c>
      <c r="BQ71" s="230">
        <v>3180000</v>
      </c>
      <c r="BR71" s="230">
        <v>3805000</v>
      </c>
      <c r="BS71" s="229">
        <v>1.1964999999999999</v>
      </c>
      <c r="BT71" s="230">
        <v>561347</v>
      </c>
      <c r="BU71" s="230">
        <v>485687</v>
      </c>
      <c r="BV71" s="230">
        <v>75660</v>
      </c>
      <c r="BW71" s="229">
        <v>0.15579999999999999</v>
      </c>
      <c r="BX71" s="230">
        <v>14749750</v>
      </c>
      <c r="BY71" s="230">
        <v>14539250</v>
      </c>
      <c r="BZ71" s="230">
        <v>210500</v>
      </c>
      <c r="CA71" s="229">
        <v>1.4500000000000001E-2</v>
      </c>
      <c r="CB71" s="230">
        <v>14534250</v>
      </c>
      <c r="CC71" s="230">
        <v>14363250</v>
      </c>
      <c r="CD71" s="230">
        <v>171000</v>
      </c>
      <c r="CE71" s="229">
        <v>1.1900000000000001E-2</v>
      </c>
      <c r="CF71" s="230">
        <v>202750</v>
      </c>
      <c r="CG71" s="230">
        <v>164250</v>
      </c>
      <c r="CH71" s="230">
        <v>38500</v>
      </c>
      <c r="CI71" s="229">
        <v>0.2344</v>
      </c>
      <c r="CJ71" s="230">
        <v>12750</v>
      </c>
      <c r="CK71" s="230">
        <v>11750</v>
      </c>
      <c r="CL71" s="230">
        <v>1000</v>
      </c>
      <c r="CM71" s="229">
        <v>8.5099999999999995E-2</v>
      </c>
      <c r="CN71" s="230">
        <v>1547750</v>
      </c>
      <c r="CO71" s="230">
        <v>1665250</v>
      </c>
      <c r="CP71" s="230">
        <v>-117500</v>
      </c>
      <c r="CQ71" s="229">
        <v>-7.0599999999999996E-2</v>
      </c>
      <c r="CR71" s="230">
        <v>1068250</v>
      </c>
      <c r="CS71" s="230">
        <v>1058000</v>
      </c>
      <c r="CT71" s="230">
        <v>10250</v>
      </c>
      <c r="CU71" s="229">
        <v>9.7000000000000003E-3</v>
      </c>
      <c r="CV71" s="230">
        <v>17365750</v>
      </c>
      <c r="CW71" s="230">
        <v>17262500</v>
      </c>
      <c r="CX71" s="230">
        <v>103250</v>
      </c>
      <c r="CY71" s="229">
        <v>6.0000000000000001E-3</v>
      </c>
      <c r="CZ71" s="228">
        <v>18.690000000000001</v>
      </c>
      <c r="DA71" s="228">
        <v>19.47</v>
      </c>
      <c r="DB71" s="228">
        <v>-0.78</v>
      </c>
      <c r="DC71" s="228">
        <v>-0.78</v>
      </c>
      <c r="DD71" s="228">
        <v>25.54</v>
      </c>
      <c r="DE71" s="228">
        <v>25.52</v>
      </c>
      <c r="DF71" s="228">
        <v>-6.85</v>
      </c>
      <c r="DG71" s="228">
        <v>0.02</v>
      </c>
      <c r="DH71" s="228">
        <v>18.64</v>
      </c>
      <c r="DI71" s="228">
        <v>19.68</v>
      </c>
      <c r="DJ71" s="228">
        <v>-1.04</v>
      </c>
      <c r="DK71" s="228">
        <v>-1.04</v>
      </c>
      <c r="DL71" s="228">
        <v>18.79</v>
      </c>
      <c r="DM71" s="228">
        <v>18.98</v>
      </c>
      <c r="DN71" s="228">
        <v>-0.19</v>
      </c>
      <c r="DO71" s="228">
        <v>-0.19</v>
      </c>
      <c r="DP71" s="228">
        <v>0.69</v>
      </c>
      <c r="DQ71" s="228">
        <v>0.64</v>
      </c>
      <c r="DR71" s="228">
        <v>0.05</v>
      </c>
      <c r="DS71" s="229">
        <v>7.8100000000000003E-2</v>
      </c>
      <c r="DT71" s="231">
        <v>2900</v>
      </c>
      <c r="DU71" s="231">
        <v>2700</v>
      </c>
      <c r="DV71" s="228">
        <v>0.47</v>
      </c>
      <c r="DW71" s="228">
        <v>0.44</v>
      </c>
      <c r="DX71" s="228">
        <v>0.03</v>
      </c>
      <c r="DY71" s="229">
        <v>6.8199999999999997E-2</v>
      </c>
      <c r="DZ71" s="229">
        <v>1.46E-2</v>
      </c>
      <c r="EA71" s="230">
        <v>176000</v>
      </c>
      <c r="EB71" s="229">
        <v>5.3E-3</v>
      </c>
      <c r="EC71" s="229">
        <v>1.46E-2</v>
      </c>
      <c r="ED71" s="228">
        <v>13.02</v>
      </c>
      <c r="EE71" s="229">
        <v>4.4999999999999997E-3</v>
      </c>
      <c r="EF71" s="230">
        <v>341959</v>
      </c>
      <c r="EG71" s="230">
        <v>319625</v>
      </c>
      <c r="EH71" s="229">
        <v>6.9900000000000004E-2</v>
      </c>
      <c r="EI71" s="229">
        <v>0.60919999999999996</v>
      </c>
      <c r="EJ71" s="231">
        <v>109231.64</v>
      </c>
      <c r="EK71" s="231">
        <v>49480.21</v>
      </c>
      <c r="EL71" s="231">
        <v>42570.01</v>
      </c>
      <c r="EM71" s="231">
        <v>2556</v>
      </c>
      <c r="EN71" s="231">
        <v>201281.86</v>
      </c>
      <c r="EO71" s="231">
        <v>91159.23</v>
      </c>
      <c r="EP71" s="231">
        <v>110122.63</v>
      </c>
      <c r="EQ71" s="229">
        <v>1.208</v>
      </c>
      <c r="ER71" s="231">
        <v>45491</v>
      </c>
      <c r="ES71" s="231">
        <v>29247</v>
      </c>
      <c r="ET71" s="231">
        <v>423161</v>
      </c>
      <c r="EU71" s="231">
        <v>38514157</v>
      </c>
      <c r="EV71" s="231">
        <v>497899</v>
      </c>
      <c r="EW71" s="231">
        <v>488945</v>
      </c>
      <c r="EX71" s="231">
        <v>8954</v>
      </c>
      <c r="EY71" s="229">
        <v>1.83E-2</v>
      </c>
      <c r="EZ71" s="229">
        <v>0.45090000000000002</v>
      </c>
      <c r="FA71" s="227" t="s">
        <v>555</v>
      </c>
      <c r="FB71" s="161">
        <f t="shared" si="1"/>
        <v>215500</v>
      </c>
    </row>
    <row r="72" spans="1:158" ht="17.25" hidden="1" thickBot="1" x14ac:dyDescent="0.3">
      <c r="A72" s="226">
        <v>45946</v>
      </c>
      <c r="B72" s="227" t="s">
        <v>184</v>
      </c>
      <c r="C72" s="227" t="s">
        <v>513</v>
      </c>
      <c r="D72" s="228">
        <v>150</v>
      </c>
      <c r="E72" s="231">
        <v>4879.8</v>
      </c>
      <c r="F72" s="231">
        <v>4866.2</v>
      </c>
      <c r="G72" s="228">
        <v>13.6</v>
      </c>
      <c r="H72" s="229">
        <v>2.8E-3</v>
      </c>
      <c r="I72" s="231">
        <v>4861.3</v>
      </c>
      <c r="J72" s="231">
        <v>4845.2</v>
      </c>
      <c r="K72" s="228">
        <v>16.100000000000001</v>
      </c>
      <c r="L72" s="229">
        <v>3.3E-3</v>
      </c>
      <c r="M72" s="231">
        <v>4879.8</v>
      </c>
      <c r="N72" s="231">
        <v>4866.2</v>
      </c>
      <c r="O72" s="228">
        <v>13.6</v>
      </c>
      <c r="P72" s="229">
        <v>2.8E-3</v>
      </c>
      <c r="Q72" s="231">
        <v>4904.6000000000004</v>
      </c>
      <c r="R72" s="231">
        <v>4891.5</v>
      </c>
      <c r="S72" s="228">
        <v>13.1</v>
      </c>
      <c r="T72" s="229">
        <v>2.7000000000000001E-3</v>
      </c>
      <c r="U72" s="231">
        <v>4932.8</v>
      </c>
      <c r="V72" s="231">
        <v>4919.3</v>
      </c>
      <c r="W72" s="228">
        <v>13.5</v>
      </c>
      <c r="X72" s="229">
        <v>2.7000000000000001E-3</v>
      </c>
      <c r="Y72" s="228">
        <v>18.5</v>
      </c>
      <c r="Z72" s="228">
        <v>21</v>
      </c>
      <c r="AA72" s="228">
        <v>-2.5</v>
      </c>
      <c r="AB72" s="229">
        <v>3.8E-3</v>
      </c>
      <c r="AC72" s="228">
        <v>18.5</v>
      </c>
      <c r="AD72" s="228">
        <v>21</v>
      </c>
      <c r="AE72" s="228">
        <v>-2.5</v>
      </c>
      <c r="AF72" s="229">
        <v>3.8E-3</v>
      </c>
      <c r="AG72" s="228">
        <v>43.3</v>
      </c>
      <c r="AH72" s="228">
        <v>46.3</v>
      </c>
      <c r="AI72" s="228">
        <v>-3</v>
      </c>
      <c r="AJ72" s="229">
        <v>8.8999999999999999E-3</v>
      </c>
      <c r="AK72" s="228">
        <v>71.5</v>
      </c>
      <c r="AL72" s="228">
        <v>74.099999999999994</v>
      </c>
      <c r="AM72" s="228">
        <v>-2.6</v>
      </c>
      <c r="AN72" s="229">
        <v>1.47E-2</v>
      </c>
      <c r="AO72" s="231">
        <v>4877.46</v>
      </c>
      <c r="AP72" s="231">
        <v>4902.33</v>
      </c>
      <c r="AQ72" s="228">
        <v>0</v>
      </c>
      <c r="AR72" s="230">
        <v>1194150</v>
      </c>
      <c r="AS72" s="230">
        <v>1861650</v>
      </c>
      <c r="AT72" s="230">
        <v>-667500</v>
      </c>
      <c r="AU72" s="229">
        <v>-0.35859999999999997</v>
      </c>
      <c r="AV72" s="230">
        <v>950550</v>
      </c>
      <c r="AW72" s="230">
        <v>1579350</v>
      </c>
      <c r="AX72" s="230">
        <v>-628800</v>
      </c>
      <c r="AY72" s="229">
        <v>-0.39810000000000001</v>
      </c>
      <c r="AZ72" s="230">
        <v>214500</v>
      </c>
      <c r="BA72" s="230">
        <v>235200</v>
      </c>
      <c r="BB72" s="230">
        <v>-20700</v>
      </c>
      <c r="BC72" s="229">
        <v>-8.7999999999999995E-2</v>
      </c>
      <c r="BD72" s="230">
        <v>29100</v>
      </c>
      <c r="BE72" s="230">
        <v>47100</v>
      </c>
      <c r="BF72" s="230">
        <v>-18000</v>
      </c>
      <c r="BG72" s="229">
        <v>-0.38219999999999998</v>
      </c>
      <c r="BH72" s="230">
        <v>4711350</v>
      </c>
      <c r="BI72" s="230">
        <v>8545200</v>
      </c>
      <c r="BJ72" s="230">
        <v>-3833850</v>
      </c>
      <c r="BK72" s="229">
        <v>-0.44869999999999999</v>
      </c>
      <c r="BL72" s="230">
        <v>2015100</v>
      </c>
      <c r="BM72" s="230">
        <v>3705000</v>
      </c>
      <c r="BN72" s="230">
        <v>-1689900</v>
      </c>
      <c r="BO72" s="229">
        <v>-0.45610000000000001</v>
      </c>
      <c r="BP72" s="230">
        <v>7920600</v>
      </c>
      <c r="BQ72" s="230">
        <v>14111850</v>
      </c>
      <c r="BR72" s="230">
        <v>-6191250</v>
      </c>
      <c r="BS72" s="229">
        <v>-0.43869999999999998</v>
      </c>
      <c r="BT72" s="230">
        <v>792435</v>
      </c>
      <c r="BU72" s="230">
        <v>1075789</v>
      </c>
      <c r="BV72" s="230">
        <v>-283354</v>
      </c>
      <c r="BW72" s="229">
        <v>-0.26340000000000002</v>
      </c>
      <c r="BX72" s="230">
        <v>9445500</v>
      </c>
      <c r="BY72" s="230">
        <v>9384900</v>
      </c>
      <c r="BZ72" s="230">
        <v>60600</v>
      </c>
      <c r="CA72" s="229">
        <v>6.4999999999999997E-3</v>
      </c>
      <c r="CB72" s="230">
        <v>8664450</v>
      </c>
      <c r="CC72" s="230">
        <v>8682150</v>
      </c>
      <c r="CD72" s="230">
        <v>-17700</v>
      </c>
      <c r="CE72" s="229">
        <v>-2E-3</v>
      </c>
      <c r="CF72" s="230">
        <v>713250</v>
      </c>
      <c r="CG72" s="230">
        <v>645300</v>
      </c>
      <c r="CH72" s="230">
        <v>67950</v>
      </c>
      <c r="CI72" s="229">
        <v>0.1053</v>
      </c>
      <c r="CJ72" s="230">
        <v>67800</v>
      </c>
      <c r="CK72" s="230">
        <v>57450</v>
      </c>
      <c r="CL72" s="230">
        <v>10350</v>
      </c>
      <c r="CM72" s="229">
        <v>0.1802</v>
      </c>
      <c r="CN72" s="230">
        <v>4639500</v>
      </c>
      <c r="CO72" s="230">
        <v>4534050</v>
      </c>
      <c r="CP72" s="230">
        <v>105450</v>
      </c>
      <c r="CQ72" s="229">
        <v>2.3300000000000001E-2</v>
      </c>
      <c r="CR72" s="230">
        <v>2678400</v>
      </c>
      <c r="CS72" s="230">
        <v>2712450</v>
      </c>
      <c r="CT72" s="230">
        <v>-34050</v>
      </c>
      <c r="CU72" s="229">
        <v>-1.26E-2</v>
      </c>
      <c r="CV72" s="230">
        <v>16763400</v>
      </c>
      <c r="CW72" s="230">
        <v>16631400</v>
      </c>
      <c r="CX72" s="230">
        <v>132000</v>
      </c>
      <c r="CY72" s="229">
        <v>7.9000000000000008E-3</v>
      </c>
      <c r="CZ72" s="228">
        <v>25.8</v>
      </c>
      <c r="DA72" s="228">
        <v>26.06</v>
      </c>
      <c r="DB72" s="228">
        <v>-0.26</v>
      </c>
      <c r="DC72" s="228">
        <v>-0.26</v>
      </c>
      <c r="DD72" s="228">
        <v>39.840000000000003</v>
      </c>
      <c r="DE72" s="228">
        <v>39.94</v>
      </c>
      <c r="DF72" s="228">
        <v>-14.04</v>
      </c>
      <c r="DG72" s="228">
        <v>-0.1</v>
      </c>
      <c r="DH72" s="228">
        <v>25.81</v>
      </c>
      <c r="DI72" s="228">
        <v>26.16</v>
      </c>
      <c r="DJ72" s="228">
        <v>-0.35</v>
      </c>
      <c r="DK72" s="228">
        <v>-0.35</v>
      </c>
      <c r="DL72" s="228">
        <v>25.77</v>
      </c>
      <c r="DM72" s="228">
        <v>25.83</v>
      </c>
      <c r="DN72" s="228">
        <v>-0.06</v>
      </c>
      <c r="DO72" s="228">
        <v>-0.06</v>
      </c>
      <c r="DP72" s="228">
        <v>0.57999999999999996</v>
      </c>
      <c r="DQ72" s="228">
        <v>0.6</v>
      </c>
      <c r="DR72" s="228">
        <v>-0.02</v>
      </c>
      <c r="DS72" s="229">
        <v>-3.3300000000000003E-2</v>
      </c>
      <c r="DT72" s="231">
        <v>5000</v>
      </c>
      <c r="DU72" s="231">
        <v>4800</v>
      </c>
      <c r="DV72" s="228">
        <v>0.43</v>
      </c>
      <c r="DW72" s="228">
        <v>0.43</v>
      </c>
      <c r="DX72" s="228">
        <v>0</v>
      </c>
      <c r="DY72" s="229">
        <v>0</v>
      </c>
      <c r="DZ72" s="229">
        <v>8.2699999999999996E-2</v>
      </c>
      <c r="EA72" s="230">
        <v>702750</v>
      </c>
      <c r="EB72" s="229">
        <v>5.1000000000000004E-3</v>
      </c>
      <c r="EC72" s="229">
        <v>8.2699999999999996E-2</v>
      </c>
      <c r="ED72" s="228">
        <v>24.87</v>
      </c>
      <c r="EE72" s="229">
        <v>5.1000000000000004E-3</v>
      </c>
      <c r="EF72" s="230">
        <v>455222</v>
      </c>
      <c r="EG72" s="230">
        <v>552576</v>
      </c>
      <c r="EH72" s="229">
        <v>-0.1762</v>
      </c>
      <c r="EI72" s="229">
        <v>0.57450000000000001</v>
      </c>
      <c r="EJ72" s="231">
        <v>237379.91</v>
      </c>
      <c r="EK72" s="231">
        <v>96703.6</v>
      </c>
      <c r="EL72" s="231">
        <v>58313.27</v>
      </c>
      <c r="EM72" s="231">
        <v>9848</v>
      </c>
      <c r="EN72" s="231">
        <v>392396.78</v>
      </c>
      <c r="EO72" s="231">
        <v>695779.06</v>
      </c>
      <c r="EP72" s="231">
        <v>-303382.28000000003</v>
      </c>
      <c r="EQ72" s="229">
        <v>-0.436</v>
      </c>
      <c r="ER72" s="231">
        <v>232650</v>
      </c>
      <c r="ES72" s="231">
        <v>126086</v>
      </c>
      <c r="ET72" s="231">
        <v>461134</v>
      </c>
      <c r="EU72" s="231">
        <v>28450886</v>
      </c>
      <c r="EV72" s="231">
        <v>819870</v>
      </c>
      <c r="EW72" s="231">
        <v>811608</v>
      </c>
      <c r="EX72" s="231">
        <v>8262</v>
      </c>
      <c r="EY72" s="229">
        <v>1.0200000000000001E-2</v>
      </c>
      <c r="EZ72" s="229">
        <v>0.58919999999999995</v>
      </c>
      <c r="FA72" s="227" t="s">
        <v>555</v>
      </c>
      <c r="FB72" s="161">
        <f t="shared" si="1"/>
        <v>781050</v>
      </c>
    </row>
    <row r="73" spans="1:158" ht="17.25" hidden="1" thickBot="1" x14ac:dyDescent="0.3">
      <c r="A73" s="226">
        <v>45946</v>
      </c>
      <c r="B73" s="227" t="s">
        <v>184</v>
      </c>
      <c r="C73" s="227" t="s">
        <v>220</v>
      </c>
      <c r="D73" s="228">
        <v>500</v>
      </c>
      <c r="E73" s="231">
        <v>1481.7</v>
      </c>
      <c r="F73" s="231">
        <v>1470.6</v>
      </c>
      <c r="G73" s="228">
        <v>11.1</v>
      </c>
      <c r="H73" s="229">
        <v>7.4999999999999997E-3</v>
      </c>
      <c r="I73" s="231">
        <v>1475.8</v>
      </c>
      <c r="J73" s="231">
        <v>1464.2</v>
      </c>
      <c r="K73" s="228">
        <v>11.6</v>
      </c>
      <c r="L73" s="229">
        <v>7.9000000000000008E-3</v>
      </c>
      <c r="M73" s="231">
        <v>1481.7</v>
      </c>
      <c r="N73" s="231">
        <v>1470.6</v>
      </c>
      <c r="O73" s="228">
        <v>11.1</v>
      </c>
      <c r="P73" s="229">
        <v>7.4999999999999997E-3</v>
      </c>
      <c r="Q73" s="231">
        <v>1489.1</v>
      </c>
      <c r="R73" s="231">
        <v>1477.8</v>
      </c>
      <c r="S73" s="228">
        <v>11.3</v>
      </c>
      <c r="T73" s="229">
        <v>7.6E-3</v>
      </c>
      <c r="U73" s="231">
        <v>1499.2</v>
      </c>
      <c r="V73" s="231">
        <v>1486.2</v>
      </c>
      <c r="W73" s="228">
        <v>13</v>
      </c>
      <c r="X73" s="229">
        <v>8.6999999999999994E-3</v>
      </c>
      <c r="Y73" s="228">
        <v>5.9</v>
      </c>
      <c r="Z73" s="228">
        <v>6.4</v>
      </c>
      <c r="AA73" s="228">
        <v>-0.5</v>
      </c>
      <c r="AB73" s="229">
        <v>4.0000000000000001E-3</v>
      </c>
      <c r="AC73" s="228">
        <v>5.9</v>
      </c>
      <c r="AD73" s="228">
        <v>6.4</v>
      </c>
      <c r="AE73" s="228">
        <v>-0.5</v>
      </c>
      <c r="AF73" s="229">
        <v>4.0000000000000001E-3</v>
      </c>
      <c r="AG73" s="228">
        <v>13.3</v>
      </c>
      <c r="AH73" s="228">
        <v>13.6</v>
      </c>
      <c r="AI73" s="228">
        <v>-0.3</v>
      </c>
      <c r="AJ73" s="229">
        <v>8.9999999999999993E-3</v>
      </c>
      <c r="AK73" s="228">
        <v>23.4</v>
      </c>
      <c r="AL73" s="228">
        <v>22</v>
      </c>
      <c r="AM73" s="228">
        <v>1.4</v>
      </c>
      <c r="AN73" s="229">
        <v>1.5900000000000001E-2</v>
      </c>
      <c r="AO73" s="231">
        <v>1474.29</v>
      </c>
      <c r="AP73" s="231">
        <v>1482</v>
      </c>
      <c r="AQ73" s="228">
        <v>0</v>
      </c>
      <c r="AR73" s="230">
        <v>2280500</v>
      </c>
      <c r="AS73" s="230">
        <v>1304500</v>
      </c>
      <c r="AT73" s="230">
        <v>976000</v>
      </c>
      <c r="AU73" s="229">
        <v>0.74819999999999998</v>
      </c>
      <c r="AV73" s="230">
        <v>1952500</v>
      </c>
      <c r="AW73" s="230">
        <v>1114000</v>
      </c>
      <c r="AX73" s="230">
        <v>838500</v>
      </c>
      <c r="AY73" s="229">
        <v>0.75270000000000004</v>
      </c>
      <c r="AZ73" s="230">
        <v>312000</v>
      </c>
      <c r="BA73" s="230">
        <v>177000</v>
      </c>
      <c r="BB73" s="230">
        <v>135000</v>
      </c>
      <c r="BC73" s="229">
        <v>0.76270000000000004</v>
      </c>
      <c r="BD73" s="230">
        <v>16000</v>
      </c>
      <c r="BE73" s="230">
        <v>13500</v>
      </c>
      <c r="BF73" s="230">
        <v>2500</v>
      </c>
      <c r="BG73" s="229">
        <v>0.1852</v>
      </c>
      <c r="BH73" s="230">
        <v>4408500</v>
      </c>
      <c r="BI73" s="230">
        <v>2871000</v>
      </c>
      <c r="BJ73" s="230">
        <v>1537500</v>
      </c>
      <c r="BK73" s="229">
        <v>0.53549999999999998</v>
      </c>
      <c r="BL73" s="230">
        <v>1488000</v>
      </c>
      <c r="BM73" s="230">
        <v>1124500</v>
      </c>
      <c r="BN73" s="230">
        <v>363500</v>
      </c>
      <c r="BO73" s="229">
        <v>0.32329999999999998</v>
      </c>
      <c r="BP73" s="230">
        <v>8177000</v>
      </c>
      <c r="BQ73" s="230">
        <v>5300000</v>
      </c>
      <c r="BR73" s="230">
        <v>2877000</v>
      </c>
      <c r="BS73" s="229">
        <v>0.54279999999999995</v>
      </c>
      <c r="BT73" s="230">
        <v>1375459</v>
      </c>
      <c r="BU73" s="230">
        <v>799288</v>
      </c>
      <c r="BV73" s="230">
        <v>576171</v>
      </c>
      <c r="BW73" s="229">
        <v>0.72089999999999999</v>
      </c>
      <c r="BX73" s="230">
        <v>11361000</v>
      </c>
      <c r="BY73" s="230">
        <v>11329000</v>
      </c>
      <c r="BZ73" s="230">
        <v>32000</v>
      </c>
      <c r="CA73" s="229">
        <v>2.8E-3</v>
      </c>
      <c r="CB73" s="230">
        <v>10807500</v>
      </c>
      <c r="CC73" s="230">
        <v>10857000</v>
      </c>
      <c r="CD73" s="230">
        <v>-49500</v>
      </c>
      <c r="CE73" s="229">
        <v>-4.5999999999999999E-3</v>
      </c>
      <c r="CF73" s="230">
        <v>502000</v>
      </c>
      <c r="CG73" s="230">
        <v>423500</v>
      </c>
      <c r="CH73" s="230">
        <v>78500</v>
      </c>
      <c r="CI73" s="229">
        <v>0.18540000000000001</v>
      </c>
      <c r="CJ73" s="230">
        <v>51500</v>
      </c>
      <c r="CK73" s="230">
        <v>48500</v>
      </c>
      <c r="CL73" s="230">
        <v>3000</v>
      </c>
      <c r="CM73" s="229">
        <v>6.1899999999999997E-2</v>
      </c>
      <c r="CN73" s="230">
        <v>3632000</v>
      </c>
      <c r="CO73" s="230">
        <v>3768000</v>
      </c>
      <c r="CP73" s="230">
        <v>-136000</v>
      </c>
      <c r="CQ73" s="229">
        <v>-3.61E-2</v>
      </c>
      <c r="CR73" s="230">
        <v>2129000</v>
      </c>
      <c r="CS73" s="230">
        <v>2092500</v>
      </c>
      <c r="CT73" s="230">
        <v>36500</v>
      </c>
      <c r="CU73" s="229">
        <v>1.7399999999999999E-2</v>
      </c>
      <c r="CV73" s="230">
        <v>17122000</v>
      </c>
      <c r="CW73" s="230">
        <v>17189500</v>
      </c>
      <c r="CX73" s="230">
        <v>-67500</v>
      </c>
      <c r="CY73" s="229">
        <v>-3.8999999999999998E-3</v>
      </c>
      <c r="CZ73" s="228">
        <v>28.64</v>
      </c>
      <c r="DA73" s="228">
        <v>29.13</v>
      </c>
      <c r="DB73" s="228">
        <v>-0.49</v>
      </c>
      <c r="DC73" s="228">
        <v>-0.49</v>
      </c>
      <c r="DD73" s="228">
        <v>28.59</v>
      </c>
      <c r="DE73" s="228">
        <v>28.64</v>
      </c>
      <c r="DF73" s="228">
        <v>0.05</v>
      </c>
      <c r="DG73" s="228">
        <v>-0.05</v>
      </c>
      <c r="DH73" s="228">
        <v>28.69</v>
      </c>
      <c r="DI73" s="228">
        <v>29.08</v>
      </c>
      <c r="DJ73" s="228">
        <v>-0.39</v>
      </c>
      <c r="DK73" s="228">
        <v>-0.39</v>
      </c>
      <c r="DL73" s="228">
        <v>28.49</v>
      </c>
      <c r="DM73" s="228">
        <v>29.24</v>
      </c>
      <c r="DN73" s="228">
        <v>-0.75</v>
      </c>
      <c r="DO73" s="228">
        <v>-0.75</v>
      </c>
      <c r="DP73" s="228">
        <v>0.59</v>
      </c>
      <c r="DQ73" s="228">
        <v>0.56000000000000005</v>
      </c>
      <c r="DR73" s="228">
        <v>0.03</v>
      </c>
      <c r="DS73" s="229">
        <v>5.3600000000000002E-2</v>
      </c>
      <c r="DT73" s="231">
        <v>1600</v>
      </c>
      <c r="DU73" s="231">
        <v>1500</v>
      </c>
      <c r="DV73" s="228">
        <v>0.34</v>
      </c>
      <c r="DW73" s="228">
        <v>0.39</v>
      </c>
      <c r="DX73" s="228">
        <v>-0.05</v>
      </c>
      <c r="DY73" s="229">
        <v>-0.12820000000000001</v>
      </c>
      <c r="DZ73" s="229">
        <v>4.87E-2</v>
      </c>
      <c r="EA73" s="230">
        <v>472000</v>
      </c>
      <c r="EB73" s="229">
        <v>5.0000000000000001E-3</v>
      </c>
      <c r="EC73" s="229">
        <v>4.87E-2</v>
      </c>
      <c r="ED73" s="228">
        <v>7.71</v>
      </c>
      <c r="EE73" s="229">
        <v>5.1999999999999998E-3</v>
      </c>
      <c r="EF73" s="230">
        <v>960020</v>
      </c>
      <c r="EG73" s="230">
        <v>577468</v>
      </c>
      <c r="EH73" s="229">
        <v>0.66249999999999998</v>
      </c>
      <c r="EI73" s="229">
        <v>0.69799999999999995</v>
      </c>
      <c r="EJ73" s="231">
        <v>67659.61</v>
      </c>
      <c r="EK73" s="231">
        <v>21671.53</v>
      </c>
      <c r="EL73" s="231">
        <v>33647.25</v>
      </c>
      <c r="EM73" s="231">
        <v>4048</v>
      </c>
      <c r="EN73" s="231">
        <v>122978.39</v>
      </c>
      <c r="EO73" s="231">
        <v>79238.490000000005</v>
      </c>
      <c r="EP73" s="231">
        <v>43739.9</v>
      </c>
      <c r="EQ73" s="229">
        <v>0.55200000000000005</v>
      </c>
      <c r="ER73" s="231">
        <v>56714</v>
      </c>
      <c r="ES73" s="231">
        <v>31137</v>
      </c>
      <c r="ET73" s="231">
        <v>168382</v>
      </c>
      <c r="EU73" s="231">
        <v>38133766</v>
      </c>
      <c r="EV73" s="231">
        <v>256233</v>
      </c>
      <c r="EW73" s="231">
        <v>256018</v>
      </c>
      <c r="EX73" s="228">
        <v>215</v>
      </c>
      <c r="EY73" s="229">
        <v>8.0000000000000004E-4</v>
      </c>
      <c r="EZ73" s="229">
        <v>0.44900000000000001</v>
      </c>
      <c r="FA73" s="227" t="s">
        <v>555</v>
      </c>
      <c r="FB73" s="161">
        <f t="shared" si="1"/>
        <v>553500</v>
      </c>
    </row>
    <row r="74" spans="1:158" ht="17.25" hidden="1" thickBot="1" x14ac:dyDescent="0.3">
      <c r="A74" s="226">
        <v>45946</v>
      </c>
      <c r="B74" s="227" t="s">
        <v>221</v>
      </c>
      <c r="C74" s="227" t="s">
        <v>222</v>
      </c>
      <c r="D74" s="228">
        <v>350</v>
      </c>
      <c r="E74" s="231">
        <v>1504.6</v>
      </c>
      <c r="F74" s="231">
        <v>1488.1</v>
      </c>
      <c r="G74" s="228">
        <v>16.5</v>
      </c>
      <c r="H74" s="229">
        <v>1.11E-2</v>
      </c>
      <c r="I74" s="231">
        <v>1515</v>
      </c>
      <c r="J74" s="231">
        <v>1495.7</v>
      </c>
      <c r="K74" s="228">
        <v>19.3</v>
      </c>
      <c r="L74" s="229">
        <v>1.29E-2</v>
      </c>
      <c r="M74" s="231">
        <v>1504.6</v>
      </c>
      <c r="N74" s="231">
        <v>1488.1</v>
      </c>
      <c r="O74" s="228">
        <v>16.5</v>
      </c>
      <c r="P74" s="229">
        <v>1.11E-2</v>
      </c>
      <c r="Q74" s="231">
        <v>1512.8</v>
      </c>
      <c r="R74" s="231">
        <v>1496.7</v>
      </c>
      <c r="S74" s="228">
        <v>16.100000000000001</v>
      </c>
      <c r="T74" s="229">
        <v>1.0800000000000001E-2</v>
      </c>
      <c r="U74" s="231">
        <v>1521.9</v>
      </c>
      <c r="V74" s="231">
        <v>1506</v>
      </c>
      <c r="W74" s="228">
        <v>15.9</v>
      </c>
      <c r="X74" s="229">
        <v>1.06E-2</v>
      </c>
      <c r="Y74" s="228">
        <v>-10.4</v>
      </c>
      <c r="Z74" s="228">
        <v>-7.6</v>
      </c>
      <c r="AA74" s="228">
        <v>-2.8</v>
      </c>
      <c r="AB74" s="229">
        <v>-6.8999999999999999E-3</v>
      </c>
      <c r="AC74" s="228">
        <v>-10.4</v>
      </c>
      <c r="AD74" s="228">
        <v>-7.6</v>
      </c>
      <c r="AE74" s="228">
        <v>-2.8</v>
      </c>
      <c r="AF74" s="229">
        <v>-6.8999999999999999E-3</v>
      </c>
      <c r="AG74" s="228">
        <v>-2.2000000000000002</v>
      </c>
      <c r="AH74" s="228">
        <v>1</v>
      </c>
      <c r="AI74" s="228">
        <v>-3.2</v>
      </c>
      <c r="AJ74" s="229">
        <v>-1.5E-3</v>
      </c>
      <c r="AK74" s="228">
        <v>6.9</v>
      </c>
      <c r="AL74" s="228">
        <v>10.3</v>
      </c>
      <c r="AM74" s="228">
        <v>-3.4</v>
      </c>
      <c r="AN74" s="229">
        <v>4.5999999999999999E-3</v>
      </c>
      <c r="AO74" s="231">
        <v>1501.82</v>
      </c>
      <c r="AP74" s="231">
        <v>1510.4</v>
      </c>
      <c r="AQ74" s="228">
        <v>0</v>
      </c>
      <c r="AR74" s="230">
        <v>3516450</v>
      </c>
      <c r="AS74" s="230">
        <v>3318700</v>
      </c>
      <c r="AT74" s="230">
        <v>197750</v>
      </c>
      <c r="AU74" s="229">
        <v>5.96E-2</v>
      </c>
      <c r="AV74" s="230">
        <v>3141250</v>
      </c>
      <c r="AW74" s="230">
        <v>2973250</v>
      </c>
      <c r="AX74" s="230">
        <v>168000</v>
      </c>
      <c r="AY74" s="229">
        <v>5.6500000000000002E-2</v>
      </c>
      <c r="AZ74" s="230">
        <v>342650</v>
      </c>
      <c r="BA74" s="230">
        <v>325150</v>
      </c>
      <c r="BB74" s="230">
        <v>17500</v>
      </c>
      <c r="BC74" s="229">
        <v>5.3800000000000001E-2</v>
      </c>
      <c r="BD74" s="230">
        <v>32550</v>
      </c>
      <c r="BE74" s="230">
        <v>20300</v>
      </c>
      <c r="BF74" s="230">
        <v>12250</v>
      </c>
      <c r="BG74" s="229">
        <v>0.60340000000000005</v>
      </c>
      <c r="BH74" s="230">
        <v>15902950</v>
      </c>
      <c r="BI74" s="230">
        <v>20479900</v>
      </c>
      <c r="BJ74" s="230">
        <v>-4576950</v>
      </c>
      <c r="BK74" s="229">
        <v>-0.2235</v>
      </c>
      <c r="BL74" s="230">
        <v>9004100</v>
      </c>
      <c r="BM74" s="230">
        <v>10883600</v>
      </c>
      <c r="BN74" s="230">
        <v>-1879500</v>
      </c>
      <c r="BO74" s="229">
        <v>-0.17269999999999999</v>
      </c>
      <c r="BP74" s="230">
        <v>28423500</v>
      </c>
      <c r="BQ74" s="230">
        <v>34682200</v>
      </c>
      <c r="BR74" s="230">
        <v>-6258700</v>
      </c>
      <c r="BS74" s="229">
        <v>-0.18049999999999999</v>
      </c>
      <c r="BT74" s="230">
        <v>2172519</v>
      </c>
      <c r="BU74" s="230">
        <v>2018123</v>
      </c>
      <c r="BV74" s="230">
        <v>154396</v>
      </c>
      <c r="BW74" s="229">
        <v>7.6499999999999999E-2</v>
      </c>
      <c r="BX74" s="230">
        <v>18036200</v>
      </c>
      <c r="BY74" s="230">
        <v>18899300</v>
      </c>
      <c r="BZ74" s="230">
        <v>-863100</v>
      </c>
      <c r="CA74" s="229">
        <v>-4.5699999999999998E-2</v>
      </c>
      <c r="CB74" s="230">
        <v>17026800</v>
      </c>
      <c r="CC74" s="230">
        <v>17986850</v>
      </c>
      <c r="CD74" s="230">
        <v>-960050</v>
      </c>
      <c r="CE74" s="229">
        <v>-5.3400000000000003E-2</v>
      </c>
      <c r="CF74" s="230">
        <v>914550</v>
      </c>
      <c r="CG74" s="230">
        <v>815500</v>
      </c>
      <c r="CH74" s="230">
        <v>99050</v>
      </c>
      <c r="CI74" s="229">
        <v>0.1215</v>
      </c>
      <c r="CJ74" s="230">
        <v>94850</v>
      </c>
      <c r="CK74" s="230">
        <v>96950</v>
      </c>
      <c r="CL74" s="230">
        <v>-2100</v>
      </c>
      <c r="CM74" s="229">
        <v>-2.1700000000000001E-2</v>
      </c>
      <c r="CN74" s="230">
        <v>9817150</v>
      </c>
      <c r="CO74" s="230">
        <v>12860750</v>
      </c>
      <c r="CP74" s="230">
        <v>-3043600</v>
      </c>
      <c r="CQ74" s="229">
        <v>-0.23669999999999999</v>
      </c>
      <c r="CR74" s="230">
        <v>5832750</v>
      </c>
      <c r="CS74" s="230">
        <v>6773900</v>
      </c>
      <c r="CT74" s="230">
        <v>-941150</v>
      </c>
      <c r="CU74" s="229">
        <v>-0.1389</v>
      </c>
      <c r="CV74" s="230">
        <v>33686100</v>
      </c>
      <c r="CW74" s="230">
        <v>38533950</v>
      </c>
      <c r="CX74" s="230">
        <v>-4847850</v>
      </c>
      <c r="CY74" s="229">
        <v>-0.1258</v>
      </c>
      <c r="CZ74" s="228">
        <v>21.67</v>
      </c>
      <c r="DA74" s="228">
        <v>22.42</v>
      </c>
      <c r="DB74" s="228">
        <v>-0.75</v>
      </c>
      <c r="DC74" s="228">
        <v>-0.75</v>
      </c>
      <c r="DD74" s="228">
        <v>28.93</v>
      </c>
      <c r="DE74" s="228">
        <v>28.95</v>
      </c>
      <c r="DF74" s="228">
        <v>-7.26</v>
      </c>
      <c r="DG74" s="228">
        <v>-0.02</v>
      </c>
      <c r="DH74" s="228">
        <v>21.28</v>
      </c>
      <c r="DI74" s="228">
        <v>22.19</v>
      </c>
      <c r="DJ74" s="228">
        <v>-0.91</v>
      </c>
      <c r="DK74" s="228">
        <v>-0.91</v>
      </c>
      <c r="DL74" s="228">
        <v>22.37</v>
      </c>
      <c r="DM74" s="228">
        <v>22.84</v>
      </c>
      <c r="DN74" s="228">
        <v>-0.47</v>
      </c>
      <c r="DO74" s="228">
        <v>-0.47</v>
      </c>
      <c r="DP74" s="228">
        <v>0.59</v>
      </c>
      <c r="DQ74" s="228">
        <v>0.53</v>
      </c>
      <c r="DR74" s="228">
        <v>0.06</v>
      </c>
      <c r="DS74" s="229">
        <v>0.1132</v>
      </c>
      <c r="DT74" s="231">
        <v>1600</v>
      </c>
      <c r="DU74" s="231">
        <v>1400</v>
      </c>
      <c r="DV74" s="228">
        <v>0.56999999999999995</v>
      </c>
      <c r="DW74" s="228">
        <v>0.53</v>
      </c>
      <c r="DX74" s="228">
        <v>0.04</v>
      </c>
      <c r="DY74" s="229">
        <v>7.5499999999999998E-2</v>
      </c>
      <c r="DZ74" s="229">
        <v>5.6000000000000001E-2</v>
      </c>
      <c r="EA74" s="230">
        <v>912450</v>
      </c>
      <c r="EB74" s="229">
        <v>5.4000000000000003E-3</v>
      </c>
      <c r="EC74" s="229">
        <v>5.6000000000000001E-2</v>
      </c>
      <c r="ED74" s="228">
        <v>8.58</v>
      </c>
      <c r="EE74" s="229">
        <v>5.7000000000000002E-3</v>
      </c>
      <c r="EF74" s="230">
        <v>1349810</v>
      </c>
      <c r="EG74" s="230">
        <v>1165178</v>
      </c>
      <c r="EH74" s="229">
        <v>0.1585</v>
      </c>
      <c r="EI74" s="229">
        <v>0.62129999999999996</v>
      </c>
      <c r="EJ74" s="231">
        <v>246312.1</v>
      </c>
      <c r="EK74" s="231">
        <v>132972.42000000001</v>
      </c>
      <c r="EL74" s="231">
        <v>52846.04</v>
      </c>
      <c r="EM74" s="231">
        <v>18230</v>
      </c>
      <c r="EN74" s="231">
        <v>432130.56</v>
      </c>
      <c r="EO74" s="231">
        <v>525628.55000000005</v>
      </c>
      <c r="EP74" s="231">
        <v>-93497.99</v>
      </c>
      <c r="EQ74" s="229">
        <v>-0.1779</v>
      </c>
      <c r="ER74" s="231">
        <v>151908</v>
      </c>
      <c r="ES74" s="231">
        <v>82518</v>
      </c>
      <c r="ET74" s="231">
        <v>271464</v>
      </c>
      <c r="EU74" s="231">
        <v>145993539</v>
      </c>
      <c r="EV74" s="231">
        <v>505890</v>
      </c>
      <c r="EW74" s="231">
        <v>575388</v>
      </c>
      <c r="EX74" s="231">
        <v>-69498</v>
      </c>
      <c r="EY74" s="229">
        <v>-0.1208</v>
      </c>
      <c r="EZ74" s="229">
        <v>0.23069999999999999</v>
      </c>
      <c r="FA74" s="227" t="s">
        <v>556</v>
      </c>
      <c r="FB74" s="161">
        <f t="shared" si="1"/>
        <v>1009400</v>
      </c>
    </row>
    <row r="75" spans="1:158" ht="17.25" hidden="1" thickBot="1" x14ac:dyDescent="0.3">
      <c r="A75" s="226">
        <v>45946</v>
      </c>
      <c r="B75" s="227" t="s">
        <v>175</v>
      </c>
      <c r="C75" s="227" t="s">
        <v>475</v>
      </c>
      <c r="D75" s="228">
        <v>150</v>
      </c>
      <c r="E75" s="231">
        <v>5815.5</v>
      </c>
      <c r="F75" s="231">
        <v>5786</v>
      </c>
      <c r="G75" s="228">
        <v>29.5</v>
      </c>
      <c r="H75" s="229">
        <v>5.1000000000000004E-3</v>
      </c>
      <c r="I75" s="231">
        <v>5803.5</v>
      </c>
      <c r="J75" s="231">
        <v>5764</v>
      </c>
      <c r="K75" s="228">
        <v>39.5</v>
      </c>
      <c r="L75" s="229">
        <v>6.8999999999999999E-3</v>
      </c>
      <c r="M75" s="231">
        <v>5815.5</v>
      </c>
      <c r="N75" s="231">
        <v>5786</v>
      </c>
      <c r="O75" s="228">
        <v>29.5</v>
      </c>
      <c r="P75" s="229">
        <v>5.1000000000000004E-3</v>
      </c>
      <c r="Q75" s="231">
        <v>5843</v>
      </c>
      <c r="R75" s="231">
        <v>5812</v>
      </c>
      <c r="S75" s="228">
        <v>31</v>
      </c>
      <c r="T75" s="229">
        <v>5.3E-3</v>
      </c>
      <c r="U75" s="231">
        <v>5869.5</v>
      </c>
      <c r="V75" s="231">
        <v>5832</v>
      </c>
      <c r="W75" s="228">
        <v>37.5</v>
      </c>
      <c r="X75" s="229">
        <v>6.4000000000000003E-3</v>
      </c>
      <c r="Y75" s="228">
        <v>12</v>
      </c>
      <c r="Z75" s="228">
        <v>22</v>
      </c>
      <c r="AA75" s="228">
        <v>-10</v>
      </c>
      <c r="AB75" s="229">
        <v>2.0999999999999999E-3</v>
      </c>
      <c r="AC75" s="228">
        <v>12</v>
      </c>
      <c r="AD75" s="228">
        <v>22</v>
      </c>
      <c r="AE75" s="228">
        <v>-10</v>
      </c>
      <c r="AF75" s="229">
        <v>2.0999999999999999E-3</v>
      </c>
      <c r="AG75" s="228">
        <v>39.5</v>
      </c>
      <c r="AH75" s="228">
        <v>48</v>
      </c>
      <c r="AI75" s="228">
        <v>-8.5</v>
      </c>
      <c r="AJ75" s="229">
        <v>6.7999999999999996E-3</v>
      </c>
      <c r="AK75" s="228">
        <v>66</v>
      </c>
      <c r="AL75" s="228">
        <v>68</v>
      </c>
      <c r="AM75" s="228">
        <v>-2</v>
      </c>
      <c r="AN75" s="229">
        <v>1.14E-2</v>
      </c>
      <c r="AO75" s="231">
        <v>5774.22</v>
      </c>
      <c r="AP75" s="231">
        <v>5798.01</v>
      </c>
      <c r="AQ75" s="228">
        <v>0</v>
      </c>
      <c r="AR75" s="230">
        <v>2429850</v>
      </c>
      <c r="AS75" s="230">
        <v>2214150</v>
      </c>
      <c r="AT75" s="230">
        <v>215700</v>
      </c>
      <c r="AU75" s="229">
        <v>9.74E-2</v>
      </c>
      <c r="AV75" s="230">
        <v>2210250</v>
      </c>
      <c r="AW75" s="230">
        <v>2068050</v>
      </c>
      <c r="AX75" s="230">
        <v>142200</v>
      </c>
      <c r="AY75" s="229">
        <v>6.88E-2</v>
      </c>
      <c r="AZ75" s="230">
        <v>198000</v>
      </c>
      <c r="BA75" s="230">
        <v>139350</v>
      </c>
      <c r="BB75" s="230">
        <v>58650</v>
      </c>
      <c r="BC75" s="229">
        <v>0.4209</v>
      </c>
      <c r="BD75" s="230">
        <v>21600</v>
      </c>
      <c r="BE75" s="230">
        <v>6750</v>
      </c>
      <c r="BF75" s="230">
        <v>14850</v>
      </c>
      <c r="BG75" s="229">
        <v>2.2000000000000002</v>
      </c>
      <c r="BH75" s="230">
        <v>30459000</v>
      </c>
      <c r="BI75" s="230">
        <v>16514850</v>
      </c>
      <c r="BJ75" s="230">
        <v>13944150</v>
      </c>
      <c r="BK75" s="229">
        <v>0.84430000000000005</v>
      </c>
      <c r="BL75" s="230">
        <v>12323850</v>
      </c>
      <c r="BM75" s="230">
        <v>5027550</v>
      </c>
      <c r="BN75" s="230">
        <v>7296300</v>
      </c>
      <c r="BO75" s="229">
        <v>1.4513</v>
      </c>
      <c r="BP75" s="230">
        <v>45212700</v>
      </c>
      <c r="BQ75" s="230">
        <v>23756550</v>
      </c>
      <c r="BR75" s="230">
        <v>21456150</v>
      </c>
      <c r="BS75" s="229">
        <v>0.9032</v>
      </c>
      <c r="BT75" s="230">
        <v>1664055</v>
      </c>
      <c r="BU75" s="230">
        <v>1246333</v>
      </c>
      <c r="BV75" s="230">
        <v>417722</v>
      </c>
      <c r="BW75" s="229">
        <v>0.3352</v>
      </c>
      <c r="BX75" s="230">
        <v>2332500</v>
      </c>
      <c r="BY75" s="230">
        <v>2548050</v>
      </c>
      <c r="BZ75" s="230">
        <v>-215550</v>
      </c>
      <c r="CA75" s="229">
        <v>-8.4599999999999995E-2</v>
      </c>
      <c r="CB75" s="230">
        <v>2255700</v>
      </c>
      <c r="CC75" s="230">
        <v>2487000</v>
      </c>
      <c r="CD75" s="230">
        <v>-231300</v>
      </c>
      <c r="CE75" s="229">
        <v>-9.2999999999999999E-2</v>
      </c>
      <c r="CF75" s="230">
        <v>68250</v>
      </c>
      <c r="CG75" s="230">
        <v>55500</v>
      </c>
      <c r="CH75" s="230">
        <v>12750</v>
      </c>
      <c r="CI75" s="229">
        <v>0.22969999999999999</v>
      </c>
      <c r="CJ75" s="230">
        <v>8550</v>
      </c>
      <c r="CK75" s="230">
        <v>5550</v>
      </c>
      <c r="CL75" s="230">
        <v>3000</v>
      </c>
      <c r="CM75" s="229">
        <v>0.54049999999999998</v>
      </c>
      <c r="CN75" s="230">
        <v>2392650</v>
      </c>
      <c r="CO75" s="230">
        <v>2361300</v>
      </c>
      <c r="CP75" s="230">
        <v>31350</v>
      </c>
      <c r="CQ75" s="229">
        <v>1.3299999999999999E-2</v>
      </c>
      <c r="CR75" s="230">
        <v>1301400</v>
      </c>
      <c r="CS75" s="230">
        <v>1115700</v>
      </c>
      <c r="CT75" s="230">
        <v>185700</v>
      </c>
      <c r="CU75" s="229">
        <v>0.16639999999999999</v>
      </c>
      <c r="CV75" s="230">
        <v>6026550</v>
      </c>
      <c r="CW75" s="230">
        <v>6025050</v>
      </c>
      <c r="CX75" s="230">
        <v>1500</v>
      </c>
      <c r="CY75" s="229">
        <v>2.0000000000000001E-4</v>
      </c>
      <c r="CZ75" s="228">
        <v>23.6</v>
      </c>
      <c r="DA75" s="228">
        <v>28.68</v>
      </c>
      <c r="DB75" s="228">
        <v>-5.08</v>
      </c>
      <c r="DC75" s="228">
        <v>-5.08</v>
      </c>
      <c r="DD75" s="228">
        <v>35.07</v>
      </c>
      <c r="DE75" s="228">
        <v>35.15</v>
      </c>
      <c r="DF75" s="228">
        <v>-11.47</v>
      </c>
      <c r="DG75" s="228">
        <v>-0.08</v>
      </c>
      <c r="DH75" s="228">
        <v>23.15</v>
      </c>
      <c r="DI75" s="228">
        <v>28.41</v>
      </c>
      <c r="DJ75" s="228">
        <v>-5.26</v>
      </c>
      <c r="DK75" s="228">
        <v>-5.26</v>
      </c>
      <c r="DL75" s="228">
        <v>24.71</v>
      </c>
      <c r="DM75" s="228">
        <v>29.58</v>
      </c>
      <c r="DN75" s="228">
        <v>-4.87</v>
      </c>
      <c r="DO75" s="228">
        <v>-4.87</v>
      </c>
      <c r="DP75" s="228">
        <v>0.54</v>
      </c>
      <c r="DQ75" s="228">
        <v>0.47</v>
      </c>
      <c r="DR75" s="228">
        <v>7.0000000000000007E-2</v>
      </c>
      <c r="DS75" s="229">
        <v>0.1489</v>
      </c>
      <c r="DT75" s="231">
        <v>6000</v>
      </c>
      <c r="DU75" s="231">
        <v>5500</v>
      </c>
      <c r="DV75" s="228">
        <v>0.4</v>
      </c>
      <c r="DW75" s="228">
        <v>0.3</v>
      </c>
      <c r="DX75" s="228">
        <v>0.1</v>
      </c>
      <c r="DY75" s="229">
        <v>0.33329999999999999</v>
      </c>
      <c r="DZ75" s="229">
        <v>3.2899999999999999E-2</v>
      </c>
      <c r="EA75" s="230">
        <v>61050</v>
      </c>
      <c r="EB75" s="229">
        <v>4.7000000000000002E-3</v>
      </c>
      <c r="EC75" s="229">
        <v>3.2899999999999999E-2</v>
      </c>
      <c r="ED75" s="228">
        <v>23.79</v>
      </c>
      <c r="EE75" s="229">
        <v>4.1000000000000003E-3</v>
      </c>
      <c r="EF75" s="230">
        <v>584840</v>
      </c>
      <c r="EG75" s="230">
        <v>490067</v>
      </c>
      <c r="EH75" s="229">
        <v>0.19339999999999999</v>
      </c>
      <c r="EI75" s="229">
        <v>0.35149999999999998</v>
      </c>
      <c r="EJ75" s="231">
        <v>1829672.52</v>
      </c>
      <c r="EK75" s="231">
        <v>698020.63</v>
      </c>
      <c r="EL75" s="231">
        <v>140363.89000000001</v>
      </c>
      <c r="EM75" s="231">
        <v>5880</v>
      </c>
      <c r="EN75" s="231">
        <v>2668057.04</v>
      </c>
      <c r="EO75" s="231">
        <v>1395867.24</v>
      </c>
      <c r="EP75" s="231">
        <v>1272189.8</v>
      </c>
      <c r="EQ75" s="229">
        <v>0.91139999999999999</v>
      </c>
      <c r="ER75" s="231">
        <v>142848</v>
      </c>
      <c r="ES75" s="231">
        <v>72072</v>
      </c>
      <c r="ET75" s="231">
        <v>135670</v>
      </c>
      <c r="EU75" s="231">
        <v>15259458</v>
      </c>
      <c r="EV75" s="231">
        <v>350590</v>
      </c>
      <c r="EW75" s="231">
        <v>349037</v>
      </c>
      <c r="EX75" s="231">
        <v>1553</v>
      </c>
      <c r="EY75" s="229">
        <v>4.4000000000000003E-3</v>
      </c>
      <c r="EZ75" s="229">
        <v>0.39489999999999997</v>
      </c>
      <c r="FA75" s="227" t="s">
        <v>556</v>
      </c>
      <c r="FB75" s="161">
        <f t="shared" si="1"/>
        <v>76800</v>
      </c>
    </row>
    <row r="76" spans="1:158" ht="17.25" hidden="1" thickBot="1" x14ac:dyDescent="0.3">
      <c r="A76" s="226">
        <v>45946</v>
      </c>
      <c r="B76" s="227" t="s">
        <v>172</v>
      </c>
      <c r="C76" s="227" t="s">
        <v>224</v>
      </c>
      <c r="D76" s="228">
        <v>1100</v>
      </c>
      <c r="E76" s="228">
        <v>995.65</v>
      </c>
      <c r="F76" s="228">
        <v>982.45</v>
      </c>
      <c r="G76" s="228">
        <v>13.2</v>
      </c>
      <c r="H76" s="229">
        <v>1.34E-2</v>
      </c>
      <c r="I76" s="228">
        <v>994.35</v>
      </c>
      <c r="J76" s="228">
        <v>978.25</v>
      </c>
      <c r="K76" s="228">
        <v>16.100000000000001</v>
      </c>
      <c r="L76" s="229">
        <v>1.6500000000000001E-2</v>
      </c>
      <c r="M76" s="228">
        <v>995.65</v>
      </c>
      <c r="N76" s="228">
        <v>982.45</v>
      </c>
      <c r="O76" s="228">
        <v>13.2</v>
      </c>
      <c r="P76" s="229">
        <v>1.34E-2</v>
      </c>
      <c r="Q76" s="231">
        <v>1001.1</v>
      </c>
      <c r="R76" s="228">
        <v>987.85</v>
      </c>
      <c r="S76" s="228">
        <v>13.25</v>
      </c>
      <c r="T76" s="229">
        <v>1.34E-2</v>
      </c>
      <c r="U76" s="231">
        <v>1007.35</v>
      </c>
      <c r="V76" s="228">
        <v>993.7</v>
      </c>
      <c r="W76" s="228">
        <v>13.65</v>
      </c>
      <c r="X76" s="229">
        <v>1.37E-2</v>
      </c>
      <c r="Y76" s="228">
        <v>1.3</v>
      </c>
      <c r="Z76" s="228">
        <v>4.2</v>
      </c>
      <c r="AA76" s="228">
        <v>-2.9</v>
      </c>
      <c r="AB76" s="229">
        <v>1.2999999999999999E-3</v>
      </c>
      <c r="AC76" s="228">
        <v>1.3</v>
      </c>
      <c r="AD76" s="228">
        <v>4.2</v>
      </c>
      <c r="AE76" s="228">
        <v>-2.9</v>
      </c>
      <c r="AF76" s="229">
        <v>1.2999999999999999E-3</v>
      </c>
      <c r="AG76" s="228">
        <v>6.75</v>
      </c>
      <c r="AH76" s="228">
        <v>9.6</v>
      </c>
      <c r="AI76" s="228">
        <v>-2.85</v>
      </c>
      <c r="AJ76" s="229">
        <v>6.7999999999999996E-3</v>
      </c>
      <c r="AK76" s="228">
        <v>13</v>
      </c>
      <c r="AL76" s="228">
        <v>15.45</v>
      </c>
      <c r="AM76" s="228">
        <v>-2.4500000000000002</v>
      </c>
      <c r="AN76" s="229">
        <v>1.3100000000000001E-2</v>
      </c>
      <c r="AO76" s="228">
        <v>990.9</v>
      </c>
      <c r="AP76" s="228">
        <v>995.84</v>
      </c>
      <c r="AQ76" s="228">
        <v>0</v>
      </c>
      <c r="AR76" s="230">
        <v>31179500</v>
      </c>
      <c r="AS76" s="230">
        <v>20365400</v>
      </c>
      <c r="AT76" s="230">
        <v>10814100</v>
      </c>
      <c r="AU76" s="229">
        <v>0.53100000000000003</v>
      </c>
      <c r="AV76" s="230">
        <v>27759600</v>
      </c>
      <c r="AW76" s="230">
        <v>17012600</v>
      </c>
      <c r="AX76" s="230">
        <v>10747000</v>
      </c>
      <c r="AY76" s="229">
        <v>0.63170000000000004</v>
      </c>
      <c r="AZ76" s="230">
        <v>3212000</v>
      </c>
      <c r="BA76" s="230">
        <v>3239500</v>
      </c>
      <c r="BB76" s="230">
        <v>-27500</v>
      </c>
      <c r="BC76" s="229">
        <v>-8.5000000000000006E-3</v>
      </c>
      <c r="BD76" s="230">
        <v>207900</v>
      </c>
      <c r="BE76" s="230">
        <v>113300</v>
      </c>
      <c r="BF76" s="230">
        <v>94600</v>
      </c>
      <c r="BG76" s="229">
        <v>0.83499999999999996</v>
      </c>
      <c r="BH76" s="230">
        <v>57921600</v>
      </c>
      <c r="BI76" s="230">
        <v>49942200</v>
      </c>
      <c r="BJ76" s="230">
        <v>7979400</v>
      </c>
      <c r="BK76" s="229">
        <v>0.1598</v>
      </c>
      <c r="BL76" s="230">
        <v>36363800</v>
      </c>
      <c r="BM76" s="230">
        <v>27784900</v>
      </c>
      <c r="BN76" s="230">
        <v>8578900</v>
      </c>
      <c r="BO76" s="229">
        <v>0.30880000000000002</v>
      </c>
      <c r="BP76" s="230">
        <v>125464900</v>
      </c>
      <c r="BQ76" s="230">
        <v>98092500</v>
      </c>
      <c r="BR76" s="230">
        <v>27372400</v>
      </c>
      <c r="BS76" s="229">
        <v>0.27900000000000003</v>
      </c>
      <c r="BT76" s="230">
        <v>24405373</v>
      </c>
      <c r="BU76" s="230">
        <v>23956072</v>
      </c>
      <c r="BV76" s="230">
        <v>449301</v>
      </c>
      <c r="BW76" s="229">
        <v>1.8800000000000001E-2</v>
      </c>
      <c r="BX76" s="230">
        <v>207207000</v>
      </c>
      <c r="BY76" s="230">
        <v>207538100</v>
      </c>
      <c r="BZ76" s="230">
        <v>-331100</v>
      </c>
      <c r="CA76" s="229">
        <v>-1.6000000000000001E-3</v>
      </c>
      <c r="CB76" s="230">
        <v>196013400</v>
      </c>
      <c r="CC76" s="230">
        <v>197568800</v>
      </c>
      <c r="CD76" s="230">
        <v>-1555400</v>
      </c>
      <c r="CE76" s="229">
        <v>-7.9000000000000008E-3</v>
      </c>
      <c r="CF76" s="230">
        <v>8847300</v>
      </c>
      <c r="CG76" s="230">
        <v>7621900</v>
      </c>
      <c r="CH76" s="230">
        <v>1225400</v>
      </c>
      <c r="CI76" s="229">
        <v>0.1608</v>
      </c>
      <c r="CJ76" s="230">
        <v>2346300</v>
      </c>
      <c r="CK76" s="230">
        <v>2347400</v>
      </c>
      <c r="CL76" s="230">
        <v>-1100</v>
      </c>
      <c r="CM76" s="229">
        <v>-5.0000000000000001E-4</v>
      </c>
      <c r="CN76" s="230">
        <v>32360900</v>
      </c>
      <c r="CO76" s="230">
        <v>35483800</v>
      </c>
      <c r="CP76" s="230">
        <v>-3122900</v>
      </c>
      <c r="CQ76" s="229">
        <v>-8.7999999999999995E-2</v>
      </c>
      <c r="CR76" s="230">
        <v>27814600</v>
      </c>
      <c r="CS76" s="230">
        <v>26317500</v>
      </c>
      <c r="CT76" s="230">
        <v>1497100</v>
      </c>
      <c r="CU76" s="229">
        <v>5.6899999999999999E-2</v>
      </c>
      <c r="CV76" s="230">
        <v>267382500</v>
      </c>
      <c r="CW76" s="230">
        <v>269339400</v>
      </c>
      <c r="CX76" s="230">
        <v>-1956900</v>
      </c>
      <c r="CY76" s="229">
        <v>-7.3000000000000001E-3</v>
      </c>
      <c r="CZ76" s="228">
        <v>21.19</v>
      </c>
      <c r="DA76" s="228">
        <v>20.74</v>
      </c>
      <c r="DB76" s="228">
        <v>0.45</v>
      </c>
      <c r="DC76" s="228">
        <v>0.45</v>
      </c>
      <c r="DD76" s="228">
        <v>21.2</v>
      </c>
      <c r="DE76" s="228">
        <v>21.14</v>
      </c>
      <c r="DF76" s="228">
        <v>-0.01</v>
      </c>
      <c r="DG76" s="228">
        <v>0.06</v>
      </c>
      <c r="DH76" s="228">
        <v>20.54</v>
      </c>
      <c r="DI76" s="228">
        <v>20.69</v>
      </c>
      <c r="DJ76" s="228">
        <v>-0.15</v>
      </c>
      <c r="DK76" s="228">
        <v>-0.15</v>
      </c>
      <c r="DL76" s="228">
        <v>22.21</v>
      </c>
      <c r="DM76" s="228">
        <v>20.83</v>
      </c>
      <c r="DN76" s="228">
        <v>1.38</v>
      </c>
      <c r="DO76" s="228">
        <v>1.38</v>
      </c>
      <c r="DP76" s="228">
        <v>0.86</v>
      </c>
      <c r="DQ76" s="228">
        <v>0.74</v>
      </c>
      <c r="DR76" s="228">
        <v>0.12</v>
      </c>
      <c r="DS76" s="229">
        <v>0.16220000000000001</v>
      </c>
      <c r="DT76" s="231">
        <v>1000</v>
      </c>
      <c r="DU76" s="228">
        <v>950</v>
      </c>
      <c r="DV76" s="228">
        <v>0.63</v>
      </c>
      <c r="DW76" s="228">
        <v>0.56000000000000005</v>
      </c>
      <c r="DX76" s="228">
        <v>7.0000000000000007E-2</v>
      </c>
      <c r="DY76" s="229">
        <v>0.125</v>
      </c>
      <c r="DZ76" s="229">
        <v>5.3999999999999999E-2</v>
      </c>
      <c r="EA76" s="230">
        <v>9969300</v>
      </c>
      <c r="EB76" s="229">
        <v>5.4999999999999997E-3</v>
      </c>
      <c r="EC76" s="229">
        <v>5.3999999999999999E-2</v>
      </c>
      <c r="ED76" s="228">
        <v>4.9400000000000004</v>
      </c>
      <c r="EE76" s="229">
        <v>5.0000000000000001E-3</v>
      </c>
      <c r="EF76" s="230">
        <v>15463391</v>
      </c>
      <c r="EG76" s="230">
        <v>16134923</v>
      </c>
      <c r="EH76" s="229">
        <v>-4.1599999999999998E-2</v>
      </c>
      <c r="EI76" s="229">
        <v>0.63360000000000005</v>
      </c>
      <c r="EJ76" s="231">
        <v>586109.42000000004</v>
      </c>
      <c r="EK76" s="231">
        <v>354860.2</v>
      </c>
      <c r="EL76" s="231">
        <v>309143.21000000002</v>
      </c>
      <c r="EM76" s="231">
        <v>17489</v>
      </c>
      <c r="EN76" s="231">
        <v>1250112.83</v>
      </c>
      <c r="EO76" s="231">
        <v>974319.59</v>
      </c>
      <c r="EP76" s="231">
        <v>275793.24</v>
      </c>
      <c r="EQ76" s="229">
        <v>0.28310000000000002</v>
      </c>
      <c r="ER76" s="231">
        <v>325113</v>
      </c>
      <c r="ES76" s="231">
        <v>264781</v>
      </c>
      <c r="ET76" s="231">
        <v>2063813</v>
      </c>
      <c r="EU76" s="231">
        <v>1329733550</v>
      </c>
      <c r="EV76" s="231">
        <v>2653707</v>
      </c>
      <c r="EW76" s="231">
        <v>2645164</v>
      </c>
      <c r="EX76" s="231">
        <v>8543</v>
      </c>
      <c r="EY76" s="229">
        <v>3.2000000000000002E-3</v>
      </c>
      <c r="EZ76" s="229">
        <v>0.2011</v>
      </c>
      <c r="FA76" s="227" t="s">
        <v>556</v>
      </c>
      <c r="FB76" s="161">
        <f t="shared" si="1"/>
        <v>11193600</v>
      </c>
    </row>
    <row r="77" spans="1:158" ht="17.25" hidden="1" thickBot="1" x14ac:dyDescent="0.3">
      <c r="A77" s="226">
        <v>45946</v>
      </c>
      <c r="B77" s="227" t="s">
        <v>175</v>
      </c>
      <c r="C77" s="227" t="s">
        <v>225</v>
      </c>
      <c r="D77" s="228">
        <v>1100</v>
      </c>
      <c r="E77" s="228">
        <v>743.5</v>
      </c>
      <c r="F77" s="228">
        <v>762.35</v>
      </c>
      <c r="G77" s="228">
        <v>-18.850000000000001</v>
      </c>
      <c r="H77" s="229">
        <v>-2.47E-2</v>
      </c>
      <c r="I77" s="228">
        <v>742.85</v>
      </c>
      <c r="J77" s="228">
        <v>761.15</v>
      </c>
      <c r="K77" s="228">
        <v>-18.3</v>
      </c>
      <c r="L77" s="229">
        <v>-2.4E-2</v>
      </c>
      <c r="M77" s="228">
        <v>743.5</v>
      </c>
      <c r="N77" s="228">
        <v>762.35</v>
      </c>
      <c r="O77" s="228">
        <v>-18.850000000000001</v>
      </c>
      <c r="P77" s="229">
        <v>-2.47E-2</v>
      </c>
      <c r="Q77" s="228">
        <v>747.2</v>
      </c>
      <c r="R77" s="228">
        <v>766.5</v>
      </c>
      <c r="S77" s="228">
        <v>-19.3</v>
      </c>
      <c r="T77" s="229">
        <v>-2.52E-2</v>
      </c>
      <c r="U77" s="228">
        <v>751.75</v>
      </c>
      <c r="V77" s="228">
        <v>772</v>
      </c>
      <c r="W77" s="228">
        <v>-20.25</v>
      </c>
      <c r="X77" s="229">
        <v>-2.6200000000000001E-2</v>
      </c>
      <c r="Y77" s="228">
        <v>0.65</v>
      </c>
      <c r="Z77" s="228">
        <v>1.2</v>
      </c>
      <c r="AA77" s="228">
        <v>-0.55000000000000004</v>
      </c>
      <c r="AB77" s="229">
        <v>8.9999999999999998E-4</v>
      </c>
      <c r="AC77" s="228">
        <v>0.65</v>
      </c>
      <c r="AD77" s="228">
        <v>1.2</v>
      </c>
      <c r="AE77" s="228">
        <v>-0.55000000000000004</v>
      </c>
      <c r="AF77" s="229">
        <v>8.9999999999999998E-4</v>
      </c>
      <c r="AG77" s="228">
        <v>4.3499999999999996</v>
      </c>
      <c r="AH77" s="228">
        <v>5.35</v>
      </c>
      <c r="AI77" s="228">
        <v>-1</v>
      </c>
      <c r="AJ77" s="229">
        <v>5.8999999999999999E-3</v>
      </c>
      <c r="AK77" s="228">
        <v>8.9</v>
      </c>
      <c r="AL77" s="228">
        <v>10.85</v>
      </c>
      <c r="AM77" s="228">
        <v>-1.95</v>
      </c>
      <c r="AN77" s="229">
        <v>1.2E-2</v>
      </c>
      <c r="AO77" s="228">
        <v>741.96</v>
      </c>
      <c r="AP77" s="228">
        <v>745.65</v>
      </c>
      <c r="AQ77" s="228">
        <v>0</v>
      </c>
      <c r="AR77" s="230">
        <v>13382600</v>
      </c>
      <c r="AS77" s="230">
        <v>5607800</v>
      </c>
      <c r="AT77" s="230">
        <v>7774800</v>
      </c>
      <c r="AU77" s="229">
        <v>1.3864000000000001</v>
      </c>
      <c r="AV77" s="230">
        <v>11254100</v>
      </c>
      <c r="AW77" s="230">
        <v>5160100</v>
      </c>
      <c r="AX77" s="230">
        <v>6094000</v>
      </c>
      <c r="AY77" s="229">
        <v>1.181</v>
      </c>
      <c r="AZ77" s="230">
        <v>1988800</v>
      </c>
      <c r="BA77" s="230">
        <v>416900</v>
      </c>
      <c r="BB77" s="230">
        <v>1571900</v>
      </c>
      <c r="BC77" s="229">
        <v>3.7704</v>
      </c>
      <c r="BD77" s="230">
        <v>139700</v>
      </c>
      <c r="BE77" s="230">
        <v>30800</v>
      </c>
      <c r="BF77" s="230">
        <v>108900</v>
      </c>
      <c r="BG77" s="229">
        <v>3.5356999999999998</v>
      </c>
      <c r="BH77" s="230">
        <v>62363400</v>
      </c>
      <c r="BI77" s="230">
        <v>31906600</v>
      </c>
      <c r="BJ77" s="230">
        <v>30456800</v>
      </c>
      <c r="BK77" s="229">
        <v>0.9546</v>
      </c>
      <c r="BL77" s="230">
        <v>26801500</v>
      </c>
      <c r="BM77" s="230">
        <v>12551000</v>
      </c>
      <c r="BN77" s="230">
        <v>14250500</v>
      </c>
      <c r="BO77" s="229">
        <v>1.1354</v>
      </c>
      <c r="BP77" s="230">
        <v>102547500</v>
      </c>
      <c r="BQ77" s="230">
        <v>50065400</v>
      </c>
      <c r="BR77" s="230">
        <v>52482100</v>
      </c>
      <c r="BS77" s="229">
        <v>1.0483</v>
      </c>
      <c r="BT77" s="230">
        <v>10378800</v>
      </c>
      <c r="BU77" s="230">
        <v>2854660</v>
      </c>
      <c r="BV77" s="230">
        <v>7524140</v>
      </c>
      <c r="BW77" s="229">
        <v>2.6356999999999999</v>
      </c>
      <c r="BX77" s="230">
        <v>33437800</v>
      </c>
      <c r="BY77" s="230">
        <v>31469900</v>
      </c>
      <c r="BZ77" s="230">
        <v>1967900</v>
      </c>
      <c r="CA77" s="229">
        <v>6.25E-2</v>
      </c>
      <c r="CB77" s="230">
        <v>31838400</v>
      </c>
      <c r="CC77" s="230">
        <v>30772500</v>
      </c>
      <c r="CD77" s="230">
        <v>1065900</v>
      </c>
      <c r="CE77" s="229">
        <v>3.4599999999999999E-2</v>
      </c>
      <c r="CF77" s="230">
        <v>1480600</v>
      </c>
      <c r="CG77" s="230">
        <v>630300</v>
      </c>
      <c r="CH77" s="230">
        <v>850300</v>
      </c>
      <c r="CI77" s="229">
        <v>1.349</v>
      </c>
      <c r="CJ77" s="230">
        <v>118800</v>
      </c>
      <c r="CK77" s="230">
        <v>67100</v>
      </c>
      <c r="CL77" s="230">
        <v>51700</v>
      </c>
      <c r="CM77" s="229">
        <v>0.77049999999999996</v>
      </c>
      <c r="CN77" s="230">
        <v>16976300</v>
      </c>
      <c r="CO77" s="230">
        <v>12832600</v>
      </c>
      <c r="CP77" s="230">
        <v>4143700</v>
      </c>
      <c r="CQ77" s="229">
        <v>0.32290000000000002</v>
      </c>
      <c r="CR77" s="230">
        <v>7793500</v>
      </c>
      <c r="CS77" s="230">
        <v>6889300</v>
      </c>
      <c r="CT77" s="230">
        <v>904200</v>
      </c>
      <c r="CU77" s="229">
        <v>0.13120000000000001</v>
      </c>
      <c r="CV77" s="230">
        <v>58207600</v>
      </c>
      <c r="CW77" s="230">
        <v>51191800</v>
      </c>
      <c r="CX77" s="230">
        <v>7015800</v>
      </c>
      <c r="CY77" s="229">
        <v>0.13700000000000001</v>
      </c>
      <c r="CZ77" s="228">
        <v>21.49</v>
      </c>
      <c r="DA77" s="228">
        <v>26.47</v>
      </c>
      <c r="DB77" s="228">
        <v>-4.9800000000000004</v>
      </c>
      <c r="DC77" s="228">
        <v>-4.9800000000000004</v>
      </c>
      <c r="DD77" s="228">
        <v>26.11</v>
      </c>
      <c r="DE77" s="228">
        <v>25.97</v>
      </c>
      <c r="DF77" s="228">
        <v>-4.62</v>
      </c>
      <c r="DG77" s="228">
        <v>0.14000000000000001</v>
      </c>
      <c r="DH77" s="228">
        <v>22.08</v>
      </c>
      <c r="DI77" s="228">
        <v>26.66</v>
      </c>
      <c r="DJ77" s="228">
        <v>-4.58</v>
      </c>
      <c r="DK77" s="228">
        <v>-4.58</v>
      </c>
      <c r="DL77" s="228">
        <v>20.13</v>
      </c>
      <c r="DM77" s="228">
        <v>25.99</v>
      </c>
      <c r="DN77" s="228">
        <v>-5.86</v>
      </c>
      <c r="DO77" s="228">
        <v>-5.86</v>
      </c>
      <c r="DP77" s="228">
        <v>0.46</v>
      </c>
      <c r="DQ77" s="228">
        <v>0.54</v>
      </c>
      <c r="DR77" s="228">
        <v>-0.08</v>
      </c>
      <c r="DS77" s="229">
        <v>-0.14810000000000001</v>
      </c>
      <c r="DT77" s="228">
        <v>800</v>
      </c>
      <c r="DU77" s="228">
        <v>740</v>
      </c>
      <c r="DV77" s="228">
        <v>0.43</v>
      </c>
      <c r="DW77" s="228">
        <v>0.39</v>
      </c>
      <c r="DX77" s="228">
        <v>0.04</v>
      </c>
      <c r="DY77" s="229">
        <v>0.1026</v>
      </c>
      <c r="DZ77" s="229">
        <v>4.7800000000000002E-2</v>
      </c>
      <c r="EA77" s="230">
        <v>697400</v>
      </c>
      <c r="EB77" s="229">
        <v>5.0000000000000001E-3</v>
      </c>
      <c r="EC77" s="229">
        <v>4.7800000000000002E-2</v>
      </c>
      <c r="ED77" s="228">
        <v>3.69</v>
      </c>
      <c r="EE77" s="229">
        <v>5.0000000000000001E-3</v>
      </c>
      <c r="EF77" s="230">
        <v>6252224</v>
      </c>
      <c r="EG77" s="230">
        <v>1646687</v>
      </c>
      <c r="EH77" s="229">
        <v>2.7968999999999999</v>
      </c>
      <c r="EI77" s="229">
        <v>0.60240000000000005</v>
      </c>
      <c r="EJ77" s="231">
        <v>482820.31</v>
      </c>
      <c r="EK77" s="231">
        <v>198324.03</v>
      </c>
      <c r="EL77" s="231">
        <v>99378.49</v>
      </c>
      <c r="EM77" s="231">
        <v>3764</v>
      </c>
      <c r="EN77" s="231">
        <v>780522.83</v>
      </c>
      <c r="EO77" s="231">
        <v>387912.25</v>
      </c>
      <c r="EP77" s="231">
        <v>392610.58</v>
      </c>
      <c r="EQ77" s="229">
        <v>1.0121</v>
      </c>
      <c r="ER77" s="231">
        <v>133761</v>
      </c>
      <c r="ES77" s="231">
        <v>56991</v>
      </c>
      <c r="ET77" s="231">
        <v>248675</v>
      </c>
      <c r="EU77" s="231">
        <v>119296253</v>
      </c>
      <c r="EV77" s="231">
        <v>439427</v>
      </c>
      <c r="EW77" s="231">
        <v>392671</v>
      </c>
      <c r="EX77" s="231">
        <v>46756</v>
      </c>
      <c r="EY77" s="229">
        <v>0.1191</v>
      </c>
      <c r="EZ77" s="229">
        <v>0.4879</v>
      </c>
      <c r="FA77" s="227" t="s">
        <v>567</v>
      </c>
      <c r="FB77" s="161">
        <f t="shared" si="1"/>
        <v>1599400</v>
      </c>
    </row>
    <row r="78" spans="1:158" ht="17.25" hidden="1" thickBot="1" x14ac:dyDescent="0.3">
      <c r="A78" s="226">
        <v>45946</v>
      </c>
      <c r="B78" s="227" t="s">
        <v>162</v>
      </c>
      <c r="C78" s="227" t="s">
        <v>226</v>
      </c>
      <c r="D78" s="228">
        <v>150</v>
      </c>
      <c r="E78" s="231">
        <v>5591</v>
      </c>
      <c r="F78" s="231">
        <v>5549.5</v>
      </c>
      <c r="G78" s="228">
        <v>41.5</v>
      </c>
      <c r="H78" s="229">
        <v>7.4999999999999997E-3</v>
      </c>
      <c r="I78" s="231">
        <v>5579.5</v>
      </c>
      <c r="J78" s="231">
        <v>5537.5</v>
      </c>
      <c r="K78" s="228">
        <v>42</v>
      </c>
      <c r="L78" s="229">
        <v>7.6E-3</v>
      </c>
      <c r="M78" s="231">
        <v>5591</v>
      </c>
      <c r="N78" s="231">
        <v>5549.5</v>
      </c>
      <c r="O78" s="228">
        <v>41.5</v>
      </c>
      <c r="P78" s="229">
        <v>7.4999999999999997E-3</v>
      </c>
      <c r="Q78" s="231">
        <v>5609.5</v>
      </c>
      <c r="R78" s="231">
        <v>5565</v>
      </c>
      <c r="S78" s="228">
        <v>44.5</v>
      </c>
      <c r="T78" s="229">
        <v>8.0000000000000002E-3</v>
      </c>
      <c r="U78" s="231">
        <v>5627</v>
      </c>
      <c r="V78" s="231">
        <v>5580</v>
      </c>
      <c r="W78" s="228">
        <v>47</v>
      </c>
      <c r="X78" s="229">
        <v>8.3999999999999995E-3</v>
      </c>
      <c r="Y78" s="228">
        <v>11.5</v>
      </c>
      <c r="Z78" s="228">
        <v>12</v>
      </c>
      <c r="AA78" s="228">
        <v>-0.5</v>
      </c>
      <c r="AB78" s="229">
        <v>2.0999999999999999E-3</v>
      </c>
      <c r="AC78" s="228">
        <v>11.5</v>
      </c>
      <c r="AD78" s="228">
        <v>12</v>
      </c>
      <c r="AE78" s="228">
        <v>-0.5</v>
      </c>
      <c r="AF78" s="229">
        <v>2.0999999999999999E-3</v>
      </c>
      <c r="AG78" s="228">
        <v>30</v>
      </c>
      <c r="AH78" s="228">
        <v>27.5</v>
      </c>
      <c r="AI78" s="228">
        <v>2.5</v>
      </c>
      <c r="AJ78" s="229">
        <v>5.4000000000000003E-3</v>
      </c>
      <c r="AK78" s="228">
        <v>47.5</v>
      </c>
      <c r="AL78" s="228">
        <v>42.5</v>
      </c>
      <c r="AM78" s="228">
        <v>5</v>
      </c>
      <c r="AN78" s="229">
        <v>8.5000000000000006E-3</v>
      </c>
      <c r="AO78" s="231">
        <v>5600.22</v>
      </c>
      <c r="AP78" s="231">
        <v>5618.27</v>
      </c>
      <c r="AQ78" s="228">
        <v>0</v>
      </c>
      <c r="AR78" s="230">
        <v>763350</v>
      </c>
      <c r="AS78" s="230">
        <v>1096200</v>
      </c>
      <c r="AT78" s="230">
        <v>-332850</v>
      </c>
      <c r="AU78" s="229">
        <v>-0.30359999999999998</v>
      </c>
      <c r="AV78" s="230">
        <v>675450</v>
      </c>
      <c r="AW78" s="230">
        <v>1010850</v>
      </c>
      <c r="AX78" s="230">
        <v>-335400</v>
      </c>
      <c r="AY78" s="229">
        <v>-0.33179999999999998</v>
      </c>
      <c r="AZ78" s="230">
        <v>85350</v>
      </c>
      <c r="BA78" s="230">
        <v>81750</v>
      </c>
      <c r="BB78" s="230">
        <v>3600</v>
      </c>
      <c r="BC78" s="229">
        <v>4.3999999999999997E-2</v>
      </c>
      <c r="BD78" s="230">
        <v>2550</v>
      </c>
      <c r="BE78" s="230">
        <v>3600</v>
      </c>
      <c r="BF78" s="230">
        <v>-1050</v>
      </c>
      <c r="BG78" s="229">
        <v>-0.29170000000000001</v>
      </c>
      <c r="BH78" s="230">
        <v>3065100</v>
      </c>
      <c r="BI78" s="230">
        <v>5423250</v>
      </c>
      <c r="BJ78" s="230">
        <v>-2358150</v>
      </c>
      <c r="BK78" s="229">
        <v>-0.43480000000000002</v>
      </c>
      <c r="BL78" s="230">
        <v>1711050</v>
      </c>
      <c r="BM78" s="230">
        <v>3559350</v>
      </c>
      <c r="BN78" s="230">
        <v>-1848300</v>
      </c>
      <c r="BO78" s="229">
        <v>-0.51929999999999998</v>
      </c>
      <c r="BP78" s="230">
        <v>5539500</v>
      </c>
      <c r="BQ78" s="230">
        <v>10078800</v>
      </c>
      <c r="BR78" s="230">
        <v>-4539300</v>
      </c>
      <c r="BS78" s="229">
        <v>-0.45040000000000002</v>
      </c>
      <c r="BT78" s="230">
        <v>307823</v>
      </c>
      <c r="BU78" s="230">
        <v>515359</v>
      </c>
      <c r="BV78" s="230">
        <v>-207536</v>
      </c>
      <c r="BW78" s="229">
        <v>-0.4027</v>
      </c>
      <c r="BX78" s="230">
        <v>4742250</v>
      </c>
      <c r="BY78" s="230">
        <v>4771650</v>
      </c>
      <c r="BZ78" s="230">
        <v>-29400</v>
      </c>
      <c r="CA78" s="229">
        <v>-6.1999999999999998E-3</v>
      </c>
      <c r="CB78" s="230">
        <v>4355700</v>
      </c>
      <c r="CC78" s="230">
        <v>4415550</v>
      </c>
      <c r="CD78" s="230">
        <v>-59850</v>
      </c>
      <c r="CE78" s="229">
        <v>-1.3599999999999999E-2</v>
      </c>
      <c r="CF78" s="230">
        <v>365550</v>
      </c>
      <c r="CG78" s="230">
        <v>335850</v>
      </c>
      <c r="CH78" s="230">
        <v>29700</v>
      </c>
      <c r="CI78" s="229">
        <v>8.8400000000000006E-2</v>
      </c>
      <c r="CJ78" s="230">
        <v>21000</v>
      </c>
      <c r="CK78" s="230">
        <v>20250</v>
      </c>
      <c r="CL78" s="228">
        <v>750</v>
      </c>
      <c r="CM78" s="229">
        <v>3.6999999999999998E-2</v>
      </c>
      <c r="CN78" s="230">
        <v>2518050</v>
      </c>
      <c r="CO78" s="230">
        <v>2687100</v>
      </c>
      <c r="CP78" s="230">
        <v>-169050</v>
      </c>
      <c r="CQ78" s="229">
        <v>-6.2899999999999998E-2</v>
      </c>
      <c r="CR78" s="230">
        <v>1677600</v>
      </c>
      <c r="CS78" s="230">
        <v>1687950</v>
      </c>
      <c r="CT78" s="230">
        <v>-10350</v>
      </c>
      <c r="CU78" s="229">
        <v>-6.1000000000000004E-3</v>
      </c>
      <c r="CV78" s="230">
        <v>8937900</v>
      </c>
      <c r="CW78" s="230">
        <v>9146700</v>
      </c>
      <c r="CX78" s="230">
        <v>-208800</v>
      </c>
      <c r="CY78" s="229">
        <v>-2.2800000000000001E-2</v>
      </c>
      <c r="CZ78" s="228">
        <v>23.79</v>
      </c>
      <c r="DA78" s="228">
        <v>25.06</v>
      </c>
      <c r="DB78" s="228">
        <v>-1.27</v>
      </c>
      <c r="DC78" s="228">
        <v>-1.27</v>
      </c>
      <c r="DD78" s="228">
        <v>30.71</v>
      </c>
      <c r="DE78" s="228">
        <v>30.78</v>
      </c>
      <c r="DF78" s="228">
        <v>-6.92</v>
      </c>
      <c r="DG78" s="228">
        <v>-7.0000000000000007E-2</v>
      </c>
      <c r="DH78" s="228">
        <v>23.46</v>
      </c>
      <c r="DI78" s="228">
        <v>24.9</v>
      </c>
      <c r="DJ78" s="228">
        <v>-1.44</v>
      </c>
      <c r="DK78" s="228">
        <v>-1.44</v>
      </c>
      <c r="DL78" s="228">
        <v>24.38</v>
      </c>
      <c r="DM78" s="228">
        <v>25.3</v>
      </c>
      <c r="DN78" s="228">
        <v>-0.92</v>
      </c>
      <c r="DO78" s="228">
        <v>-0.92</v>
      </c>
      <c r="DP78" s="228">
        <v>0.67</v>
      </c>
      <c r="DQ78" s="228">
        <v>0.63</v>
      </c>
      <c r="DR78" s="228">
        <v>0.04</v>
      </c>
      <c r="DS78" s="229">
        <v>6.3500000000000001E-2</v>
      </c>
      <c r="DT78" s="231">
        <v>5600</v>
      </c>
      <c r="DU78" s="231">
        <v>5400</v>
      </c>
      <c r="DV78" s="228">
        <v>0.56000000000000005</v>
      </c>
      <c r="DW78" s="228">
        <v>0.66</v>
      </c>
      <c r="DX78" s="228">
        <v>-0.1</v>
      </c>
      <c r="DY78" s="229">
        <v>-0.1515</v>
      </c>
      <c r="DZ78" s="229">
        <v>8.1500000000000003E-2</v>
      </c>
      <c r="EA78" s="230">
        <v>356100</v>
      </c>
      <c r="EB78" s="229">
        <v>3.3E-3</v>
      </c>
      <c r="EC78" s="229">
        <v>8.1500000000000003E-2</v>
      </c>
      <c r="ED78" s="228">
        <v>18.05</v>
      </c>
      <c r="EE78" s="229">
        <v>3.2000000000000002E-3</v>
      </c>
      <c r="EF78" s="230">
        <v>143794</v>
      </c>
      <c r="EG78" s="230">
        <v>282647</v>
      </c>
      <c r="EH78" s="229">
        <v>-0.49130000000000001</v>
      </c>
      <c r="EI78" s="229">
        <v>0.46710000000000002</v>
      </c>
      <c r="EJ78" s="231">
        <v>176800.81</v>
      </c>
      <c r="EK78" s="231">
        <v>93965.82</v>
      </c>
      <c r="EL78" s="231">
        <v>42765.440000000002</v>
      </c>
      <c r="EM78" s="231">
        <v>6210</v>
      </c>
      <c r="EN78" s="231">
        <v>313532.07</v>
      </c>
      <c r="EO78" s="231">
        <v>568369.77</v>
      </c>
      <c r="EP78" s="231">
        <v>-254837.7</v>
      </c>
      <c r="EQ78" s="229">
        <v>-0.44840000000000002</v>
      </c>
      <c r="ER78" s="231">
        <v>145029</v>
      </c>
      <c r="ES78" s="231">
        <v>88802</v>
      </c>
      <c r="ET78" s="231">
        <v>265214</v>
      </c>
      <c r="EU78" s="231">
        <v>19579129</v>
      </c>
      <c r="EV78" s="231">
        <v>499046</v>
      </c>
      <c r="EW78" s="231">
        <v>508691</v>
      </c>
      <c r="EX78" s="231">
        <v>-9645</v>
      </c>
      <c r="EY78" s="229">
        <v>-1.9E-2</v>
      </c>
      <c r="EZ78" s="229">
        <v>0.45650000000000002</v>
      </c>
      <c r="FA78" s="227" t="s">
        <v>556</v>
      </c>
      <c r="FB78" s="161">
        <f t="shared" si="1"/>
        <v>386550</v>
      </c>
    </row>
    <row r="79" spans="1:158" ht="17.25" hidden="1" thickBot="1" x14ac:dyDescent="0.3">
      <c r="A79" s="226">
        <v>45946</v>
      </c>
      <c r="B79" s="227" t="s">
        <v>221</v>
      </c>
      <c r="C79" s="227" t="s">
        <v>576</v>
      </c>
      <c r="D79" s="228">
        <v>6450</v>
      </c>
      <c r="E79" s="228">
        <v>77.599999999999994</v>
      </c>
      <c r="F79" s="228">
        <v>77.62</v>
      </c>
      <c r="G79" s="228">
        <v>-0.02</v>
      </c>
      <c r="H79" s="229">
        <v>-2.9999999999999997E-4</v>
      </c>
      <c r="I79" s="228">
        <v>77.319999999999993</v>
      </c>
      <c r="J79" s="228">
        <v>77.23</v>
      </c>
      <c r="K79" s="228">
        <v>0.09</v>
      </c>
      <c r="L79" s="229">
        <v>1.1999999999999999E-3</v>
      </c>
      <c r="M79" s="228">
        <v>77.599999999999994</v>
      </c>
      <c r="N79" s="228">
        <v>77.62</v>
      </c>
      <c r="O79" s="228">
        <v>-0.02</v>
      </c>
      <c r="P79" s="229">
        <v>-2.9999999999999997E-4</v>
      </c>
      <c r="Q79" s="228">
        <v>78.08</v>
      </c>
      <c r="R79" s="228">
        <v>78.03</v>
      </c>
      <c r="S79" s="228">
        <v>0.05</v>
      </c>
      <c r="T79" s="229">
        <v>5.9999999999999995E-4</v>
      </c>
      <c r="U79" s="228">
        <v>78.569999999999993</v>
      </c>
      <c r="V79" s="228">
        <v>78.48</v>
      </c>
      <c r="W79" s="228">
        <v>0.09</v>
      </c>
      <c r="X79" s="229">
        <v>1.1000000000000001E-3</v>
      </c>
      <c r="Y79" s="228">
        <v>0.28000000000000003</v>
      </c>
      <c r="Z79" s="228">
        <v>0.39</v>
      </c>
      <c r="AA79" s="228">
        <v>-0.11</v>
      </c>
      <c r="AB79" s="229">
        <v>3.5999999999999999E-3</v>
      </c>
      <c r="AC79" s="228">
        <v>0.28000000000000003</v>
      </c>
      <c r="AD79" s="228">
        <v>0.39</v>
      </c>
      <c r="AE79" s="228">
        <v>-0.11</v>
      </c>
      <c r="AF79" s="229">
        <v>3.5999999999999999E-3</v>
      </c>
      <c r="AG79" s="228">
        <v>0.76</v>
      </c>
      <c r="AH79" s="228">
        <v>0.8</v>
      </c>
      <c r="AI79" s="228">
        <v>-0.04</v>
      </c>
      <c r="AJ79" s="229">
        <v>9.7999999999999997E-3</v>
      </c>
      <c r="AK79" s="228">
        <v>1.25</v>
      </c>
      <c r="AL79" s="228">
        <v>1.25</v>
      </c>
      <c r="AM79" s="228">
        <v>0</v>
      </c>
      <c r="AN79" s="229">
        <v>1.6199999999999999E-2</v>
      </c>
      <c r="AO79" s="228">
        <v>77.900000000000006</v>
      </c>
      <c r="AP79" s="228">
        <v>78.28</v>
      </c>
      <c r="AQ79" s="228">
        <v>0</v>
      </c>
      <c r="AR79" s="230">
        <v>25864500</v>
      </c>
      <c r="AS79" s="230">
        <v>30366600</v>
      </c>
      <c r="AT79" s="230">
        <v>-4502100</v>
      </c>
      <c r="AU79" s="229">
        <v>-0.14829999999999999</v>
      </c>
      <c r="AV79" s="230">
        <v>21323700</v>
      </c>
      <c r="AW79" s="230">
        <v>23394150</v>
      </c>
      <c r="AX79" s="230">
        <v>-2070450</v>
      </c>
      <c r="AY79" s="229">
        <v>-8.8499999999999995E-2</v>
      </c>
      <c r="AZ79" s="230">
        <v>4082850</v>
      </c>
      <c r="BA79" s="230">
        <v>5605050</v>
      </c>
      <c r="BB79" s="230">
        <v>-1522200</v>
      </c>
      <c r="BC79" s="229">
        <v>-0.27160000000000001</v>
      </c>
      <c r="BD79" s="230">
        <v>457950</v>
      </c>
      <c r="BE79" s="230">
        <v>1367400</v>
      </c>
      <c r="BF79" s="230">
        <v>-909450</v>
      </c>
      <c r="BG79" s="229">
        <v>-0.66510000000000002</v>
      </c>
      <c r="BH79" s="230">
        <v>27683400</v>
      </c>
      <c r="BI79" s="230">
        <v>35784600</v>
      </c>
      <c r="BJ79" s="230">
        <v>-8101200</v>
      </c>
      <c r="BK79" s="229">
        <v>-0.22639999999999999</v>
      </c>
      <c r="BL79" s="230">
        <v>12151800</v>
      </c>
      <c r="BM79" s="230">
        <v>11203650</v>
      </c>
      <c r="BN79" s="230">
        <v>948150</v>
      </c>
      <c r="BO79" s="229">
        <v>8.4599999999999995E-2</v>
      </c>
      <c r="BP79" s="230">
        <v>65699700</v>
      </c>
      <c r="BQ79" s="230">
        <v>77354850</v>
      </c>
      <c r="BR79" s="230">
        <v>-11655150</v>
      </c>
      <c r="BS79" s="229">
        <v>-0.1507</v>
      </c>
      <c r="BT79" s="230">
        <v>9941393</v>
      </c>
      <c r="BU79" s="230">
        <v>15246156</v>
      </c>
      <c r="BV79" s="230">
        <v>-5304763</v>
      </c>
      <c r="BW79" s="229">
        <v>-0.34789999999999999</v>
      </c>
      <c r="BX79" s="230">
        <v>133773000</v>
      </c>
      <c r="BY79" s="230">
        <v>132940950</v>
      </c>
      <c r="BZ79" s="230">
        <v>832050</v>
      </c>
      <c r="CA79" s="229">
        <v>6.3E-3</v>
      </c>
      <c r="CB79" s="230">
        <v>119782950</v>
      </c>
      <c r="CC79" s="230">
        <v>119944200</v>
      </c>
      <c r="CD79" s="230">
        <v>-161250</v>
      </c>
      <c r="CE79" s="229">
        <v>-1.2999999999999999E-3</v>
      </c>
      <c r="CF79" s="230">
        <v>12184050</v>
      </c>
      <c r="CG79" s="230">
        <v>11422950</v>
      </c>
      <c r="CH79" s="230">
        <v>761100</v>
      </c>
      <c r="CI79" s="229">
        <v>6.6600000000000006E-2</v>
      </c>
      <c r="CJ79" s="230">
        <v>1806000</v>
      </c>
      <c r="CK79" s="230">
        <v>1573800</v>
      </c>
      <c r="CL79" s="230">
        <v>232200</v>
      </c>
      <c r="CM79" s="229">
        <v>0.14749999999999999</v>
      </c>
      <c r="CN79" s="230">
        <v>47214000</v>
      </c>
      <c r="CO79" s="230">
        <v>45485400</v>
      </c>
      <c r="CP79" s="230">
        <v>1728600</v>
      </c>
      <c r="CQ79" s="229">
        <v>3.7999999999999999E-2</v>
      </c>
      <c r="CR79" s="230">
        <v>24226200</v>
      </c>
      <c r="CS79" s="230">
        <v>23607000</v>
      </c>
      <c r="CT79" s="230">
        <v>619200</v>
      </c>
      <c r="CU79" s="229">
        <v>2.6200000000000001E-2</v>
      </c>
      <c r="CV79" s="230">
        <v>205213200</v>
      </c>
      <c r="CW79" s="230">
        <v>202033350</v>
      </c>
      <c r="CX79" s="230">
        <v>3179850</v>
      </c>
      <c r="CY79" s="229">
        <v>1.5699999999999999E-2</v>
      </c>
      <c r="CZ79" s="228">
        <v>49.88</v>
      </c>
      <c r="DA79" s="228">
        <v>48.24</v>
      </c>
      <c r="DB79" s="228">
        <v>1.64</v>
      </c>
      <c r="DC79" s="228">
        <v>1.64</v>
      </c>
      <c r="DD79" s="228">
        <v>54.71</v>
      </c>
      <c r="DE79" s="228">
        <v>54.85</v>
      </c>
      <c r="DF79" s="228">
        <v>-4.83</v>
      </c>
      <c r="DG79" s="228">
        <v>-0.14000000000000001</v>
      </c>
      <c r="DH79" s="228">
        <v>50.04</v>
      </c>
      <c r="DI79" s="228">
        <v>47.96</v>
      </c>
      <c r="DJ79" s="228">
        <v>2.08</v>
      </c>
      <c r="DK79" s="228">
        <v>2.08</v>
      </c>
      <c r="DL79" s="228">
        <v>49.5</v>
      </c>
      <c r="DM79" s="228">
        <v>49.11</v>
      </c>
      <c r="DN79" s="228">
        <v>0.39</v>
      </c>
      <c r="DO79" s="228">
        <v>0.39</v>
      </c>
      <c r="DP79" s="228">
        <v>0.51</v>
      </c>
      <c r="DQ79" s="228">
        <v>0.52</v>
      </c>
      <c r="DR79" s="228">
        <v>-0.01</v>
      </c>
      <c r="DS79" s="229">
        <v>-1.9199999999999998E-2</v>
      </c>
      <c r="DT79" s="228">
        <v>80</v>
      </c>
      <c r="DU79" s="228">
        <v>75</v>
      </c>
      <c r="DV79" s="228">
        <v>0.44</v>
      </c>
      <c r="DW79" s="228">
        <v>0.31</v>
      </c>
      <c r="DX79" s="228">
        <v>0.13</v>
      </c>
      <c r="DY79" s="229">
        <v>0.4194</v>
      </c>
      <c r="DZ79" s="229">
        <v>0.1046</v>
      </c>
      <c r="EA79" s="230">
        <v>12996750</v>
      </c>
      <c r="EB79" s="229">
        <v>6.1999999999999998E-3</v>
      </c>
      <c r="EC79" s="229">
        <v>0.1046</v>
      </c>
      <c r="ED79" s="228">
        <v>0.38</v>
      </c>
      <c r="EE79" s="229">
        <v>4.8999999999999998E-3</v>
      </c>
      <c r="EF79" s="230">
        <v>3504008</v>
      </c>
      <c r="EG79" s="230">
        <v>5671001</v>
      </c>
      <c r="EH79" s="229">
        <v>-0.3821</v>
      </c>
      <c r="EI79" s="229">
        <v>0.35249999999999998</v>
      </c>
      <c r="EJ79" s="231">
        <v>22520.95</v>
      </c>
      <c r="EK79" s="231">
        <v>9694.51</v>
      </c>
      <c r="EL79" s="231">
        <v>20167.45</v>
      </c>
      <c r="EM79" s="231">
        <v>4311</v>
      </c>
      <c r="EN79" s="231">
        <v>52382.91</v>
      </c>
      <c r="EO79" s="231">
        <v>60975.06</v>
      </c>
      <c r="EP79" s="231">
        <v>-8592.15</v>
      </c>
      <c r="EQ79" s="229">
        <v>-0.1409</v>
      </c>
      <c r="ER79" s="231">
        <v>37412</v>
      </c>
      <c r="ES79" s="231">
        <v>18052</v>
      </c>
      <c r="ET79" s="231">
        <v>103884</v>
      </c>
      <c r="EU79" s="231">
        <v>147979599</v>
      </c>
      <c r="EV79" s="231">
        <v>159348</v>
      </c>
      <c r="EW79" s="231">
        <v>156866</v>
      </c>
      <c r="EX79" s="231">
        <v>2482</v>
      </c>
      <c r="EY79" s="229">
        <v>1.5800000000000002E-2</v>
      </c>
      <c r="EZ79" s="229">
        <v>1.3868</v>
      </c>
      <c r="FA79" s="227" t="s">
        <v>567</v>
      </c>
      <c r="FB79" s="161">
        <f t="shared" si="1"/>
        <v>13990050</v>
      </c>
    </row>
    <row r="80" spans="1:158" ht="17.25" hidden="1" thickBot="1" x14ac:dyDescent="0.3">
      <c r="A80" s="226">
        <v>45946</v>
      </c>
      <c r="B80" s="227" t="s">
        <v>227</v>
      </c>
      <c r="C80" s="227" t="s">
        <v>228</v>
      </c>
      <c r="D80" s="228">
        <v>1400</v>
      </c>
      <c r="E80" s="228">
        <v>781.25</v>
      </c>
      <c r="F80" s="228">
        <v>767.6</v>
      </c>
      <c r="G80" s="228">
        <v>13.65</v>
      </c>
      <c r="H80" s="229">
        <v>1.78E-2</v>
      </c>
      <c r="I80" s="228">
        <v>780.1</v>
      </c>
      <c r="J80" s="228">
        <v>764.25</v>
      </c>
      <c r="K80" s="228">
        <v>15.85</v>
      </c>
      <c r="L80" s="229">
        <v>2.07E-2</v>
      </c>
      <c r="M80" s="228">
        <v>781.25</v>
      </c>
      <c r="N80" s="228">
        <v>767.6</v>
      </c>
      <c r="O80" s="228">
        <v>13.65</v>
      </c>
      <c r="P80" s="229">
        <v>1.78E-2</v>
      </c>
      <c r="Q80" s="228">
        <v>785.55</v>
      </c>
      <c r="R80" s="228">
        <v>771.35</v>
      </c>
      <c r="S80" s="228">
        <v>14.2</v>
      </c>
      <c r="T80" s="229">
        <v>1.84E-2</v>
      </c>
      <c r="U80" s="228">
        <v>789.95</v>
      </c>
      <c r="V80" s="228">
        <v>776.65</v>
      </c>
      <c r="W80" s="228">
        <v>13.3</v>
      </c>
      <c r="X80" s="229">
        <v>1.7100000000000001E-2</v>
      </c>
      <c r="Y80" s="228">
        <v>1.1499999999999999</v>
      </c>
      <c r="Z80" s="228">
        <v>3.35</v>
      </c>
      <c r="AA80" s="228">
        <v>-2.2000000000000002</v>
      </c>
      <c r="AB80" s="229">
        <v>1.5E-3</v>
      </c>
      <c r="AC80" s="228">
        <v>1.1499999999999999</v>
      </c>
      <c r="AD80" s="228">
        <v>3.35</v>
      </c>
      <c r="AE80" s="228">
        <v>-2.2000000000000002</v>
      </c>
      <c r="AF80" s="229">
        <v>1.5E-3</v>
      </c>
      <c r="AG80" s="228">
        <v>5.45</v>
      </c>
      <c r="AH80" s="228">
        <v>7.1</v>
      </c>
      <c r="AI80" s="228">
        <v>-1.65</v>
      </c>
      <c r="AJ80" s="229">
        <v>7.0000000000000001E-3</v>
      </c>
      <c r="AK80" s="228">
        <v>9.85</v>
      </c>
      <c r="AL80" s="228">
        <v>12.4</v>
      </c>
      <c r="AM80" s="228">
        <v>-2.5499999999999998</v>
      </c>
      <c r="AN80" s="229">
        <v>1.26E-2</v>
      </c>
      <c r="AO80" s="228">
        <v>777.75</v>
      </c>
      <c r="AP80" s="228">
        <v>782.02</v>
      </c>
      <c r="AQ80" s="228">
        <v>0</v>
      </c>
      <c r="AR80" s="230">
        <v>9520000</v>
      </c>
      <c r="AS80" s="230">
        <v>7544600</v>
      </c>
      <c r="AT80" s="230">
        <v>1975400</v>
      </c>
      <c r="AU80" s="229">
        <v>0.26179999999999998</v>
      </c>
      <c r="AV80" s="230">
        <v>8572200</v>
      </c>
      <c r="AW80" s="230">
        <v>6612200</v>
      </c>
      <c r="AX80" s="230">
        <v>1960000</v>
      </c>
      <c r="AY80" s="229">
        <v>0.2964</v>
      </c>
      <c r="AZ80" s="230">
        <v>817600</v>
      </c>
      <c r="BA80" s="230">
        <v>859600</v>
      </c>
      <c r="BB80" s="230">
        <v>-42000</v>
      </c>
      <c r="BC80" s="229">
        <v>-4.8899999999999999E-2</v>
      </c>
      <c r="BD80" s="230">
        <v>130200</v>
      </c>
      <c r="BE80" s="230">
        <v>72800</v>
      </c>
      <c r="BF80" s="230">
        <v>57400</v>
      </c>
      <c r="BG80" s="229">
        <v>0.78849999999999998</v>
      </c>
      <c r="BH80" s="230">
        <v>27071800</v>
      </c>
      <c r="BI80" s="230">
        <v>15776600</v>
      </c>
      <c r="BJ80" s="230">
        <v>11295200</v>
      </c>
      <c r="BK80" s="229">
        <v>0.71589999999999998</v>
      </c>
      <c r="BL80" s="230">
        <v>15902600</v>
      </c>
      <c r="BM80" s="230">
        <v>9072000</v>
      </c>
      <c r="BN80" s="230">
        <v>6830600</v>
      </c>
      <c r="BO80" s="229">
        <v>0.75290000000000001</v>
      </c>
      <c r="BP80" s="230">
        <v>52494400</v>
      </c>
      <c r="BQ80" s="230">
        <v>32393200</v>
      </c>
      <c r="BR80" s="230">
        <v>20101200</v>
      </c>
      <c r="BS80" s="229">
        <v>0.62050000000000005</v>
      </c>
      <c r="BT80" s="230">
        <v>4712926</v>
      </c>
      <c r="BU80" s="230">
        <v>5973639</v>
      </c>
      <c r="BV80" s="230">
        <v>-1260713</v>
      </c>
      <c r="BW80" s="229">
        <v>-0.21099999999999999</v>
      </c>
      <c r="BX80" s="230">
        <v>66708600</v>
      </c>
      <c r="BY80" s="230">
        <v>68040000</v>
      </c>
      <c r="BZ80" s="230">
        <v>-1331400</v>
      </c>
      <c r="CA80" s="229">
        <v>-1.9599999999999999E-2</v>
      </c>
      <c r="CB80" s="230">
        <v>64688400</v>
      </c>
      <c r="CC80" s="230">
        <v>66081400</v>
      </c>
      <c r="CD80" s="230">
        <v>-1393000</v>
      </c>
      <c r="CE80" s="229">
        <v>-2.1100000000000001E-2</v>
      </c>
      <c r="CF80" s="230">
        <v>1855000</v>
      </c>
      <c r="CG80" s="230">
        <v>1758400</v>
      </c>
      <c r="CH80" s="230">
        <v>96600</v>
      </c>
      <c r="CI80" s="229">
        <v>5.4899999999999997E-2</v>
      </c>
      <c r="CJ80" s="230">
        <v>165200</v>
      </c>
      <c r="CK80" s="230">
        <v>200200</v>
      </c>
      <c r="CL80" s="230">
        <v>-35000</v>
      </c>
      <c r="CM80" s="229">
        <v>-0.17480000000000001</v>
      </c>
      <c r="CN80" s="230">
        <v>17774400</v>
      </c>
      <c r="CO80" s="230">
        <v>19504800</v>
      </c>
      <c r="CP80" s="230">
        <v>-1730400</v>
      </c>
      <c r="CQ80" s="229">
        <v>-8.8700000000000001E-2</v>
      </c>
      <c r="CR80" s="230">
        <v>12849200</v>
      </c>
      <c r="CS80" s="230">
        <v>12422200</v>
      </c>
      <c r="CT80" s="230">
        <v>427000</v>
      </c>
      <c r="CU80" s="229">
        <v>3.44E-2</v>
      </c>
      <c r="CV80" s="230">
        <v>97332200</v>
      </c>
      <c r="CW80" s="230">
        <v>99967000</v>
      </c>
      <c r="CX80" s="230">
        <v>-2634800</v>
      </c>
      <c r="CY80" s="229">
        <v>-2.64E-2</v>
      </c>
      <c r="CZ80" s="228">
        <v>22.76</v>
      </c>
      <c r="DA80" s="228">
        <v>23.68</v>
      </c>
      <c r="DB80" s="228">
        <v>-0.92</v>
      </c>
      <c r="DC80" s="228">
        <v>-0.92</v>
      </c>
      <c r="DD80" s="228">
        <v>33.11</v>
      </c>
      <c r="DE80" s="228">
        <v>33.11</v>
      </c>
      <c r="DF80" s="228">
        <v>-10.35</v>
      </c>
      <c r="DG80" s="228">
        <v>0</v>
      </c>
      <c r="DH80" s="228">
        <v>22.2</v>
      </c>
      <c r="DI80" s="228">
        <v>23.73</v>
      </c>
      <c r="DJ80" s="228">
        <v>-1.53</v>
      </c>
      <c r="DK80" s="228">
        <v>-1.53</v>
      </c>
      <c r="DL80" s="228">
        <v>23.71</v>
      </c>
      <c r="DM80" s="228">
        <v>23.58</v>
      </c>
      <c r="DN80" s="228">
        <v>0.13</v>
      </c>
      <c r="DO80" s="228">
        <v>0.13</v>
      </c>
      <c r="DP80" s="228">
        <v>0.72</v>
      </c>
      <c r="DQ80" s="228">
        <v>0.64</v>
      </c>
      <c r="DR80" s="228">
        <v>0.08</v>
      </c>
      <c r="DS80" s="229">
        <v>0.125</v>
      </c>
      <c r="DT80" s="228">
        <v>800</v>
      </c>
      <c r="DU80" s="228">
        <v>750</v>
      </c>
      <c r="DV80" s="228">
        <v>0.59</v>
      </c>
      <c r="DW80" s="228">
        <v>0.57999999999999996</v>
      </c>
      <c r="DX80" s="228">
        <v>0.01</v>
      </c>
      <c r="DY80" s="229">
        <v>1.72E-2</v>
      </c>
      <c r="DZ80" s="229">
        <v>3.0300000000000001E-2</v>
      </c>
      <c r="EA80" s="230">
        <v>1958600</v>
      </c>
      <c r="EB80" s="229">
        <v>5.4999999999999997E-3</v>
      </c>
      <c r="EC80" s="229">
        <v>3.0300000000000001E-2</v>
      </c>
      <c r="ED80" s="228">
        <v>4.2699999999999996</v>
      </c>
      <c r="EE80" s="229">
        <v>5.4999999999999997E-3</v>
      </c>
      <c r="EF80" s="230">
        <v>2795237</v>
      </c>
      <c r="EG80" s="230">
        <v>4294170</v>
      </c>
      <c r="EH80" s="229">
        <v>-0.34910000000000002</v>
      </c>
      <c r="EI80" s="229">
        <v>0.59309999999999996</v>
      </c>
      <c r="EJ80" s="231">
        <v>216326.39</v>
      </c>
      <c r="EK80" s="231">
        <v>121804.62</v>
      </c>
      <c r="EL80" s="231">
        <v>74087.39</v>
      </c>
      <c r="EM80" s="231">
        <v>6028</v>
      </c>
      <c r="EN80" s="231">
        <v>412218.4</v>
      </c>
      <c r="EO80" s="231">
        <v>252765.86</v>
      </c>
      <c r="EP80" s="231">
        <v>159452.54</v>
      </c>
      <c r="EQ80" s="229">
        <v>0.63080000000000003</v>
      </c>
      <c r="ER80" s="231">
        <v>142022</v>
      </c>
      <c r="ES80" s="231">
        <v>95185</v>
      </c>
      <c r="ET80" s="231">
        <v>521255</v>
      </c>
      <c r="EU80" s="231">
        <v>176136372</v>
      </c>
      <c r="EV80" s="231">
        <v>758462</v>
      </c>
      <c r="EW80" s="231">
        <v>769575</v>
      </c>
      <c r="EX80" s="231">
        <v>-11113</v>
      </c>
      <c r="EY80" s="229">
        <v>-1.44E-2</v>
      </c>
      <c r="EZ80" s="229">
        <v>0.55259999999999998</v>
      </c>
      <c r="FA80" s="227" t="s">
        <v>556</v>
      </c>
      <c r="FB80" s="161">
        <f t="shared" si="1"/>
        <v>2020200</v>
      </c>
    </row>
    <row r="81" spans="1:158" ht="17.25" hidden="1" thickBot="1" x14ac:dyDescent="0.3">
      <c r="A81" s="226">
        <v>45946</v>
      </c>
      <c r="B81" s="227" t="s">
        <v>193</v>
      </c>
      <c r="C81" s="227" t="s">
        <v>229</v>
      </c>
      <c r="D81" s="228">
        <v>2025</v>
      </c>
      <c r="E81" s="228">
        <v>452.5</v>
      </c>
      <c r="F81" s="228">
        <v>450.6</v>
      </c>
      <c r="G81" s="228">
        <v>1.9</v>
      </c>
      <c r="H81" s="229">
        <v>4.1999999999999997E-3</v>
      </c>
      <c r="I81" s="228">
        <v>451.95</v>
      </c>
      <c r="J81" s="228">
        <v>448.65</v>
      </c>
      <c r="K81" s="228">
        <v>3.3</v>
      </c>
      <c r="L81" s="229">
        <v>7.4000000000000003E-3</v>
      </c>
      <c r="M81" s="228">
        <v>452.5</v>
      </c>
      <c r="N81" s="228">
        <v>450.6</v>
      </c>
      <c r="O81" s="228">
        <v>1.9</v>
      </c>
      <c r="P81" s="229">
        <v>4.1999999999999997E-3</v>
      </c>
      <c r="Q81" s="228">
        <v>454.8</v>
      </c>
      <c r="R81" s="228">
        <v>452.75</v>
      </c>
      <c r="S81" s="228">
        <v>2.0499999999999998</v>
      </c>
      <c r="T81" s="229">
        <v>4.4999999999999997E-3</v>
      </c>
      <c r="U81" s="228">
        <v>457.45</v>
      </c>
      <c r="V81" s="228">
        <v>455.7</v>
      </c>
      <c r="W81" s="228">
        <v>1.75</v>
      </c>
      <c r="X81" s="229">
        <v>3.8E-3</v>
      </c>
      <c r="Y81" s="228">
        <v>0.55000000000000004</v>
      </c>
      <c r="Z81" s="228">
        <v>1.95</v>
      </c>
      <c r="AA81" s="228">
        <v>-1.4</v>
      </c>
      <c r="AB81" s="229">
        <v>1.1999999999999999E-3</v>
      </c>
      <c r="AC81" s="228">
        <v>0.55000000000000004</v>
      </c>
      <c r="AD81" s="228">
        <v>1.95</v>
      </c>
      <c r="AE81" s="228">
        <v>-1.4</v>
      </c>
      <c r="AF81" s="229">
        <v>1.1999999999999999E-3</v>
      </c>
      <c r="AG81" s="228">
        <v>2.85</v>
      </c>
      <c r="AH81" s="228">
        <v>4.0999999999999996</v>
      </c>
      <c r="AI81" s="228">
        <v>-1.25</v>
      </c>
      <c r="AJ81" s="229">
        <v>6.3E-3</v>
      </c>
      <c r="AK81" s="228">
        <v>5.5</v>
      </c>
      <c r="AL81" s="228">
        <v>7.05</v>
      </c>
      <c r="AM81" s="228">
        <v>-1.55</v>
      </c>
      <c r="AN81" s="229">
        <v>1.2200000000000001E-2</v>
      </c>
      <c r="AO81" s="228">
        <v>451.97</v>
      </c>
      <c r="AP81" s="228">
        <v>453.78</v>
      </c>
      <c r="AQ81" s="228">
        <v>0</v>
      </c>
      <c r="AR81" s="230">
        <v>11206350</v>
      </c>
      <c r="AS81" s="230">
        <v>10920825</v>
      </c>
      <c r="AT81" s="230">
        <v>285525</v>
      </c>
      <c r="AU81" s="229">
        <v>2.6100000000000002E-2</v>
      </c>
      <c r="AV81" s="230">
        <v>10157400</v>
      </c>
      <c r="AW81" s="230">
        <v>9624825</v>
      </c>
      <c r="AX81" s="230">
        <v>532575</v>
      </c>
      <c r="AY81" s="229">
        <v>5.5300000000000002E-2</v>
      </c>
      <c r="AZ81" s="230">
        <v>947700</v>
      </c>
      <c r="BA81" s="230">
        <v>1247400</v>
      </c>
      <c r="BB81" s="230">
        <v>-299700</v>
      </c>
      <c r="BC81" s="229">
        <v>-0.24030000000000001</v>
      </c>
      <c r="BD81" s="230">
        <v>101250</v>
      </c>
      <c r="BE81" s="230">
        <v>48600</v>
      </c>
      <c r="BF81" s="230">
        <v>52650</v>
      </c>
      <c r="BG81" s="229">
        <v>1.0832999999999999</v>
      </c>
      <c r="BH81" s="230">
        <v>31606200</v>
      </c>
      <c r="BI81" s="230">
        <v>36152325</v>
      </c>
      <c r="BJ81" s="230">
        <v>-4546125</v>
      </c>
      <c r="BK81" s="229">
        <v>-0.12570000000000001</v>
      </c>
      <c r="BL81" s="230">
        <v>16617150</v>
      </c>
      <c r="BM81" s="230">
        <v>13608000</v>
      </c>
      <c r="BN81" s="230">
        <v>3009150</v>
      </c>
      <c r="BO81" s="229">
        <v>0.22109999999999999</v>
      </c>
      <c r="BP81" s="230">
        <v>59429700</v>
      </c>
      <c r="BQ81" s="230">
        <v>60681150</v>
      </c>
      <c r="BR81" s="230">
        <v>-1251450</v>
      </c>
      <c r="BS81" s="229">
        <v>-2.06E-2</v>
      </c>
      <c r="BT81" s="230">
        <v>5605177</v>
      </c>
      <c r="BU81" s="230">
        <v>7752168</v>
      </c>
      <c r="BV81" s="230">
        <v>-2146991</v>
      </c>
      <c r="BW81" s="229">
        <v>-0.27700000000000002</v>
      </c>
      <c r="BX81" s="230">
        <v>52382700</v>
      </c>
      <c r="BY81" s="230">
        <v>53385075</v>
      </c>
      <c r="BZ81" s="230">
        <v>-1002375</v>
      </c>
      <c r="CA81" s="229">
        <v>-1.8800000000000001E-2</v>
      </c>
      <c r="CB81" s="230">
        <v>50566275</v>
      </c>
      <c r="CC81" s="230">
        <v>51680025</v>
      </c>
      <c r="CD81" s="230">
        <v>-1113750</v>
      </c>
      <c r="CE81" s="229">
        <v>-2.1600000000000001E-2</v>
      </c>
      <c r="CF81" s="230">
        <v>1650375</v>
      </c>
      <c r="CG81" s="230">
        <v>1532925</v>
      </c>
      <c r="CH81" s="230">
        <v>117450</v>
      </c>
      <c r="CI81" s="229">
        <v>7.6600000000000001E-2</v>
      </c>
      <c r="CJ81" s="230">
        <v>166050</v>
      </c>
      <c r="CK81" s="230">
        <v>172125</v>
      </c>
      <c r="CL81" s="230">
        <v>-6075</v>
      </c>
      <c r="CM81" s="229">
        <v>-3.5299999999999998E-2</v>
      </c>
      <c r="CN81" s="230">
        <v>20420100</v>
      </c>
      <c r="CO81" s="230">
        <v>21224025</v>
      </c>
      <c r="CP81" s="230">
        <v>-803925</v>
      </c>
      <c r="CQ81" s="229">
        <v>-3.7900000000000003E-2</v>
      </c>
      <c r="CR81" s="230">
        <v>11263050</v>
      </c>
      <c r="CS81" s="230">
        <v>11352150</v>
      </c>
      <c r="CT81" s="230">
        <v>-89100</v>
      </c>
      <c r="CU81" s="229">
        <v>-7.7999999999999996E-3</v>
      </c>
      <c r="CV81" s="230">
        <v>84065850</v>
      </c>
      <c r="CW81" s="230">
        <v>85961250</v>
      </c>
      <c r="CX81" s="230">
        <v>-1895400</v>
      </c>
      <c r="CY81" s="229">
        <v>-2.1999999999999999E-2</v>
      </c>
      <c r="CZ81" s="228">
        <v>31.82</v>
      </c>
      <c r="DA81" s="228">
        <v>32.9</v>
      </c>
      <c r="DB81" s="228">
        <v>-1.08</v>
      </c>
      <c r="DC81" s="228">
        <v>-1.08</v>
      </c>
      <c r="DD81" s="228">
        <v>40.729999999999997</v>
      </c>
      <c r="DE81" s="228">
        <v>40.83</v>
      </c>
      <c r="DF81" s="228">
        <v>-8.91</v>
      </c>
      <c r="DG81" s="228">
        <v>-0.1</v>
      </c>
      <c r="DH81" s="228">
        <v>31.7</v>
      </c>
      <c r="DI81" s="228">
        <v>33.21</v>
      </c>
      <c r="DJ81" s="228">
        <v>-1.51</v>
      </c>
      <c r="DK81" s="228">
        <v>-1.51</v>
      </c>
      <c r="DL81" s="228">
        <v>32.06</v>
      </c>
      <c r="DM81" s="228">
        <v>32.07</v>
      </c>
      <c r="DN81" s="228">
        <v>-0.01</v>
      </c>
      <c r="DO81" s="228">
        <v>-0.01</v>
      </c>
      <c r="DP81" s="228">
        <v>0.55000000000000004</v>
      </c>
      <c r="DQ81" s="228">
        <v>0.53</v>
      </c>
      <c r="DR81" s="228">
        <v>0.02</v>
      </c>
      <c r="DS81" s="229">
        <v>3.7699999999999997E-2</v>
      </c>
      <c r="DT81" s="228">
        <v>450</v>
      </c>
      <c r="DU81" s="228">
        <v>440</v>
      </c>
      <c r="DV81" s="228">
        <v>0.53</v>
      </c>
      <c r="DW81" s="228">
        <v>0.38</v>
      </c>
      <c r="DX81" s="228">
        <v>0.15</v>
      </c>
      <c r="DY81" s="229">
        <v>0.3947</v>
      </c>
      <c r="DZ81" s="229">
        <v>3.4700000000000002E-2</v>
      </c>
      <c r="EA81" s="230">
        <v>1705050</v>
      </c>
      <c r="EB81" s="229">
        <v>5.1000000000000004E-3</v>
      </c>
      <c r="EC81" s="229">
        <v>3.4700000000000002E-2</v>
      </c>
      <c r="ED81" s="228">
        <v>1.81</v>
      </c>
      <c r="EE81" s="229">
        <v>4.0000000000000001E-3</v>
      </c>
      <c r="EF81" s="230">
        <v>3050691</v>
      </c>
      <c r="EG81" s="230">
        <v>5245338</v>
      </c>
      <c r="EH81" s="229">
        <v>-0.41839999999999999</v>
      </c>
      <c r="EI81" s="229">
        <v>0.54430000000000001</v>
      </c>
      <c r="EJ81" s="231">
        <v>149123.35999999999</v>
      </c>
      <c r="EK81" s="231">
        <v>74495.570000000007</v>
      </c>
      <c r="EL81" s="231">
        <v>50670.97</v>
      </c>
      <c r="EM81" s="231">
        <v>3994</v>
      </c>
      <c r="EN81" s="231">
        <v>274289.90000000002</v>
      </c>
      <c r="EO81" s="231">
        <v>281089.71000000002</v>
      </c>
      <c r="EP81" s="231">
        <v>-6799.81</v>
      </c>
      <c r="EQ81" s="229">
        <v>-2.4199999999999999E-2</v>
      </c>
      <c r="ER81" s="231">
        <v>95492</v>
      </c>
      <c r="ES81" s="231">
        <v>48343</v>
      </c>
      <c r="ET81" s="231">
        <v>237078</v>
      </c>
      <c r="EU81" s="231">
        <v>143933168</v>
      </c>
      <c r="EV81" s="231">
        <v>380913</v>
      </c>
      <c r="EW81" s="231">
        <v>388821</v>
      </c>
      <c r="EX81" s="231">
        <v>-7908</v>
      </c>
      <c r="EY81" s="229">
        <v>-2.0299999999999999E-2</v>
      </c>
      <c r="EZ81" s="229">
        <v>0.58409999999999995</v>
      </c>
      <c r="FA81" s="227" t="s">
        <v>556</v>
      </c>
      <c r="FB81" s="161">
        <f t="shared" si="1"/>
        <v>1816425</v>
      </c>
    </row>
    <row r="82" spans="1:158" ht="17.25" hidden="1" thickBot="1" x14ac:dyDescent="0.3">
      <c r="A82" s="226">
        <v>45946</v>
      </c>
      <c r="B82" s="227" t="s">
        <v>168</v>
      </c>
      <c r="C82" s="227" t="s">
        <v>230</v>
      </c>
      <c r="D82" s="228">
        <v>300</v>
      </c>
      <c r="E82" s="231">
        <v>2562.3000000000002</v>
      </c>
      <c r="F82" s="231">
        <v>2519.5</v>
      </c>
      <c r="G82" s="228">
        <v>42.8</v>
      </c>
      <c r="H82" s="229">
        <v>1.7000000000000001E-2</v>
      </c>
      <c r="I82" s="231">
        <v>2561.5</v>
      </c>
      <c r="J82" s="231">
        <v>2519</v>
      </c>
      <c r="K82" s="228">
        <v>42.5</v>
      </c>
      <c r="L82" s="229">
        <v>1.6899999999999998E-2</v>
      </c>
      <c r="M82" s="231">
        <v>2562.3000000000002</v>
      </c>
      <c r="N82" s="231">
        <v>2519.5</v>
      </c>
      <c r="O82" s="228">
        <v>42.8</v>
      </c>
      <c r="P82" s="229">
        <v>1.7000000000000001E-2</v>
      </c>
      <c r="Q82" s="231">
        <v>2556.5</v>
      </c>
      <c r="R82" s="231">
        <v>2514.4</v>
      </c>
      <c r="S82" s="228">
        <v>42.1</v>
      </c>
      <c r="T82" s="229">
        <v>1.67E-2</v>
      </c>
      <c r="U82" s="231">
        <v>2563.5</v>
      </c>
      <c r="V82" s="231">
        <v>2524.1999999999998</v>
      </c>
      <c r="W82" s="228">
        <v>39.299999999999997</v>
      </c>
      <c r="X82" s="229">
        <v>1.5599999999999999E-2</v>
      </c>
      <c r="Y82" s="228">
        <v>0.8</v>
      </c>
      <c r="Z82" s="228">
        <v>0.5</v>
      </c>
      <c r="AA82" s="228">
        <v>0.3</v>
      </c>
      <c r="AB82" s="229">
        <v>2.9999999999999997E-4</v>
      </c>
      <c r="AC82" s="228">
        <v>0.8</v>
      </c>
      <c r="AD82" s="228">
        <v>0.5</v>
      </c>
      <c r="AE82" s="228">
        <v>0.3</v>
      </c>
      <c r="AF82" s="229">
        <v>2.9999999999999997E-4</v>
      </c>
      <c r="AG82" s="228">
        <v>-5</v>
      </c>
      <c r="AH82" s="228">
        <v>-4.5999999999999996</v>
      </c>
      <c r="AI82" s="228">
        <v>-0.4</v>
      </c>
      <c r="AJ82" s="229">
        <v>-2E-3</v>
      </c>
      <c r="AK82" s="228">
        <v>2</v>
      </c>
      <c r="AL82" s="228">
        <v>5.2</v>
      </c>
      <c r="AM82" s="228">
        <v>-3.2</v>
      </c>
      <c r="AN82" s="229">
        <v>8.0000000000000004E-4</v>
      </c>
      <c r="AO82" s="231">
        <v>2548.08</v>
      </c>
      <c r="AP82" s="231">
        <v>2545.13</v>
      </c>
      <c r="AQ82" s="228">
        <v>0</v>
      </c>
      <c r="AR82" s="230">
        <v>2628600</v>
      </c>
      <c r="AS82" s="230">
        <v>1319100</v>
      </c>
      <c r="AT82" s="230">
        <v>1309500</v>
      </c>
      <c r="AU82" s="229">
        <v>0.99270000000000003</v>
      </c>
      <c r="AV82" s="230">
        <v>2080200</v>
      </c>
      <c r="AW82" s="230">
        <v>1107300</v>
      </c>
      <c r="AX82" s="230">
        <v>972900</v>
      </c>
      <c r="AY82" s="229">
        <v>0.87860000000000005</v>
      </c>
      <c r="AZ82" s="230">
        <v>527100</v>
      </c>
      <c r="BA82" s="230">
        <v>200700</v>
      </c>
      <c r="BB82" s="230">
        <v>326400</v>
      </c>
      <c r="BC82" s="229">
        <v>1.6263000000000001</v>
      </c>
      <c r="BD82" s="230">
        <v>21300</v>
      </c>
      <c r="BE82" s="230">
        <v>11100</v>
      </c>
      <c r="BF82" s="230">
        <v>10200</v>
      </c>
      <c r="BG82" s="229">
        <v>0.91890000000000005</v>
      </c>
      <c r="BH82" s="230">
        <v>8766300</v>
      </c>
      <c r="BI82" s="230">
        <v>4301100</v>
      </c>
      <c r="BJ82" s="230">
        <v>4465200</v>
      </c>
      <c r="BK82" s="229">
        <v>1.0382</v>
      </c>
      <c r="BL82" s="230">
        <v>4569300</v>
      </c>
      <c r="BM82" s="230">
        <v>2294100</v>
      </c>
      <c r="BN82" s="230">
        <v>2275200</v>
      </c>
      <c r="BO82" s="229">
        <v>0.99180000000000001</v>
      </c>
      <c r="BP82" s="230">
        <v>15964200</v>
      </c>
      <c r="BQ82" s="230">
        <v>7914300</v>
      </c>
      <c r="BR82" s="230">
        <v>8049900</v>
      </c>
      <c r="BS82" s="229">
        <v>1.0170999999999999</v>
      </c>
      <c r="BT82" s="230">
        <v>1562694</v>
      </c>
      <c r="BU82" s="230">
        <v>944524</v>
      </c>
      <c r="BV82" s="230">
        <v>618170</v>
      </c>
      <c r="BW82" s="229">
        <v>0.65449999999999997</v>
      </c>
      <c r="BX82" s="230">
        <v>14229600</v>
      </c>
      <c r="BY82" s="230">
        <v>14221500</v>
      </c>
      <c r="BZ82" s="230">
        <v>8100</v>
      </c>
      <c r="CA82" s="229">
        <v>5.9999999999999995E-4</v>
      </c>
      <c r="CB82" s="230">
        <v>13293600</v>
      </c>
      <c r="CC82" s="230">
        <v>13390200</v>
      </c>
      <c r="CD82" s="230">
        <v>-96600</v>
      </c>
      <c r="CE82" s="229">
        <v>-7.1999999999999998E-3</v>
      </c>
      <c r="CF82" s="230">
        <v>861900</v>
      </c>
      <c r="CG82" s="230">
        <v>758400</v>
      </c>
      <c r="CH82" s="230">
        <v>103500</v>
      </c>
      <c r="CI82" s="229">
        <v>0.13650000000000001</v>
      </c>
      <c r="CJ82" s="230">
        <v>74100</v>
      </c>
      <c r="CK82" s="230">
        <v>72900</v>
      </c>
      <c r="CL82" s="230">
        <v>1200</v>
      </c>
      <c r="CM82" s="229">
        <v>1.6500000000000001E-2</v>
      </c>
      <c r="CN82" s="230">
        <v>5169000</v>
      </c>
      <c r="CO82" s="230">
        <v>5387400</v>
      </c>
      <c r="CP82" s="230">
        <v>-218400</v>
      </c>
      <c r="CQ82" s="229">
        <v>-4.0500000000000001E-2</v>
      </c>
      <c r="CR82" s="230">
        <v>3366300</v>
      </c>
      <c r="CS82" s="230">
        <v>3204300</v>
      </c>
      <c r="CT82" s="230">
        <v>162000</v>
      </c>
      <c r="CU82" s="229">
        <v>5.0599999999999999E-2</v>
      </c>
      <c r="CV82" s="230">
        <v>22764900</v>
      </c>
      <c r="CW82" s="230">
        <v>22813200</v>
      </c>
      <c r="CX82" s="230">
        <v>-48300</v>
      </c>
      <c r="CY82" s="229">
        <v>-2.0999999999999999E-3</v>
      </c>
      <c r="CZ82" s="228">
        <v>20.97</v>
      </c>
      <c r="DA82" s="228">
        <v>20.9</v>
      </c>
      <c r="DB82" s="228">
        <v>7.0000000000000007E-2</v>
      </c>
      <c r="DC82" s="228">
        <v>7.0000000000000007E-2</v>
      </c>
      <c r="DD82" s="228">
        <v>22.66</v>
      </c>
      <c r="DE82" s="228">
        <v>22.61</v>
      </c>
      <c r="DF82" s="228">
        <v>-1.69</v>
      </c>
      <c r="DG82" s="228">
        <v>0.05</v>
      </c>
      <c r="DH82" s="228">
        <v>20.63</v>
      </c>
      <c r="DI82" s="228">
        <v>20.74</v>
      </c>
      <c r="DJ82" s="228">
        <v>-0.11</v>
      </c>
      <c r="DK82" s="228">
        <v>-0.11</v>
      </c>
      <c r="DL82" s="228">
        <v>21.62</v>
      </c>
      <c r="DM82" s="228">
        <v>21.2</v>
      </c>
      <c r="DN82" s="228">
        <v>0.42</v>
      </c>
      <c r="DO82" s="228">
        <v>0.42</v>
      </c>
      <c r="DP82" s="228">
        <v>0.65</v>
      </c>
      <c r="DQ82" s="228">
        <v>0.59</v>
      </c>
      <c r="DR82" s="228">
        <v>0.06</v>
      </c>
      <c r="DS82" s="229">
        <v>0.1017</v>
      </c>
      <c r="DT82" s="231">
        <v>2600</v>
      </c>
      <c r="DU82" s="231">
        <v>2500</v>
      </c>
      <c r="DV82" s="228">
        <v>0.52</v>
      </c>
      <c r="DW82" s="228">
        <v>0.53</v>
      </c>
      <c r="DX82" s="228">
        <v>-0.01</v>
      </c>
      <c r="DY82" s="229">
        <v>-1.89E-2</v>
      </c>
      <c r="DZ82" s="229">
        <v>6.5799999999999997E-2</v>
      </c>
      <c r="EA82" s="230">
        <v>831300</v>
      </c>
      <c r="EB82" s="229">
        <v>-2.3E-3</v>
      </c>
      <c r="EC82" s="229">
        <v>6.5799999999999997E-2</v>
      </c>
      <c r="ED82" s="228">
        <v>-2.95</v>
      </c>
      <c r="EE82" s="229">
        <v>-1.1999999999999999E-3</v>
      </c>
      <c r="EF82" s="230">
        <v>731653</v>
      </c>
      <c r="EG82" s="230">
        <v>582417</v>
      </c>
      <c r="EH82" s="229">
        <v>0.25619999999999998</v>
      </c>
      <c r="EI82" s="229">
        <v>0.46820000000000001</v>
      </c>
      <c r="EJ82" s="231">
        <v>228741.02</v>
      </c>
      <c r="EK82" s="231">
        <v>115431.29</v>
      </c>
      <c r="EL82" s="231">
        <v>66963.399999999994</v>
      </c>
      <c r="EM82" s="231">
        <v>5102</v>
      </c>
      <c r="EN82" s="231">
        <v>411135.71</v>
      </c>
      <c r="EO82" s="231">
        <v>202706.51</v>
      </c>
      <c r="EP82" s="231">
        <v>208429.2</v>
      </c>
      <c r="EQ82" s="229">
        <v>1.0282</v>
      </c>
      <c r="ER82" s="231">
        <v>135423</v>
      </c>
      <c r="ES82" s="231">
        <v>83456</v>
      </c>
      <c r="ET82" s="231">
        <v>364556</v>
      </c>
      <c r="EU82" s="231">
        <v>89517840</v>
      </c>
      <c r="EV82" s="231">
        <v>583434</v>
      </c>
      <c r="EW82" s="231">
        <v>578513</v>
      </c>
      <c r="EX82" s="231">
        <v>4921</v>
      </c>
      <c r="EY82" s="229">
        <v>8.5000000000000006E-3</v>
      </c>
      <c r="EZ82" s="229">
        <v>0.25430000000000003</v>
      </c>
      <c r="FA82" s="227" t="s">
        <v>555</v>
      </c>
      <c r="FB82" s="161">
        <f t="shared" si="1"/>
        <v>936000</v>
      </c>
    </row>
    <row r="83" spans="1:158" ht="17.25" hidden="1" thickBot="1" x14ac:dyDescent="0.3">
      <c r="A83" s="226">
        <v>45946</v>
      </c>
      <c r="B83" s="227" t="s">
        <v>227</v>
      </c>
      <c r="C83" s="227" t="s">
        <v>669</v>
      </c>
      <c r="D83" s="228">
        <v>1225</v>
      </c>
      <c r="E83" s="228">
        <v>507.95</v>
      </c>
      <c r="F83" s="228">
        <v>514.45000000000005</v>
      </c>
      <c r="G83" s="228">
        <v>-6.5</v>
      </c>
      <c r="H83" s="229">
        <v>-1.26E-2</v>
      </c>
      <c r="I83" s="228">
        <v>506.7</v>
      </c>
      <c r="J83" s="228">
        <v>513.20000000000005</v>
      </c>
      <c r="K83" s="228">
        <v>-6.5</v>
      </c>
      <c r="L83" s="229">
        <v>-1.2699999999999999E-2</v>
      </c>
      <c r="M83" s="228">
        <v>507.95</v>
      </c>
      <c r="N83" s="228">
        <v>514.45000000000005</v>
      </c>
      <c r="O83" s="228">
        <v>-6.5</v>
      </c>
      <c r="P83" s="229">
        <v>-1.26E-2</v>
      </c>
      <c r="Q83" s="228">
        <v>510.8</v>
      </c>
      <c r="R83" s="228">
        <v>517.04999999999995</v>
      </c>
      <c r="S83" s="228">
        <v>-6.25</v>
      </c>
      <c r="T83" s="229">
        <v>-1.21E-2</v>
      </c>
      <c r="U83" s="228">
        <v>514.15</v>
      </c>
      <c r="V83" s="228">
        <v>519.6</v>
      </c>
      <c r="W83" s="228">
        <v>-5.45</v>
      </c>
      <c r="X83" s="229">
        <v>-1.0500000000000001E-2</v>
      </c>
      <c r="Y83" s="228">
        <v>1.25</v>
      </c>
      <c r="Z83" s="228">
        <v>1.25</v>
      </c>
      <c r="AA83" s="228">
        <v>0</v>
      </c>
      <c r="AB83" s="229">
        <v>2.5000000000000001E-3</v>
      </c>
      <c r="AC83" s="228">
        <v>1.25</v>
      </c>
      <c r="AD83" s="228">
        <v>1.25</v>
      </c>
      <c r="AE83" s="228">
        <v>0</v>
      </c>
      <c r="AF83" s="229">
        <v>2.5000000000000001E-3</v>
      </c>
      <c r="AG83" s="228">
        <v>4.0999999999999996</v>
      </c>
      <c r="AH83" s="228">
        <v>3.85</v>
      </c>
      <c r="AI83" s="228">
        <v>0.25</v>
      </c>
      <c r="AJ83" s="229">
        <v>8.0999999999999996E-3</v>
      </c>
      <c r="AK83" s="228">
        <v>7.45</v>
      </c>
      <c r="AL83" s="228">
        <v>6.4</v>
      </c>
      <c r="AM83" s="228">
        <v>1.05</v>
      </c>
      <c r="AN83" s="229">
        <v>1.47E-2</v>
      </c>
      <c r="AO83" s="228">
        <v>511.26</v>
      </c>
      <c r="AP83" s="228">
        <v>513.92999999999995</v>
      </c>
      <c r="AQ83" s="228">
        <v>0</v>
      </c>
      <c r="AR83" s="230">
        <v>6552525</v>
      </c>
      <c r="AS83" s="230">
        <v>10139325</v>
      </c>
      <c r="AT83" s="230">
        <v>-3586800</v>
      </c>
      <c r="AU83" s="229">
        <v>-0.3538</v>
      </c>
      <c r="AV83" s="230">
        <v>5296900</v>
      </c>
      <c r="AW83" s="230">
        <v>8481900</v>
      </c>
      <c r="AX83" s="230">
        <v>-3185000</v>
      </c>
      <c r="AY83" s="229">
        <v>-0.3755</v>
      </c>
      <c r="AZ83" s="230">
        <v>1200500</v>
      </c>
      <c r="BA83" s="230">
        <v>1538600</v>
      </c>
      <c r="BB83" s="230">
        <v>-338100</v>
      </c>
      <c r="BC83" s="229">
        <v>-0.21970000000000001</v>
      </c>
      <c r="BD83" s="230">
        <v>55125</v>
      </c>
      <c r="BE83" s="230">
        <v>118825</v>
      </c>
      <c r="BF83" s="230">
        <v>-63700</v>
      </c>
      <c r="BG83" s="229">
        <v>-0.53610000000000002</v>
      </c>
      <c r="BH83" s="230">
        <v>23376675</v>
      </c>
      <c r="BI83" s="230">
        <v>40188575</v>
      </c>
      <c r="BJ83" s="230">
        <v>-16811900</v>
      </c>
      <c r="BK83" s="229">
        <v>-0.41830000000000001</v>
      </c>
      <c r="BL83" s="230">
        <v>8033550</v>
      </c>
      <c r="BM83" s="230">
        <v>12061350</v>
      </c>
      <c r="BN83" s="230">
        <v>-4027800</v>
      </c>
      <c r="BO83" s="229">
        <v>-0.33389999999999997</v>
      </c>
      <c r="BP83" s="230">
        <v>37962750</v>
      </c>
      <c r="BQ83" s="230">
        <v>62389250</v>
      </c>
      <c r="BR83" s="230">
        <v>-24426500</v>
      </c>
      <c r="BS83" s="229">
        <v>-0.39150000000000001</v>
      </c>
      <c r="BT83" s="230">
        <v>3442559</v>
      </c>
      <c r="BU83" s="230">
        <v>7115130</v>
      </c>
      <c r="BV83" s="230">
        <v>-3672571</v>
      </c>
      <c r="BW83" s="229">
        <v>-0.51619999999999999</v>
      </c>
      <c r="BX83" s="230">
        <v>35226100</v>
      </c>
      <c r="BY83" s="230">
        <v>34917400</v>
      </c>
      <c r="BZ83" s="230">
        <v>308700</v>
      </c>
      <c r="CA83" s="229">
        <v>8.8000000000000005E-3</v>
      </c>
      <c r="CB83" s="230">
        <v>31312225</v>
      </c>
      <c r="CC83" s="230">
        <v>31549875</v>
      </c>
      <c r="CD83" s="230">
        <v>-237650</v>
      </c>
      <c r="CE83" s="229">
        <v>-7.4999999999999997E-3</v>
      </c>
      <c r="CF83" s="230">
        <v>3409175</v>
      </c>
      <c r="CG83" s="230">
        <v>2895900</v>
      </c>
      <c r="CH83" s="230">
        <v>513275</v>
      </c>
      <c r="CI83" s="229">
        <v>0.1772</v>
      </c>
      <c r="CJ83" s="230">
        <v>504700</v>
      </c>
      <c r="CK83" s="230">
        <v>471625</v>
      </c>
      <c r="CL83" s="230">
        <v>33075</v>
      </c>
      <c r="CM83" s="229">
        <v>7.0099999999999996E-2</v>
      </c>
      <c r="CN83" s="230">
        <v>24133725</v>
      </c>
      <c r="CO83" s="230">
        <v>23478350</v>
      </c>
      <c r="CP83" s="230">
        <v>655375</v>
      </c>
      <c r="CQ83" s="229">
        <v>2.7900000000000001E-2</v>
      </c>
      <c r="CR83" s="230">
        <v>13319425</v>
      </c>
      <c r="CS83" s="230">
        <v>13181000</v>
      </c>
      <c r="CT83" s="230">
        <v>138425</v>
      </c>
      <c r="CU83" s="229">
        <v>1.0500000000000001E-2</v>
      </c>
      <c r="CV83" s="230">
        <v>72679250</v>
      </c>
      <c r="CW83" s="230">
        <v>71576750</v>
      </c>
      <c r="CX83" s="230">
        <v>1102500</v>
      </c>
      <c r="CY83" s="229">
        <v>1.54E-2</v>
      </c>
      <c r="CZ83" s="228">
        <v>36.85</v>
      </c>
      <c r="DA83" s="228">
        <v>36.53</v>
      </c>
      <c r="DB83" s="228">
        <v>0.32</v>
      </c>
      <c r="DC83" s="228">
        <v>0.32</v>
      </c>
      <c r="DD83" s="228">
        <v>44.56</v>
      </c>
      <c r="DE83" s="228">
        <v>44.64</v>
      </c>
      <c r="DF83" s="228">
        <v>-7.71</v>
      </c>
      <c r="DG83" s="228">
        <v>-0.08</v>
      </c>
      <c r="DH83" s="228">
        <v>37.229999999999997</v>
      </c>
      <c r="DI83" s="228">
        <v>36.520000000000003</v>
      </c>
      <c r="DJ83" s="228">
        <v>0.71</v>
      </c>
      <c r="DK83" s="228">
        <v>0.71</v>
      </c>
      <c r="DL83" s="228">
        <v>35.76</v>
      </c>
      <c r="DM83" s="228">
        <v>36.57</v>
      </c>
      <c r="DN83" s="228">
        <v>-0.81</v>
      </c>
      <c r="DO83" s="228">
        <v>-0.81</v>
      </c>
      <c r="DP83" s="228">
        <v>0.55000000000000004</v>
      </c>
      <c r="DQ83" s="228">
        <v>0.56000000000000005</v>
      </c>
      <c r="DR83" s="228">
        <v>-0.01</v>
      </c>
      <c r="DS83" s="229">
        <v>-1.7899999999999999E-2</v>
      </c>
      <c r="DT83" s="228">
        <v>520</v>
      </c>
      <c r="DU83" s="228">
        <v>500</v>
      </c>
      <c r="DV83" s="228">
        <v>0.34</v>
      </c>
      <c r="DW83" s="228">
        <v>0.3</v>
      </c>
      <c r="DX83" s="228">
        <v>0.04</v>
      </c>
      <c r="DY83" s="229">
        <v>0.1333</v>
      </c>
      <c r="DZ83" s="229">
        <v>0.1111</v>
      </c>
      <c r="EA83" s="230">
        <v>3367525</v>
      </c>
      <c r="EB83" s="229">
        <v>5.5999999999999999E-3</v>
      </c>
      <c r="EC83" s="229">
        <v>0.1111</v>
      </c>
      <c r="ED83" s="228">
        <v>2.67</v>
      </c>
      <c r="EE83" s="229">
        <v>5.1999999999999998E-3</v>
      </c>
      <c r="EF83" s="230">
        <v>1402166</v>
      </c>
      <c r="EG83" s="230">
        <v>2611457</v>
      </c>
      <c r="EH83" s="229">
        <v>-0.46310000000000001</v>
      </c>
      <c r="EI83" s="229">
        <v>0.4073</v>
      </c>
      <c r="EJ83" s="231">
        <v>125131.33</v>
      </c>
      <c r="EK83" s="231">
        <v>40645.75</v>
      </c>
      <c r="EL83" s="231">
        <v>33535.65</v>
      </c>
      <c r="EM83" s="231">
        <v>13840</v>
      </c>
      <c r="EN83" s="231">
        <v>199312.73</v>
      </c>
      <c r="EO83" s="231">
        <v>328464.39</v>
      </c>
      <c r="EP83" s="231">
        <v>-129151.66</v>
      </c>
      <c r="EQ83" s="229">
        <v>-0.39319999999999999</v>
      </c>
      <c r="ER83" s="231">
        <v>126565</v>
      </c>
      <c r="ES83" s="231">
        <v>63564</v>
      </c>
      <c r="ET83" s="231">
        <v>179059</v>
      </c>
      <c r="EU83" s="231">
        <v>167680340</v>
      </c>
      <c r="EV83" s="231">
        <v>369188</v>
      </c>
      <c r="EW83" s="231">
        <v>365717</v>
      </c>
      <c r="EX83" s="231">
        <v>3471</v>
      </c>
      <c r="EY83" s="229">
        <v>9.4999999999999998E-3</v>
      </c>
      <c r="EZ83" s="229">
        <v>0.43340000000000001</v>
      </c>
      <c r="FA83" s="227" t="s">
        <v>567</v>
      </c>
      <c r="FB83" s="161">
        <f t="shared" si="1"/>
        <v>3913875</v>
      </c>
    </row>
    <row r="84" spans="1:158" ht="17.25" hidden="1" thickBot="1" x14ac:dyDescent="0.3">
      <c r="A84" s="226">
        <v>45946</v>
      </c>
      <c r="B84" s="227" t="s">
        <v>206</v>
      </c>
      <c r="C84" s="227" t="s">
        <v>608</v>
      </c>
      <c r="D84" s="228">
        <v>2775</v>
      </c>
      <c r="E84" s="228">
        <v>228.89</v>
      </c>
      <c r="F84" s="228">
        <v>229.88</v>
      </c>
      <c r="G84" s="228">
        <v>-0.99</v>
      </c>
      <c r="H84" s="229">
        <v>-4.3E-3</v>
      </c>
      <c r="I84" s="228">
        <v>227.99</v>
      </c>
      <c r="J84" s="228">
        <v>228.76</v>
      </c>
      <c r="K84" s="228">
        <v>-0.77</v>
      </c>
      <c r="L84" s="229">
        <v>-3.3999999999999998E-3</v>
      </c>
      <c r="M84" s="228">
        <v>228.89</v>
      </c>
      <c r="N84" s="228">
        <v>229.88</v>
      </c>
      <c r="O84" s="228">
        <v>-0.99</v>
      </c>
      <c r="P84" s="229">
        <v>-4.3E-3</v>
      </c>
      <c r="Q84" s="228">
        <v>230.15</v>
      </c>
      <c r="R84" s="228">
        <v>230.83</v>
      </c>
      <c r="S84" s="228">
        <v>-0.68</v>
      </c>
      <c r="T84" s="229">
        <v>-2.8999999999999998E-3</v>
      </c>
      <c r="U84" s="228">
        <v>231.58</v>
      </c>
      <c r="V84" s="228">
        <v>233.41</v>
      </c>
      <c r="W84" s="228">
        <v>-1.83</v>
      </c>
      <c r="X84" s="229">
        <v>-7.7999999999999996E-3</v>
      </c>
      <c r="Y84" s="228">
        <v>0.9</v>
      </c>
      <c r="Z84" s="228">
        <v>1.1200000000000001</v>
      </c>
      <c r="AA84" s="228">
        <v>-0.22</v>
      </c>
      <c r="AB84" s="229">
        <v>3.8999999999999998E-3</v>
      </c>
      <c r="AC84" s="228">
        <v>0.9</v>
      </c>
      <c r="AD84" s="228">
        <v>1.1200000000000001</v>
      </c>
      <c r="AE84" s="228">
        <v>-0.22</v>
      </c>
      <c r="AF84" s="229">
        <v>3.8999999999999998E-3</v>
      </c>
      <c r="AG84" s="228">
        <v>2.16</v>
      </c>
      <c r="AH84" s="228">
        <v>2.0699999999999998</v>
      </c>
      <c r="AI84" s="228">
        <v>0.09</v>
      </c>
      <c r="AJ84" s="229">
        <v>9.4999999999999998E-3</v>
      </c>
      <c r="AK84" s="228">
        <v>3.59</v>
      </c>
      <c r="AL84" s="228">
        <v>4.6500000000000004</v>
      </c>
      <c r="AM84" s="228">
        <v>-1.06</v>
      </c>
      <c r="AN84" s="229">
        <v>1.5699999999999999E-2</v>
      </c>
      <c r="AO84" s="228">
        <v>231.13</v>
      </c>
      <c r="AP84" s="228">
        <v>232.31</v>
      </c>
      <c r="AQ84" s="228">
        <v>0</v>
      </c>
      <c r="AR84" s="230">
        <v>4981125</v>
      </c>
      <c r="AS84" s="230">
        <v>5377950</v>
      </c>
      <c r="AT84" s="230">
        <v>-396825</v>
      </c>
      <c r="AU84" s="229">
        <v>-7.3800000000000004E-2</v>
      </c>
      <c r="AV84" s="230">
        <v>4193025</v>
      </c>
      <c r="AW84" s="230">
        <v>4972800</v>
      </c>
      <c r="AX84" s="230">
        <v>-779775</v>
      </c>
      <c r="AY84" s="229">
        <v>-0.15679999999999999</v>
      </c>
      <c r="AZ84" s="230">
        <v>749250</v>
      </c>
      <c r="BA84" s="230">
        <v>366300</v>
      </c>
      <c r="BB84" s="230">
        <v>382950</v>
      </c>
      <c r="BC84" s="229">
        <v>1.0455000000000001</v>
      </c>
      <c r="BD84" s="230">
        <v>38850</v>
      </c>
      <c r="BE84" s="230">
        <v>38850</v>
      </c>
      <c r="BF84" s="228">
        <v>0</v>
      </c>
      <c r="BG84" s="229">
        <v>0</v>
      </c>
      <c r="BH84" s="230">
        <v>19114200</v>
      </c>
      <c r="BI84" s="230">
        <v>14024850</v>
      </c>
      <c r="BJ84" s="230">
        <v>5089350</v>
      </c>
      <c r="BK84" s="229">
        <v>0.3629</v>
      </c>
      <c r="BL84" s="230">
        <v>6343650</v>
      </c>
      <c r="BM84" s="230">
        <v>6154950</v>
      </c>
      <c r="BN84" s="230">
        <v>188700</v>
      </c>
      <c r="BO84" s="229">
        <v>3.0700000000000002E-2</v>
      </c>
      <c r="BP84" s="230">
        <v>30438975</v>
      </c>
      <c r="BQ84" s="230">
        <v>25557750</v>
      </c>
      <c r="BR84" s="230">
        <v>4881225</v>
      </c>
      <c r="BS84" s="229">
        <v>0.191</v>
      </c>
      <c r="BT84" s="230">
        <v>2564345</v>
      </c>
      <c r="BU84" s="230">
        <v>2562232</v>
      </c>
      <c r="BV84" s="230">
        <v>2113</v>
      </c>
      <c r="BW84" s="229">
        <v>8.0000000000000004E-4</v>
      </c>
      <c r="BX84" s="230">
        <v>28185675</v>
      </c>
      <c r="BY84" s="230">
        <v>27738900</v>
      </c>
      <c r="BZ84" s="230">
        <v>446775</v>
      </c>
      <c r="CA84" s="229">
        <v>1.61E-2</v>
      </c>
      <c r="CB84" s="230">
        <v>26581725</v>
      </c>
      <c r="CC84" s="230">
        <v>26415225</v>
      </c>
      <c r="CD84" s="230">
        <v>166500</v>
      </c>
      <c r="CE84" s="229">
        <v>6.3E-3</v>
      </c>
      <c r="CF84" s="230">
        <v>1467975</v>
      </c>
      <c r="CG84" s="230">
        <v>1207125</v>
      </c>
      <c r="CH84" s="230">
        <v>260850</v>
      </c>
      <c r="CI84" s="229">
        <v>0.21609999999999999</v>
      </c>
      <c r="CJ84" s="230">
        <v>135975</v>
      </c>
      <c r="CK84" s="230">
        <v>116550</v>
      </c>
      <c r="CL84" s="230">
        <v>19425</v>
      </c>
      <c r="CM84" s="229">
        <v>0.16669999999999999</v>
      </c>
      <c r="CN84" s="230">
        <v>17787750</v>
      </c>
      <c r="CO84" s="230">
        <v>16133850</v>
      </c>
      <c r="CP84" s="230">
        <v>1653900</v>
      </c>
      <c r="CQ84" s="229">
        <v>0.10249999999999999</v>
      </c>
      <c r="CR84" s="230">
        <v>8749575</v>
      </c>
      <c r="CS84" s="230">
        <v>8338875</v>
      </c>
      <c r="CT84" s="230">
        <v>410700</v>
      </c>
      <c r="CU84" s="229">
        <v>4.9299999999999997E-2</v>
      </c>
      <c r="CV84" s="230">
        <v>54723000</v>
      </c>
      <c r="CW84" s="230">
        <v>52211625</v>
      </c>
      <c r="CX84" s="230">
        <v>2511375</v>
      </c>
      <c r="CY84" s="229">
        <v>4.8099999999999997E-2</v>
      </c>
      <c r="CZ84" s="228">
        <v>31.71</v>
      </c>
      <c r="DA84" s="228">
        <v>31.15</v>
      </c>
      <c r="DB84" s="228">
        <v>0.56000000000000005</v>
      </c>
      <c r="DC84" s="228">
        <v>0.56000000000000005</v>
      </c>
      <c r="DD84" s="228">
        <v>53.49</v>
      </c>
      <c r="DE84" s="228">
        <v>53.62</v>
      </c>
      <c r="DF84" s="228">
        <v>-21.78</v>
      </c>
      <c r="DG84" s="228">
        <v>-0.13</v>
      </c>
      <c r="DH84" s="228">
        <v>32.24</v>
      </c>
      <c r="DI84" s="228">
        <v>31.32</v>
      </c>
      <c r="DJ84" s="228">
        <v>0.92</v>
      </c>
      <c r="DK84" s="228">
        <v>0.92</v>
      </c>
      <c r="DL84" s="228">
        <v>30.1</v>
      </c>
      <c r="DM84" s="228">
        <v>30.76</v>
      </c>
      <c r="DN84" s="228">
        <v>-0.66</v>
      </c>
      <c r="DO84" s="228">
        <v>-0.66</v>
      </c>
      <c r="DP84" s="228">
        <v>0.49</v>
      </c>
      <c r="DQ84" s="228">
        <v>0.52</v>
      </c>
      <c r="DR84" s="228">
        <v>-0.03</v>
      </c>
      <c r="DS84" s="229">
        <v>-5.7700000000000001E-2</v>
      </c>
      <c r="DT84" s="228">
        <v>240</v>
      </c>
      <c r="DU84" s="228">
        <v>230</v>
      </c>
      <c r="DV84" s="228">
        <v>0.33</v>
      </c>
      <c r="DW84" s="228">
        <v>0.44</v>
      </c>
      <c r="DX84" s="228">
        <v>-0.11</v>
      </c>
      <c r="DY84" s="229">
        <v>-0.25</v>
      </c>
      <c r="DZ84" s="229">
        <v>5.6899999999999999E-2</v>
      </c>
      <c r="EA84" s="230">
        <v>1323675</v>
      </c>
      <c r="EB84" s="229">
        <v>5.4999999999999997E-3</v>
      </c>
      <c r="EC84" s="229">
        <v>5.6899999999999999E-2</v>
      </c>
      <c r="ED84" s="228">
        <v>1.18</v>
      </c>
      <c r="EE84" s="229">
        <v>5.1000000000000004E-3</v>
      </c>
      <c r="EF84" s="230">
        <v>759452</v>
      </c>
      <c r="EG84" s="230">
        <v>1175149</v>
      </c>
      <c r="EH84" s="229">
        <v>-0.35370000000000001</v>
      </c>
      <c r="EI84" s="229">
        <v>0.29620000000000002</v>
      </c>
      <c r="EJ84" s="231">
        <v>46018.33</v>
      </c>
      <c r="EK84" s="231">
        <v>14608.17</v>
      </c>
      <c r="EL84" s="231">
        <v>11522.89</v>
      </c>
      <c r="EM84" s="231">
        <v>1947</v>
      </c>
      <c r="EN84" s="231">
        <v>72149.39</v>
      </c>
      <c r="EO84" s="231">
        <v>59843.8</v>
      </c>
      <c r="EP84" s="231">
        <v>12305.59</v>
      </c>
      <c r="EQ84" s="229">
        <v>0.2056</v>
      </c>
      <c r="ER84" s="231">
        <v>42881</v>
      </c>
      <c r="ES84" s="231">
        <v>19678</v>
      </c>
      <c r="ET84" s="231">
        <v>64536</v>
      </c>
      <c r="EU84" s="231">
        <v>75071250</v>
      </c>
      <c r="EV84" s="231">
        <v>127096</v>
      </c>
      <c r="EW84" s="231">
        <v>121456</v>
      </c>
      <c r="EX84" s="231">
        <v>5640</v>
      </c>
      <c r="EY84" s="229">
        <v>4.6399999999999997E-2</v>
      </c>
      <c r="EZ84" s="229">
        <v>0.72889999999999999</v>
      </c>
      <c r="FA84" s="227" t="s">
        <v>567</v>
      </c>
      <c r="FB84" s="161">
        <f t="shared" si="1"/>
        <v>1603950</v>
      </c>
    </row>
    <row r="85" spans="1:158" ht="17.25" hidden="1" thickBot="1" x14ac:dyDescent="0.3">
      <c r="A85" s="226">
        <v>45946</v>
      </c>
      <c r="B85" s="227" t="s">
        <v>172</v>
      </c>
      <c r="C85" s="227" t="s">
        <v>232</v>
      </c>
      <c r="D85" s="228">
        <v>700</v>
      </c>
      <c r="E85" s="231">
        <v>1419</v>
      </c>
      <c r="F85" s="231">
        <v>1401</v>
      </c>
      <c r="G85" s="228">
        <v>18</v>
      </c>
      <c r="H85" s="229">
        <v>1.2800000000000001E-2</v>
      </c>
      <c r="I85" s="231">
        <v>1417.3</v>
      </c>
      <c r="J85" s="231">
        <v>1398.4</v>
      </c>
      <c r="K85" s="228">
        <v>18.899999999999999</v>
      </c>
      <c r="L85" s="229">
        <v>1.35E-2</v>
      </c>
      <c r="M85" s="231">
        <v>1419</v>
      </c>
      <c r="N85" s="231">
        <v>1401</v>
      </c>
      <c r="O85" s="228">
        <v>18</v>
      </c>
      <c r="P85" s="229">
        <v>1.2800000000000001E-2</v>
      </c>
      <c r="Q85" s="231">
        <v>1426.7</v>
      </c>
      <c r="R85" s="231">
        <v>1408.7</v>
      </c>
      <c r="S85" s="228">
        <v>18</v>
      </c>
      <c r="T85" s="229">
        <v>1.2800000000000001E-2</v>
      </c>
      <c r="U85" s="231">
        <v>1436.8</v>
      </c>
      <c r="V85" s="231">
        <v>1416.2</v>
      </c>
      <c r="W85" s="228">
        <v>20.6</v>
      </c>
      <c r="X85" s="229">
        <v>1.4500000000000001E-2</v>
      </c>
      <c r="Y85" s="228">
        <v>1.7</v>
      </c>
      <c r="Z85" s="228">
        <v>2.6</v>
      </c>
      <c r="AA85" s="228">
        <v>-0.9</v>
      </c>
      <c r="AB85" s="229">
        <v>1.1999999999999999E-3</v>
      </c>
      <c r="AC85" s="228">
        <v>1.7</v>
      </c>
      <c r="AD85" s="228">
        <v>2.6</v>
      </c>
      <c r="AE85" s="228">
        <v>-0.9</v>
      </c>
      <c r="AF85" s="229">
        <v>1.1999999999999999E-3</v>
      </c>
      <c r="AG85" s="228">
        <v>9.4</v>
      </c>
      <c r="AH85" s="228">
        <v>10.3</v>
      </c>
      <c r="AI85" s="228">
        <v>-0.9</v>
      </c>
      <c r="AJ85" s="229">
        <v>6.6E-3</v>
      </c>
      <c r="AK85" s="228">
        <v>19.5</v>
      </c>
      <c r="AL85" s="228">
        <v>17.8</v>
      </c>
      <c r="AM85" s="228">
        <v>1.7</v>
      </c>
      <c r="AN85" s="229">
        <v>1.38E-2</v>
      </c>
      <c r="AO85" s="231">
        <v>1413.2</v>
      </c>
      <c r="AP85" s="231">
        <v>1419.84</v>
      </c>
      <c r="AQ85" s="228">
        <v>0</v>
      </c>
      <c r="AR85" s="230">
        <v>21764400</v>
      </c>
      <c r="AS85" s="230">
        <v>11944800</v>
      </c>
      <c r="AT85" s="230">
        <v>9819600</v>
      </c>
      <c r="AU85" s="229">
        <v>0.82210000000000005</v>
      </c>
      <c r="AV85" s="230">
        <v>19135200</v>
      </c>
      <c r="AW85" s="230">
        <v>10610600</v>
      </c>
      <c r="AX85" s="230">
        <v>8524600</v>
      </c>
      <c r="AY85" s="229">
        <v>0.8034</v>
      </c>
      <c r="AZ85" s="230">
        <v>2452800</v>
      </c>
      <c r="BA85" s="230">
        <v>1278900</v>
      </c>
      <c r="BB85" s="230">
        <v>1173900</v>
      </c>
      <c r="BC85" s="229">
        <v>0.91790000000000005</v>
      </c>
      <c r="BD85" s="230">
        <v>176400</v>
      </c>
      <c r="BE85" s="230">
        <v>55300</v>
      </c>
      <c r="BF85" s="230">
        <v>121100</v>
      </c>
      <c r="BG85" s="229">
        <v>2.1899000000000002</v>
      </c>
      <c r="BH85" s="230">
        <v>44915500</v>
      </c>
      <c r="BI85" s="230">
        <v>30542400</v>
      </c>
      <c r="BJ85" s="230">
        <v>14373100</v>
      </c>
      <c r="BK85" s="229">
        <v>0.47060000000000002</v>
      </c>
      <c r="BL85" s="230">
        <v>22805300</v>
      </c>
      <c r="BM85" s="230">
        <v>21427700</v>
      </c>
      <c r="BN85" s="230">
        <v>1377600</v>
      </c>
      <c r="BO85" s="229">
        <v>6.4299999999999996E-2</v>
      </c>
      <c r="BP85" s="230">
        <v>89485200</v>
      </c>
      <c r="BQ85" s="230">
        <v>63914900</v>
      </c>
      <c r="BR85" s="230">
        <v>25570300</v>
      </c>
      <c r="BS85" s="229">
        <v>0.40010000000000001</v>
      </c>
      <c r="BT85" s="230">
        <v>13615454</v>
      </c>
      <c r="BU85" s="230">
        <v>9769615</v>
      </c>
      <c r="BV85" s="230">
        <v>3845839</v>
      </c>
      <c r="BW85" s="229">
        <v>0.39369999999999999</v>
      </c>
      <c r="BX85" s="230">
        <v>109662000</v>
      </c>
      <c r="BY85" s="230">
        <v>112254100</v>
      </c>
      <c r="BZ85" s="230">
        <v>-2592100</v>
      </c>
      <c r="CA85" s="229">
        <v>-2.3099999999999999E-2</v>
      </c>
      <c r="CB85" s="230">
        <v>102372200</v>
      </c>
      <c r="CC85" s="230">
        <v>106248100</v>
      </c>
      <c r="CD85" s="230">
        <v>-3875900</v>
      </c>
      <c r="CE85" s="229">
        <v>-3.6499999999999998E-2</v>
      </c>
      <c r="CF85" s="230">
        <v>6178900</v>
      </c>
      <c r="CG85" s="230">
        <v>4997300</v>
      </c>
      <c r="CH85" s="230">
        <v>1181600</v>
      </c>
      <c r="CI85" s="229">
        <v>0.2364</v>
      </c>
      <c r="CJ85" s="230">
        <v>1110900</v>
      </c>
      <c r="CK85" s="230">
        <v>1008700</v>
      </c>
      <c r="CL85" s="230">
        <v>102200</v>
      </c>
      <c r="CM85" s="229">
        <v>0.1013</v>
      </c>
      <c r="CN85" s="230">
        <v>24134600</v>
      </c>
      <c r="CO85" s="230">
        <v>24211600</v>
      </c>
      <c r="CP85" s="230">
        <v>-77000</v>
      </c>
      <c r="CQ85" s="229">
        <v>-3.2000000000000002E-3</v>
      </c>
      <c r="CR85" s="230">
        <v>19485200</v>
      </c>
      <c r="CS85" s="230">
        <v>19336100</v>
      </c>
      <c r="CT85" s="230">
        <v>149100</v>
      </c>
      <c r="CU85" s="229">
        <v>7.7000000000000002E-3</v>
      </c>
      <c r="CV85" s="230">
        <v>153281800</v>
      </c>
      <c r="CW85" s="230">
        <v>155801800</v>
      </c>
      <c r="CX85" s="230">
        <v>-2520000</v>
      </c>
      <c r="CY85" s="229">
        <v>-1.6199999999999999E-2</v>
      </c>
      <c r="CZ85" s="228">
        <v>20.89</v>
      </c>
      <c r="DA85" s="228">
        <v>20.96</v>
      </c>
      <c r="DB85" s="228">
        <v>-7.0000000000000007E-2</v>
      </c>
      <c r="DC85" s="228">
        <v>-7.0000000000000007E-2</v>
      </c>
      <c r="DD85" s="228">
        <v>20.89</v>
      </c>
      <c r="DE85" s="228">
        <v>20.86</v>
      </c>
      <c r="DF85" s="228">
        <v>0</v>
      </c>
      <c r="DG85" s="228">
        <v>0.03</v>
      </c>
      <c r="DH85" s="228">
        <v>20.43</v>
      </c>
      <c r="DI85" s="228">
        <v>20.45</v>
      </c>
      <c r="DJ85" s="228">
        <v>-0.02</v>
      </c>
      <c r="DK85" s="228">
        <v>-0.02</v>
      </c>
      <c r="DL85" s="228">
        <v>21.79</v>
      </c>
      <c r="DM85" s="228">
        <v>21.69</v>
      </c>
      <c r="DN85" s="228">
        <v>0.1</v>
      </c>
      <c r="DO85" s="228">
        <v>0.1</v>
      </c>
      <c r="DP85" s="228">
        <v>0.81</v>
      </c>
      <c r="DQ85" s="228">
        <v>0.8</v>
      </c>
      <c r="DR85" s="228">
        <v>0.01</v>
      </c>
      <c r="DS85" s="229">
        <v>1.2500000000000001E-2</v>
      </c>
      <c r="DT85" s="231">
        <v>1400</v>
      </c>
      <c r="DU85" s="231">
        <v>1400</v>
      </c>
      <c r="DV85" s="228">
        <v>0.51</v>
      </c>
      <c r="DW85" s="228">
        <v>0.7</v>
      </c>
      <c r="DX85" s="228">
        <v>-0.19</v>
      </c>
      <c r="DY85" s="229">
        <v>-0.27139999999999997</v>
      </c>
      <c r="DZ85" s="229">
        <v>6.6500000000000004E-2</v>
      </c>
      <c r="EA85" s="230">
        <v>6006000</v>
      </c>
      <c r="EB85" s="229">
        <v>5.4000000000000003E-3</v>
      </c>
      <c r="EC85" s="229">
        <v>6.6500000000000004E-2</v>
      </c>
      <c r="ED85" s="228">
        <v>6.64</v>
      </c>
      <c r="EE85" s="229">
        <v>4.7000000000000002E-3</v>
      </c>
      <c r="EF85" s="230">
        <v>8709028</v>
      </c>
      <c r="EG85" s="230">
        <v>5828465</v>
      </c>
      <c r="EH85" s="229">
        <v>0.49419999999999997</v>
      </c>
      <c r="EI85" s="229">
        <v>0.63959999999999995</v>
      </c>
      <c r="EJ85" s="231">
        <v>650210.9</v>
      </c>
      <c r="EK85" s="231">
        <v>316072.2</v>
      </c>
      <c r="EL85" s="231">
        <v>307768.19</v>
      </c>
      <c r="EM85" s="231">
        <v>15645</v>
      </c>
      <c r="EN85" s="231">
        <v>1274051.29</v>
      </c>
      <c r="EO85" s="231">
        <v>901336.03</v>
      </c>
      <c r="EP85" s="231">
        <v>372715.26</v>
      </c>
      <c r="EQ85" s="229">
        <v>0.41349999999999998</v>
      </c>
      <c r="ER85" s="231">
        <v>343582</v>
      </c>
      <c r="ES85" s="231">
        <v>266308</v>
      </c>
      <c r="ET85" s="231">
        <v>1556777</v>
      </c>
      <c r="EU85" s="231">
        <v>579785172</v>
      </c>
      <c r="EV85" s="231">
        <v>2166668</v>
      </c>
      <c r="EW85" s="231">
        <v>2179564</v>
      </c>
      <c r="EX85" s="231">
        <v>-12896</v>
      </c>
      <c r="EY85" s="229">
        <v>-5.8999999999999999E-3</v>
      </c>
      <c r="EZ85" s="229">
        <v>0.26440000000000002</v>
      </c>
      <c r="FA85" s="227" t="s">
        <v>556</v>
      </c>
      <c r="FB85" s="161">
        <f t="shared" si="1"/>
        <v>7289800</v>
      </c>
    </row>
    <row r="86" spans="1:158" ht="17.25" hidden="1" thickBot="1" x14ac:dyDescent="0.3">
      <c r="A86" s="226">
        <v>45946</v>
      </c>
      <c r="B86" s="227" t="s">
        <v>175</v>
      </c>
      <c r="C86" s="227" t="s">
        <v>472</v>
      </c>
      <c r="D86" s="228">
        <v>325</v>
      </c>
      <c r="E86" s="231">
        <v>2005.3</v>
      </c>
      <c r="F86" s="231">
        <v>2019</v>
      </c>
      <c r="G86" s="228">
        <v>-13.7</v>
      </c>
      <c r="H86" s="229">
        <v>-6.7999999999999996E-3</v>
      </c>
      <c r="I86" s="231">
        <v>2010.1</v>
      </c>
      <c r="J86" s="231">
        <v>2020.3</v>
      </c>
      <c r="K86" s="228">
        <v>-10.199999999999999</v>
      </c>
      <c r="L86" s="229">
        <v>-5.0000000000000001E-3</v>
      </c>
      <c r="M86" s="231">
        <v>2005.3</v>
      </c>
      <c r="N86" s="231">
        <v>2019</v>
      </c>
      <c r="O86" s="228">
        <v>-13.7</v>
      </c>
      <c r="P86" s="229">
        <v>-6.7999999999999996E-3</v>
      </c>
      <c r="Q86" s="231">
        <v>2016.8</v>
      </c>
      <c r="R86" s="231">
        <v>2028.8</v>
      </c>
      <c r="S86" s="228">
        <v>-12</v>
      </c>
      <c r="T86" s="229">
        <v>-5.8999999999999999E-3</v>
      </c>
      <c r="U86" s="231">
        <v>2027.8</v>
      </c>
      <c r="V86" s="231">
        <v>2037.3</v>
      </c>
      <c r="W86" s="228">
        <v>-9.5</v>
      </c>
      <c r="X86" s="229">
        <v>-4.7000000000000002E-3</v>
      </c>
      <c r="Y86" s="228">
        <v>-4.8</v>
      </c>
      <c r="Z86" s="228">
        <v>-1.3</v>
      </c>
      <c r="AA86" s="228">
        <v>-3.5</v>
      </c>
      <c r="AB86" s="229">
        <v>-2.3999999999999998E-3</v>
      </c>
      <c r="AC86" s="228">
        <v>-4.8</v>
      </c>
      <c r="AD86" s="228">
        <v>-1.3</v>
      </c>
      <c r="AE86" s="228">
        <v>-3.5</v>
      </c>
      <c r="AF86" s="229">
        <v>-2.3999999999999998E-3</v>
      </c>
      <c r="AG86" s="228">
        <v>6.7</v>
      </c>
      <c r="AH86" s="228">
        <v>8.5</v>
      </c>
      <c r="AI86" s="228">
        <v>-1.8</v>
      </c>
      <c r="AJ86" s="229">
        <v>3.3E-3</v>
      </c>
      <c r="AK86" s="228">
        <v>17.7</v>
      </c>
      <c r="AL86" s="228">
        <v>17</v>
      </c>
      <c r="AM86" s="228">
        <v>0.7</v>
      </c>
      <c r="AN86" s="229">
        <v>8.8000000000000005E-3</v>
      </c>
      <c r="AO86" s="231">
        <v>2010.06</v>
      </c>
      <c r="AP86" s="231">
        <v>2021.01</v>
      </c>
      <c r="AQ86" s="228">
        <v>0</v>
      </c>
      <c r="AR86" s="230">
        <v>1442675</v>
      </c>
      <c r="AS86" s="230">
        <v>5572775</v>
      </c>
      <c r="AT86" s="230">
        <v>-4130100</v>
      </c>
      <c r="AU86" s="229">
        <v>-0.74109999999999998</v>
      </c>
      <c r="AV86" s="230">
        <v>1298050</v>
      </c>
      <c r="AW86" s="230">
        <v>5151900</v>
      </c>
      <c r="AX86" s="230">
        <v>-3853850</v>
      </c>
      <c r="AY86" s="229">
        <v>-0.748</v>
      </c>
      <c r="AZ86" s="230">
        <v>135850</v>
      </c>
      <c r="BA86" s="230">
        <v>395850</v>
      </c>
      <c r="BB86" s="230">
        <v>-260000</v>
      </c>
      <c r="BC86" s="229">
        <v>-0.65680000000000005</v>
      </c>
      <c r="BD86" s="230">
        <v>8775</v>
      </c>
      <c r="BE86" s="230">
        <v>25025</v>
      </c>
      <c r="BF86" s="230">
        <v>-16250</v>
      </c>
      <c r="BG86" s="229">
        <v>-0.64939999999999998</v>
      </c>
      <c r="BH86" s="230">
        <v>8179600</v>
      </c>
      <c r="BI86" s="230">
        <v>50793275</v>
      </c>
      <c r="BJ86" s="230">
        <v>-42613675</v>
      </c>
      <c r="BK86" s="229">
        <v>-0.83899999999999997</v>
      </c>
      <c r="BL86" s="230">
        <v>6546150</v>
      </c>
      <c r="BM86" s="230">
        <v>23254075</v>
      </c>
      <c r="BN86" s="230">
        <v>-16707925</v>
      </c>
      <c r="BO86" s="229">
        <v>-0.71850000000000003</v>
      </c>
      <c r="BP86" s="230">
        <v>16168425</v>
      </c>
      <c r="BQ86" s="230">
        <v>79620125</v>
      </c>
      <c r="BR86" s="230">
        <v>-63451700</v>
      </c>
      <c r="BS86" s="229">
        <v>-0.79690000000000005</v>
      </c>
      <c r="BT86" s="230">
        <v>896738</v>
      </c>
      <c r="BU86" s="230">
        <v>7555694</v>
      </c>
      <c r="BV86" s="230">
        <v>-6658956</v>
      </c>
      <c r="BW86" s="229">
        <v>-0.88129999999999997</v>
      </c>
      <c r="BX86" s="230">
        <v>6067100</v>
      </c>
      <c r="BY86" s="230">
        <v>6359600</v>
      </c>
      <c r="BZ86" s="230">
        <v>-292500</v>
      </c>
      <c r="CA86" s="229">
        <v>-4.5999999999999999E-2</v>
      </c>
      <c r="CB86" s="230">
        <v>5793450</v>
      </c>
      <c r="CC86" s="230">
        <v>6120400</v>
      </c>
      <c r="CD86" s="230">
        <v>-326950</v>
      </c>
      <c r="CE86" s="229">
        <v>-5.3400000000000003E-2</v>
      </c>
      <c r="CF86" s="230">
        <v>260000</v>
      </c>
      <c r="CG86" s="230">
        <v>225875</v>
      </c>
      <c r="CH86" s="230">
        <v>34125</v>
      </c>
      <c r="CI86" s="229">
        <v>0.15110000000000001</v>
      </c>
      <c r="CJ86" s="230">
        <v>13650</v>
      </c>
      <c r="CK86" s="230">
        <v>13325</v>
      </c>
      <c r="CL86" s="228">
        <v>325</v>
      </c>
      <c r="CM86" s="229">
        <v>2.4400000000000002E-2</v>
      </c>
      <c r="CN86" s="230">
        <v>2409225</v>
      </c>
      <c r="CO86" s="230">
        <v>3401125</v>
      </c>
      <c r="CP86" s="230">
        <v>-991900</v>
      </c>
      <c r="CQ86" s="229">
        <v>-0.29160000000000003</v>
      </c>
      <c r="CR86" s="230">
        <v>3628625</v>
      </c>
      <c r="CS86" s="230">
        <v>4192500</v>
      </c>
      <c r="CT86" s="230">
        <v>-563875</v>
      </c>
      <c r="CU86" s="229">
        <v>-0.13450000000000001</v>
      </c>
      <c r="CV86" s="230">
        <v>12104950</v>
      </c>
      <c r="CW86" s="230">
        <v>13953225</v>
      </c>
      <c r="CX86" s="230">
        <v>-1848275</v>
      </c>
      <c r="CY86" s="229">
        <v>-0.13250000000000001</v>
      </c>
      <c r="CZ86" s="228">
        <v>24.46</v>
      </c>
      <c r="DA86" s="228">
        <v>26.99</v>
      </c>
      <c r="DB86" s="228">
        <v>-2.5299999999999998</v>
      </c>
      <c r="DC86" s="228">
        <v>-2.5299999999999998</v>
      </c>
      <c r="DD86" s="228">
        <v>30.27</v>
      </c>
      <c r="DE86" s="228">
        <v>30.34</v>
      </c>
      <c r="DF86" s="228">
        <v>-5.81</v>
      </c>
      <c r="DG86" s="228">
        <v>-7.0000000000000007E-2</v>
      </c>
      <c r="DH86" s="228">
        <v>23.91</v>
      </c>
      <c r="DI86" s="228">
        <v>25.97</v>
      </c>
      <c r="DJ86" s="228">
        <v>-2.06</v>
      </c>
      <c r="DK86" s="228">
        <v>-2.06</v>
      </c>
      <c r="DL86" s="228">
        <v>25.14</v>
      </c>
      <c r="DM86" s="228">
        <v>29.21</v>
      </c>
      <c r="DN86" s="228">
        <v>-4.07</v>
      </c>
      <c r="DO86" s="228">
        <v>-4.07</v>
      </c>
      <c r="DP86" s="228">
        <v>1.51</v>
      </c>
      <c r="DQ86" s="228">
        <v>1.23</v>
      </c>
      <c r="DR86" s="228">
        <v>0.28000000000000003</v>
      </c>
      <c r="DS86" s="229">
        <v>0.2276</v>
      </c>
      <c r="DT86" s="231">
        <v>2000</v>
      </c>
      <c r="DU86" s="231">
        <v>1900</v>
      </c>
      <c r="DV86" s="228">
        <v>0.8</v>
      </c>
      <c r="DW86" s="228">
        <v>0.46</v>
      </c>
      <c r="DX86" s="228">
        <v>0.34</v>
      </c>
      <c r="DY86" s="229">
        <v>0.73909999999999998</v>
      </c>
      <c r="DZ86" s="229">
        <v>4.5100000000000001E-2</v>
      </c>
      <c r="EA86" s="230">
        <v>239200</v>
      </c>
      <c r="EB86" s="229">
        <v>5.7000000000000002E-3</v>
      </c>
      <c r="EC86" s="229">
        <v>4.5100000000000001E-2</v>
      </c>
      <c r="ED86" s="228">
        <v>10.95</v>
      </c>
      <c r="EE86" s="229">
        <v>5.4000000000000003E-3</v>
      </c>
      <c r="EF86" s="230">
        <v>303648</v>
      </c>
      <c r="EG86" s="230">
        <v>2076203</v>
      </c>
      <c r="EH86" s="229">
        <v>-0.85370000000000001</v>
      </c>
      <c r="EI86" s="229">
        <v>0.33860000000000001</v>
      </c>
      <c r="EJ86" s="231">
        <v>170249.09</v>
      </c>
      <c r="EK86" s="231">
        <v>128683.21</v>
      </c>
      <c r="EL86" s="231">
        <v>29015.25</v>
      </c>
      <c r="EM86" s="231">
        <v>5415</v>
      </c>
      <c r="EN86" s="231">
        <v>327947.55</v>
      </c>
      <c r="EO86" s="231">
        <v>1606957.22</v>
      </c>
      <c r="EP86" s="231">
        <v>-1279009.67</v>
      </c>
      <c r="EQ86" s="229">
        <v>-0.79590000000000005</v>
      </c>
      <c r="ER86" s="231">
        <v>48979</v>
      </c>
      <c r="ES86" s="231">
        <v>69179</v>
      </c>
      <c r="ET86" s="231">
        <v>121697</v>
      </c>
      <c r="EU86" s="231">
        <v>26688038</v>
      </c>
      <c r="EV86" s="231">
        <v>239855</v>
      </c>
      <c r="EW86" s="231">
        <v>277989</v>
      </c>
      <c r="EX86" s="231">
        <v>-38134</v>
      </c>
      <c r="EY86" s="229">
        <v>-0.13719999999999999</v>
      </c>
      <c r="EZ86" s="229">
        <v>0.4536</v>
      </c>
      <c r="FA86" s="227" t="s">
        <v>568</v>
      </c>
      <c r="FB86" s="161">
        <f t="shared" si="1"/>
        <v>273650</v>
      </c>
    </row>
    <row r="87" spans="1:158" ht="17.25" hidden="1" thickBot="1" x14ac:dyDescent="0.3">
      <c r="A87" s="226">
        <v>45946</v>
      </c>
      <c r="B87" s="227" t="s">
        <v>175</v>
      </c>
      <c r="C87" s="227" t="s">
        <v>233</v>
      </c>
      <c r="D87" s="228">
        <v>925</v>
      </c>
      <c r="E87" s="228">
        <v>589.20000000000005</v>
      </c>
      <c r="F87" s="228">
        <v>590.65</v>
      </c>
      <c r="G87" s="228">
        <v>-1.45</v>
      </c>
      <c r="H87" s="229">
        <v>-2.5000000000000001E-3</v>
      </c>
      <c r="I87" s="228">
        <v>587</v>
      </c>
      <c r="J87" s="228">
        <v>588</v>
      </c>
      <c r="K87" s="228">
        <v>-1</v>
      </c>
      <c r="L87" s="229">
        <v>-1.6999999999999999E-3</v>
      </c>
      <c r="M87" s="228">
        <v>589.20000000000005</v>
      </c>
      <c r="N87" s="228">
        <v>590.65</v>
      </c>
      <c r="O87" s="228">
        <v>-1.45</v>
      </c>
      <c r="P87" s="229">
        <v>-2.5000000000000001E-3</v>
      </c>
      <c r="Q87" s="228">
        <v>592.45000000000005</v>
      </c>
      <c r="R87" s="228">
        <v>594.15</v>
      </c>
      <c r="S87" s="228">
        <v>-1.7</v>
      </c>
      <c r="T87" s="229">
        <v>-2.8999999999999998E-3</v>
      </c>
      <c r="U87" s="228">
        <v>596.15</v>
      </c>
      <c r="V87" s="228">
        <v>598.20000000000005</v>
      </c>
      <c r="W87" s="228">
        <v>-2.0499999999999998</v>
      </c>
      <c r="X87" s="229">
        <v>-3.3999999999999998E-3</v>
      </c>
      <c r="Y87" s="228">
        <v>2.2000000000000002</v>
      </c>
      <c r="Z87" s="228">
        <v>2.65</v>
      </c>
      <c r="AA87" s="228">
        <v>-0.45</v>
      </c>
      <c r="AB87" s="229">
        <v>3.7000000000000002E-3</v>
      </c>
      <c r="AC87" s="228">
        <v>2.2000000000000002</v>
      </c>
      <c r="AD87" s="228">
        <v>2.65</v>
      </c>
      <c r="AE87" s="228">
        <v>-0.45</v>
      </c>
      <c r="AF87" s="229">
        <v>3.7000000000000002E-3</v>
      </c>
      <c r="AG87" s="228">
        <v>5.45</v>
      </c>
      <c r="AH87" s="228">
        <v>6.15</v>
      </c>
      <c r="AI87" s="228">
        <v>-0.7</v>
      </c>
      <c r="AJ87" s="229">
        <v>9.2999999999999992E-3</v>
      </c>
      <c r="AK87" s="228">
        <v>9.15</v>
      </c>
      <c r="AL87" s="228">
        <v>10.199999999999999</v>
      </c>
      <c r="AM87" s="228">
        <v>-1.05</v>
      </c>
      <c r="AN87" s="229">
        <v>1.5599999999999999E-2</v>
      </c>
      <c r="AO87" s="228">
        <v>588.64</v>
      </c>
      <c r="AP87" s="228">
        <v>591.77</v>
      </c>
      <c r="AQ87" s="228">
        <v>0</v>
      </c>
      <c r="AR87" s="230">
        <v>1977650</v>
      </c>
      <c r="AS87" s="230">
        <v>7183550</v>
      </c>
      <c r="AT87" s="230">
        <v>-5205900</v>
      </c>
      <c r="AU87" s="229">
        <v>-0.72470000000000001</v>
      </c>
      <c r="AV87" s="230">
        <v>1731600</v>
      </c>
      <c r="AW87" s="230">
        <v>6499050</v>
      </c>
      <c r="AX87" s="230">
        <v>-4767450</v>
      </c>
      <c r="AY87" s="229">
        <v>-0.73360000000000003</v>
      </c>
      <c r="AZ87" s="230">
        <v>236800</v>
      </c>
      <c r="BA87" s="230">
        <v>616975</v>
      </c>
      <c r="BB87" s="230">
        <v>-380175</v>
      </c>
      <c r="BC87" s="229">
        <v>-0.61619999999999997</v>
      </c>
      <c r="BD87" s="230">
        <v>9250</v>
      </c>
      <c r="BE87" s="230">
        <v>67525</v>
      </c>
      <c r="BF87" s="230">
        <v>-58275</v>
      </c>
      <c r="BG87" s="229">
        <v>-0.86299999999999999</v>
      </c>
      <c r="BH87" s="230">
        <v>9391525</v>
      </c>
      <c r="BI87" s="230">
        <v>37222925</v>
      </c>
      <c r="BJ87" s="230">
        <v>-27831400</v>
      </c>
      <c r="BK87" s="229">
        <v>-0.74770000000000003</v>
      </c>
      <c r="BL87" s="230">
        <v>3329075</v>
      </c>
      <c r="BM87" s="230">
        <v>16364175</v>
      </c>
      <c r="BN87" s="230">
        <v>-13035100</v>
      </c>
      <c r="BO87" s="229">
        <v>-0.79659999999999997</v>
      </c>
      <c r="BP87" s="230">
        <v>14698250</v>
      </c>
      <c r="BQ87" s="230">
        <v>60770650</v>
      </c>
      <c r="BR87" s="230">
        <v>-46072400</v>
      </c>
      <c r="BS87" s="229">
        <v>-0.7581</v>
      </c>
      <c r="BT87" s="230">
        <v>1907247</v>
      </c>
      <c r="BU87" s="230">
        <v>9472322</v>
      </c>
      <c r="BV87" s="230">
        <v>-7565075</v>
      </c>
      <c r="BW87" s="229">
        <v>-0.79869999999999997</v>
      </c>
      <c r="BX87" s="230">
        <v>12669725</v>
      </c>
      <c r="BY87" s="230">
        <v>12739100</v>
      </c>
      <c r="BZ87" s="230">
        <v>-69375</v>
      </c>
      <c r="CA87" s="229">
        <v>-5.4000000000000003E-3</v>
      </c>
      <c r="CB87" s="230">
        <v>12119350</v>
      </c>
      <c r="CC87" s="230">
        <v>12285850</v>
      </c>
      <c r="CD87" s="230">
        <v>-166500</v>
      </c>
      <c r="CE87" s="229">
        <v>-1.3599999999999999E-2</v>
      </c>
      <c r="CF87" s="230">
        <v>491175</v>
      </c>
      <c r="CG87" s="230">
        <v>395900</v>
      </c>
      <c r="CH87" s="230">
        <v>95275</v>
      </c>
      <c r="CI87" s="229">
        <v>0.2407</v>
      </c>
      <c r="CJ87" s="230">
        <v>59200</v>
      </c>
      <c r="CK87" s="230">
        <v>57350</v>
      </c>
      <c r="CL87" s="230">
        <v>1850</v>
      </c>
      <c r="CM87" s="229">
        <v>3.2300000000000002E-2</v>
      </c>
      <c r="CN87" s="230">
        <v>8100225</v>
      </c>
      <c r="CO87" s="230">
        <v>7902275</v>
      </c>
      <c r="CP87" s="230">
        <v>197950</v>
      </c>
      <c r="CQ87" s="229">
        <v>2.5000000000000001E-2</v>
      </c>
      <c r="CR87" s="230">
        <v>3567725</v>
      </c>
      <c r="CS87" s="230">
        <v>3621375</v>
      </c>
      <c r="CT87" s="230">
        <v>-53650</v>
      </c>
      <c r="CU87" s="229">
        <v>-1.4800000000000001E-2</v>
      </c>
      <c r="CV87" s="230">
        <v>24337675</v>
      </c>
      <c r="CW87" s="230">
        <v>24262750</v>
      </c>
      <c r="CX87" s="230">
        <v>74925</v>
      </c>
      <c r="CY87" s="229">
        <v>3.0999999999999999E-3</v>
      </c>
      <c r="CZ87" s="228">
        <v>23.44</v>
      </c>
      <c r="DA87" s="228">
        <v>24.13</v>
      </c>
      <c r="DB87" s="228">
        <v>-0.69</v>
      </c>
      <c r="DC87" s="228">
        <v>-0.69</v>
      </c>
      <c r="DD87" s="228">
        <v>28.13</v>
      </c>
      <c r="DE87" s="228">
        <v>28.2</v>
      </c>
      <c r="DF87" s="228">
        <v>-4.6900000000000004</v>
      </c>
      <c r="DG87" s="228">
        <v>-7.0000000000000007E-2</v>
      </c>
      <c r="DH87" s="228">
        <v>23.72</v>
      </c>
      <c r="DI87" s="228">
        <v>24.72</v>
      </c>
      <c r="DJ87" s="228">
        <v>-1</v>
      </c>
      <c r="DK87" s="228">
        <v>-1</v>
      </c>
      <c r="DL87" s="228">
        <v>22.66</v>
      </c>
      <c r="DM87" s="228">
        <v>22.77</v>
      </c>
      <c r="DN87" s="228">
        <v>-0.11</v>
      </c>
      <c r="DO87" s="228">
        <v>-0.11</v>
      </c>
      <c r="DP87" s="228">
        <v>0.44</v>
      </c>
      <c r="DQ87" s="228">
        <v>0.46</v>
      </c>
      <c r="DR87" s="228">
        <v>-0.02</v>
      </c>
      <c r="DS87" s="229">
        <v>-4.3499999999999997E-2</v>
      </c>
      <c r="DT87" s="228">
        <v>620</v>
      </c>
      <c r="DU87" s="228">
        <v>600</v>
      </c>
      <c r="DV87" s="228">
        <v>0.35</v>
      </c>
      <c r="DW87" s="228">
        <v>0.44</v>
      </c>
      <c r="DX87" s="228">
        <v>-0.09</v>
      </c>
      <c r="DY87" s="229">
        <v>-0.20449999999999999</v>
      </c>
      <c r="DZ87" s="229">
        <v>4.3400000000000001E-2</v>
      </c>
      <c r="EA87" s="230">
        <v>453250</v>
      </c>
      <c r="EB87" s="229">
        <v>5.4999999999999997E-3</v>
      </c>
      <c r="EC87" s="229">
        <v>4.3400000000000001E-2</v>
      </c>
      <c r="ED87" s="228">
        <v>3.13</v>
      </c>
      <c r="EE87" s="229">
        <v>5.3E-3</v>
      </c>
      <c r="EF87" s="230">
        <v>1340088</v>
      </c>
      <c r="EG87" s="230">
        <v>7101842</v>
      </c>
      <c r="EH87" s="229">
        <v>-0.81130000000000002</v>
      </c>
      <c r="EI87" s="229">
        <v>0.7026</v>
      </c>
      <c r="EJ87" s="231">
        <v>57238.59</v>
      </c>
      <c r="EK87" s="231">
        <v>19578</v>
      </c>
      <c r="EL87" s="231">
        <v>11649.22</v>
      </c>
      <c r="EM87" s="231">
        <v>4289</v>
      </c>
      <c r="EN87" s="231">
        <v>88465.81</v>
      </c>
      <c r="EO87" s="231">
        <v>367331.91</v>
      </c>
      <c r="EP87" s="231">
        <v>-278866.09999999998</v>
      </c>
      <c r="EQ87" s="229">
        <v>-0.75919999999999999</v>
      </c>
      <c r="ER87" s="231">
        <v>49886</v>
      </c>
      <c r="ES87" s="231">
        <v>20775</v>
      </c>
      <c r="ET87" s="231">
        <v>74670</v>
      </c>
      <c r="EU87" s="231">
        <v>48653643</v>
      </c>
      <c r="EV87" s="231">
        <v>145331</v>
      </c>
      <c r="EW87" s="231">
        <v>145081</v>
      </c>
      <c r="EX87" s="228">
        <v>250</v>
      </c>
      <c r="EY87" s="229">
        <v>1.6999999999999999E-3</v>
      </c>
      <c r="EZ87" s="229">
        <v>0.50019999999999998</v>
      </c>
      <c r="FA87" s="227" t="s">
        <v>568</v>
      </c>
      <c r="FB87" s="161">
        <f t="shared" si="1"/>
        <v>550375</v>
      </c>
    </row>
    <row r="88" spans="1:158" ht="17.25" hidden="1" thickBot="1" x14ac:dyDescent="0.3">
      <c r="A88" s="226">
        <v>45946</v>
      </c>
      <c r="B88" s="227" t="s">
        <v>188</v>
      </c>
      <c r="C88" s="227" t="s">
        <v>234</v>
      </c>
      <c r="D88" s="228">
        <v>71475</v>
      </c>
      <c r="E88" s="228">
        <v>8.8800000000000008</v>
      </c>
      <c r="F88" s="228">
        <v>8.8000000000000007</v>
      </c>
      <c r="G88" s="228">
        <v>0.08</v>
      </c>
      <c r="H88" s="229">
        <v>9.1000000000000004E-3</v>
      </c>
      <c r="I88" s="228">
        <v>8.85</v>
      </c>
      <c r="J88" s="228">
        <v>8.75</v>
      </c>
      <c r="K88" s="228">
        <v>0.1</v>
      </c>
      <c r="L88" s="229">
        <v>1.14E-2</v>
      </c>
      <c r="M88" s="228">
        <v>8.8800000000000008</v>
      </c>
      <c r="N88" s="228">
        <v>8.8000000000000007</v>
      </c>
      <c r="O88" s="228">
        <v>0.08</v>
      </c>
      <c r="P88" s="229">
        <v>9.1000000000000004E-3</v>
      </c>
      <c r="Q88" s="228">
        <v>8.94</v>
      </c>
      <c r="R88" s="228">
        <v>8.84</v>
      </c>
      <c r="S88" s="228">
        <v>0.1</v>
      </c>
      <c r="T88" s="229">
        <v>1.1299999999999999E-2</v>
      </c>
      <c r="U88" s="228">
        <v>9</v>
      </c>
      <c r="V88" s="228">
        <v>8.92</v>
      </c>
      <c r="W88" s="228">
        <v>0.08</v>
      </c>
      <c r="X88" s="229">
        <v>8.9999999999999993E-3</v>
      </c>
      <c r="Y88" s="228">
        <v>0.03</v>
      </c>
      <c r="Z88" s="228">
        <v>0.05</v>
      </c>
      <c r="AA88" s="228">
        <v>-0.02</v>
      </c>
      <c r="AB88" s="229">
        <v>3.3999999999999998E-3</v>
      </c>
      <c r="AC88" s="228">
        <v>0.03</v>
      </c>
      <c r="AD88" s="228">
        <v>0.05</v>
      </c>
      <c r="AE88" s="228">
        <v>-0.02</v>
      </c>
      <c r="AF88" s="229">
        <v>3.3999999999999998E-3</v>
      </c>
      <c r="AG88" s="228">
        <v>0.09</v>
      </c>
      <c r="AH88" s="228">
        <v>0.09</v>
      </c>
      <c r="AI88" s="228">
        <v>0</v>
      </c>
      <c r="AJ88" s="229">
        <v>1.0200000000000001E-2</v>
      </c>
      <c r="AK88" s="228">
        <v>0.15</v>
      </c>
      <c r="AL88" s="228">
        <v>0.17</v>
      </c>
      <c r="AM88" s="228">
        <v>-0.02</v>
      </c>
      <c r="AN88" s="229">
        <v>1.6899999999999998E-2</v>
      </c>
      <c r="AO88" s="228">
        <v>8.93</v>
      </c>
      <c r="AP88" s="228">
        <v>8.98</v>
      </c>
      <c r="AQ88" s="228">
        <v>0</v>
      </c>
      <c r="AR88" s="230">
        <v>677011200</v>
      </c>
      <c r="AS88" s="230">
        <v>1093781925</v>
      </c>
      <c r="AT88" s="230">
        <v>-416770725</v>
      </c>
      <c r="AU88" s="229">
        <v>-0.38100000000000001</v>
      </c>
      <c r="AV88" s="230">
        <v>507043650</v>
      </c>
      <c r="AW88" s="230">
        <v>928245825</v>
      </c>
      <c r="AX88" s="230">
        <v>-421202175</v>
      </c>
      <c r="AY88" s="229">
        <v>-0.45379999999999998</v>
      </c>
      <c r="AZ88" s="230">
        <v>153814200</v>
      </c>
      <c r="BA88" s="230">
        <v>138804450</v>
      </c>
      <c r="BB88" s="230">
        <v>15009750</v>
      </c>
      <c r="BC88" s="229">
        <v>0.1081</v>
      </c>
      <c r="BD88" s="230">
        <v>16153350</v>
      </c>
      <c r="BE88" s="230">
        <v>26731650</v>
      </c>
      <c r="BF88" s="230">
        <v>-10578300</v>
      </c>
      <c r="BG88" s="229">
        <v>-0.3957</v>
      </c>
      <c r="BH88" s="230">
        <v>720968325</v>
      </c>
      <c r="BI88" s="230">
        <v>1736127750</v>
      </c>
      <c r="BJ88" s="230">
        <v>-1015159425</v>
      </c>
      <c r="BK88" s="229">
        <v>-0.5847</v>
      </c>
      <c r="BL88" s="230">
        <v>293261925</v>
      </c>
      <c r="BM88" s="230">
        <v>326140425</v>
      </c>
      <c r="BN88" s="230">
        <v>-32878500</v>
      </c>
      <c r="BO88" s="229">
        <v>-0.1008</v>
      </c>
      <c r="BP88" s="230">
        <v>1691241450</v>
      </c>
      <c r="BQ88" s="230">
        <v>3156050100</v>
      </c>
      <c r="BR88" s="230">
        <v>-1464808650</v>
      </c>
      <c r="BS88" s="229">
        <v>-0.46410000000000001</v>
      </c>
      <c r="BT88" s="230">
        <v>628965143</v>
      </c>
      <c r="BU88" s="230">
        <v>819506237</v>
      </c>
      <c r="BV88" s="230">
        <v>-190541094</v>
      </c>
      <c r="BW88" s="229">
        <v>-0.23250000000000001</v>
      </c>
      <c r="BX88" s="230">
        <v>6503367300</v>
      </c>
      <c r="BY88" s="230">
        <v>6504582375</v>
      </c>
      <c r="BZ88" s="230">
        <v>-1215075</v>
      </c>
      <c r="CA88" s="229">
        <v>-2.0000000000000001E-4</v>
      </c>
      <c r="CB88" s="230">
        <v>5825498400</v>
      </c>
      <c r="CC88" s="230">
        <v>5866739475</v>
      </c>
      <c r="CD88" s="230">
        <v>-41241075</v>
      </c>
      <c r="CE88" s="229">
        <v>-7.0000000000000001E-3</v>
      </c>
      <c r="CF88" s="230">
        <v>585022875</v>
      </c>
      <c r="CG88" s="230">
        <v>546069000</v>
      </c>
      <c r="CH88" s="230">
        <v>38953875</v>
      </c>
      <c r="CI88" s="229">
        <v>7.1300000000000002E-2</v>
      </c>
      <c r="CJ88" s="230">
        <v>92846025</v>
      </c>
      <c r="CK88" s="230">
        <v>91773900</v>
      </c>
      <c r="CL88" s="230">
        <v>1072125</v>
      </c>
      <c r="CM88" s="229">
        <v>1.17E-2</v>
      </c>
      <c r="CN88" s="230">
        <v>2361819900</v>
      </c>
      <c r="CO88" s="230">
        <v>2347239000</v>
      </c>
      <c r="CP88" s="230">
        <v>14580900</v>
      </c>
      <c r="CQ88" s="229">
        <v>6.1999999999999998E-3</v>
      </c>
      <c r="CR88" s="230">
        <v>1331150400</v>
      </c>
      <c r="CS88" s="230">
        <v>1253028225</v>
      </c>
      <c r="CT88" s="230">
        <v>78122175</v>
      </c>
      <c r="CU88" s="229">
        <v>6.2300000000000001E-2</v>
      </c>
      <c r="CV88" s="230">
        <v>10196337600</v>
      </c>
      <c r="CW88" s="230">
        <v>10104849600</v>
      </c>
      <c r="CX88" s="230">
        <v>91488000</v>
      </c>
      <c r="CY88" s="229">
        <v>9.1000000000000004E-3</v>
      </c>
      <c r="CZ88" s="228">
        <v>66.680000000000007</v>
      </c>
      <c r="DA88" s="228">
        <v>71.2</v>
      </c>
      <c r="DB88" s="228">
        <v>-4.5199999999999996</v>
      </c>
      <c r="DC88" s="228">
        <v>-4.5199999999999996</v>
      </c>
      <c r="DD88" s="228">
        <v>68.38</v>
      </c>
      <c r="DE88" s="228">
        <v>68.540000000000006</v>
      </c>
      <c r="DF88" s="228">
        <v>-1.7</v>
      </c>
      <c r="DG88" s="228">
        <v>-0.16</v>
      </c>
      <c r="DH88" s="228">
        <v>67.62</v>
      </c>
      <c r="DI88" s="228">
        <v>71.83</v>
      </c>
      <c r="DJ88" s="228">
        <v>-4.21</v>
      </c>
      <c r="DK88" s="228">
        <v>-4.21</v>
      </c>
      <c r="DL88" s="228">
        <v>64.400000000000006</v>
      </c>
      <c r="DM88" s="228">
        <v>67.86</v>
      </c>
      <c r="DN88" s="228">
        <v>-3.46</v>
      </c>
      <c r="DO88" s="228">
        <v>-3.46</v>
      </c>
      <c r="DP88" s="228">
        <v>0.56000000000000005</v>
      </c>
      <c r="DQ88" s="228">
        <v>0.53</v>
      </c>
      <c r="DR88" s="228">
        <v>0.03</v>
      </c>
      <c r="DS88" s="229">
        <v>5.6599999999999998E-2</v>
      </c>
      <c r="DT88" s="228">
        <v>10</v>
      </c>
      <c r="DU88" s="228">
        <v>7</v>
      </c>
      <c r="DV88" s="228">
        <v>0.41</v>
      </c>
      <c r="DW88" s="228">
        <v>0.19</v>
      </c>
      <c r="DX88" s="228">
        <v>0.22</v>
      </c>
      <c r="DY88" s="229">
        <v>1.1578999999999999</v>
      </c>
      <c r="DZ88" s="229">
        <v>0.1042</v>
      </c>
      <c r="EA88" s="230">
        <v>637842900</v>
      </c>
      <c r="EB88" s="229">
        <v>6.7999999999999996E-3</v>
      </c>
      <c r="EC88" s="229">
        <v>0.1042</v>
      </c>
      <c r="ED88" s="228">
        <v>0.05</v>
      </c>
      <c r="EE88" s="229">
        <v>5.5999999999999999E-3</v>
      </c>
      <c r="EF88" s="230">
        <v>122157501</v>
      </c>
      <c r="EG88" s="230">
        <v>136376203</v>
      </c>
      <c r="EH88" s="229">
        <v>-0.1043</v>
      </c>
      <c r="EI88" s="229">
        <v>0.19420000000000001</v>
      </c>
      <c r="EJ88" s="231">
        <v>69995.12</v>
      </c>
      <c r="EK88" s="231">
        <v>26426.49</v>
      </c>
      <c r="EL88" s="231">
        <v>60537.23</v>
      </c>
      <c r="EM88" s="231">
        <v>14718</v>
      </c>
      <c r="EN88" s="231">
        <v>156958.84</v>
      </c>
      <c r="EO88" s="231">
        <v>293007.96999999997</v>
      </c>
      <c r="EP88" s="231">
        <v>-136049.13</v>
      </c>
      <c r="EQ88" s="229">
        <v>-0.46429999999999999</v>
      </c>
      <c r="ER88" s="231">
        <v>239719</v>
      </c>
      <c r="ES88" s="231">
        <v>102192</v>
      </c>
      <c r="ET88" s="231">
        <v>577961</v>
      </c>
      <c r="EU88" s="231">
        <v>8713529091</v>
      </c>
      <c r="EV88" s="231">
        <v>919872</v>
      </c>
      <c r="EW88" s="231">
        <v>906714</v>
      </c>
      <c r="EX88" s="231">
        <v>13158</v>
      </c>
      <c r="EY88" s="229">
        <v>1.4500000000000001E-2</v>
      </c>
      <c r="EZ88" s="229">
        <v>1.1701999999999999</v>
      </c>
      <c r="FA88" s="227" t="s">
        <v>556</v>
      </c>
      <c r="FB88" s="161">
        <f t="shared" si="1"/>
        <v>677868900</v>
      </c>
    </row>
    <row r="89" spans="1:158" ht="17.25" hidden="1" thickBot="1" x14ac:dyDescent="0.3">
      <c r="A89" s="226">
        <v>45946</v>
      </c>
      <c r="B89" s="227" t="s">
        <v>172</v>
      </c>
      <c r="C89" s="227" t="s">
        <v>235</v>
      </c>
      <c r="D89" s="228">
        <v>9275</v>
      </c>
      <c r="E89" s="228">
        <v>71.900000000000006</v>
      </c>
      <c r="F89" s="228">
        <v>73.17</v>
      </c>
      <c r="G89" s="228">
        <v>-1.27</v>
      </c>
      <c r="H89" s="229">
        <v>-1.7399999999999999E-2</v>
      </c>
      <c r="I89" s="228">
        <v>71.790000000000006</v>
      </c>
      <c r="J89" s="228">
        <v>72.97</v>
      </c>
      <c r="K89" s="228">
        <v>-1.18</v>
      </c>
      <c r="L89" s="229">
        <v>-1.6199999999999999E-2</v>
      </c>
      <c r="M89" s="228">
        <v>71.900000000000006</v>
      </c>
      <c r="N89" s="228">
        <v>73.17</v>
      </c>
      <c r="O89" s="228">
        <v>-1.27</v>
      </c>
      <c r="P89" s="229">
        <v>-1.7399999999999999E-2</v>
      </c>
      <c r="Q89" s="228">
        <v>72.31</v>
      </c>
      <c r="R89" s="228">
        <v>73.599999999999994</v>
      </c>
      <c r="S89" s="228">
        <v>-1.29</v>
      </c>
      <c r="T89" s="229">
        <v>-1.7500000000000002E-2</v>
      </c>
      <c r="U89" s="228">
        <v>72.790000000000006</v>
      </c>
      <c r="V89" s="228">
        <v>74.040000000000006</v>
      </c>
      <c r="W89" s="228">
        <v>-1.25</v>
      </c>
      <c r="X89" s="229">
        <v>-1.6899999999999998E-2</v>
      </c>
      <c r="Y89" s="228">
        <v>0.11</v>
      </c>
      <c r="Z89" s="228">
        <v>0.2</v>
      </c>
      <c r="AA89" s="228">
        <v>-0.09</v>
      </c>
      <c r="AB89" s="229">
        <v>1.5E-3</v>
      </c>
      <c r="AC89" s="228">
        <v>0.11</v>
      </c>
      <c r="AD89" s="228">
        <v>0.2</v>
      </c>
      <c r="AE89" s="228">
        <v>-0.09</v>
      </c>
      <c r="AF89" s="229">
        <v>1.5E-3</v>
      </c>
      <c r="AG89" s="228">
        <v>0.52</v>
      </c>
      <c r="AH89" s="228">
        <v>0.63</v>
      </c>
      <c r="AI89" s="228">
        <v>-0.11</v>
      </c>
      <c r="AJ89" s="229">
        <v>7.1999999999999998E-3</v>
      </c>
      <c r="AK89" s="228">
        <v>1</v>
      </c>
      <c r="AL89" s="228">
        <v>1.07</v>
      </c>
      <c r="AM89" s="228">
        <v>-7.0000000000000007E-2</v>
      </c>
      <c r="AN89" s="229">
        <v>1.3899999999999999E-2</v>
      </c>
      <c r="AO89" s="228">
        <v>72.290000000000006</v>
      </c>
      <c r="AP89" s="228">
        <v>72.69</v>
      </c>
      <c r="AQ89" s="228">
        <v>0</v>
      </c>
      <c r="AR89" s="230">
        <v>97554450</v>
      </c>
      <c r="AS89" s="230">
        <v>57569925</v>
      </c>
      <c r="AT89" s="230">
        <v>39984525</v>
      </c>
      <c r="AU89" s="229">
        <v>0.69450000000000001</v>
      </c>
      <c r="AV89" s="230">
        <v>74107250</v>
      </c>
      <c r="AW89" s="230">
        <v>45725750</v>
      </c>
      <c r="AX89" s="230">
        <v>28381500</v>
      </c>
      <c r="AY89" s="229">
        <v>0.62070000000000003</v>
      </c>
      <c r="AZ89" s="230">
        <v>21100625</v>
      </c>
      <c r="BA89" s="230">
        <v>11510275</v>
      </c>
      <c r="BB89" s="230">
        <v>9590350</v>
      </c>
      <c r="BC89" s="229">
        <v>0.83320000000000005</v>
      </c>
      <c r="BD89" s="230">
        <v>2346575</v>
      </c>
      <c r="BE89" s="230">
        <v>333900</v>
      </c>
      <c r="BF89" s="230">
        <v>2012675</v>
      </c>
      <c r="BG89" s="229">
        <v>6.0278</v>
      </c>
      <c r="BH89" s="230">
        <v>140033950</v>
      </c>
      <c r="BI89" s="230">
        <v>72103850</v>
      </c>
      <c r="BJ89" s="230">
        <v>67930100</v>
      </c>
      <c r="BK89" s="229">
        <v>0.94210000000000005</v>
      </c>
      <c r="BL89" s="230">
        <v>76620775</v>
      </c>
      <c r="BM89" s="230">
        <v>41496350</v>
      </c>
      <c r="BN89" s="230">
        <v>35124425</v>
      </c>
      <c r="BO89" s="229">
        <v>0.84640000000000004</v>
      </c>
      <c r="BP89" s="230">
        <v>314209175</v>
      </c>
      <c r="BQ89" s="230">
        <v>171170125</v>
      </c>
      <c r="BR89" s="230">
        <v>143039050</v>
      </c>
      <c r="BS89" s="229">
        <v>0.8357</v>
      </c>
      <c r="BT89" s="230">
        <v>28506402</v>
      </c>
      <c r="BU89" s="230">
        <v>21143198</v>
      </c>
      <c r="BV89" s="230">
        <v>7363204</v>
      </c>
      <c r="BW89" s="229">
        <v>0.3483</v>
      </c>
      <c r="BX89" s="230">
        <v>410159050</v>
      </c>
      <c r="BY89" s="230">
        <v>401069550</v>
      </c>
      <c r="BZ89" s="230">
        <v>9089500</v>
      </c>
      <c r="CA89" s="229">
        <v>2.2700000000000001E-2</v>
      </c>
      <c r="CB89" s="230">
        <v>356057975</v>
      </c>
      <c r="CC89" s="230">
        <v>360296650</v>
      </c>
      <c r="CD89" s="230">
        <v>-4238675</v>
      </c>
      <c r="CE89" s="229">
        <v>-1.18E-2</v>
      </c>
      <c r="CF89" s="230">
        <v>49509950</v>
      </c>
      <c r="CG89" s="230">
        <v>37582300</v>
      </c>
      <c r="CH89" s="230">
        <v>11927650</v>
      </c>
      <c r="CI89" s="229">
        <v>0.31740000000000002</v>
      </c>
      <c r="CJ89" s="230">
        <v>4591125</v>
      </c>
      <c r="CK89" s="230">
        <v>3190600</v>
      </c>
      <c r="CL89" s="230">
        <v>1400525</v>
      </c>
      <c r="CM89" s="229">
        <v>0.439</v>
      </c>
      <c r="CN89" s="230">
        <v>157628625</v>
      </c>
      <c r="CO89" s="230">
        <v>145070275</v>
      </c>
      <c r="CP89" s="230">
        <v>12558350</v>
      </c>
      <c r="CQ89" s="229">
        <v>8.6599999999999996E-2</v>
      </c>
      <c r="CR89" s="230">
        <v>107209725</v>
      </c>
      <c r="CS89" s="230">
        <v>101922975</v>
      </c>
      <c r="CT89" s="230">
        <v>5286750</v>
      </c>
      <c r="CU89" s="229">
        <v>5.1900000000000002E-2</v>
      </c>
      <c r="CV89" s="230">
        <v>674997400</v>
      </c>
      <c r="CW89" s="230">
        <v>648062800</v>
      </c>
      <c r="CX89" s="230">
        <v>26934600</v>
      </c>
      <c r="CY89" s="229">
        <v>4.1599999999999998E-2</v>
      </c>
      <c r="CZ89" s="228">
        <v>36.31</v>
      </c>
      <c r="DA89" s="228">
        <v>32.270000000000003</v>
      </c>
      <c r="DB89" s="228">
        <v>4.04</v>
      </c>
      <c r="DC89" s="228">
        <v>4.04</v>
      </c>
      <c r="DD89" s="228">
        <v>33.700000000000003</v>
      </c>
      <c r="DE89" s="228">
        <v>33.700000000000003</v>
      </c>
      <c r="DF89" s="228">
        <v>2.61</v>
      </c>
      <c r="DG89" s="228">
        <v>0</v>
      </c>
      <c r="DH89" s="228">
        <v>36.89</v>
      </c>
      <c r="DI89" s="228">
        <v>32.729999999999997</v>
      </c>
      <c r="DJ89" s="228">
        <v>4.16</v>
      </c>
      <c r="DK89" s="228">
        <v>4.16</v>
      </c>
      <c r="DL89" s="228">
        <v>35.25</v>
      </c>
      <c r="DM89" s="228">
        <v>31.47</v>
      </c>
      <c r="DN89" s="228">
        <v>3.78</v>
      </c>
      <c r="DO89" s="228">
        <v>3.78</v>
      </c>
      <c r="DP89" s="228">
        <v>0.68</v>
      </c>
      <c r="DQ89" s="228">
        <v>0.7</v>
      </c>
      <c r="DR89" s="228">
        <v>-0.02</v>
      </c>
      <c r="DS89" s="229">
        <v>-2.86E-2</v>
      </c>
      <c r="DT89" s="228">
        <v>75</v>
      </c>
      <c r="DU89" s="228">
        <v>70</v>
      </c>
      <c r="DV89" s="228">
        <v>0.55000000000000004</v>
      </c>
      <c r="DW89" s="228">
        <v>0.57999999999999996</v>
      </c>
      <c r="DX89" s="228">
        <v>-0.03</v>
      </c>
      <c r="DY89" s="229">
        <v>-5.1700000000000003E-2</v>
      </c>
      <c r="DZ89" s="229">
        <v>0.13189999999999999</v>
      </c>
      <c r="EA89" s="230">
        <v>40772900</v>
      </c>
      <c r="EB89" s="229">
        <v>5.7000000000000002E-3</v>
      </c>
      <c r="EC89" s="229">
        <v>0.13189999999999999</v>
      </c>
      <c r="ED89" s="228">
        <v>0.4</v>
      </c>
      <c r="EE89" s="229">
        <v>5.4999999999999997E-3</v>
      </c>
      <c r="EF89" s="230">
        <v>15576754</v>
      </c>
      <c r="EG89" s="230">
        <v>13950108</v>
      </c>
      <c r="EH89" s="229">
        <v>0.1166</v>
      </c>
      <c r="EI89" s="229">
        <v>0.5464</v>
      </c>
      <c r="EJ89" s="231">
        <v>106509.04</v>
      </c>
      <c r="EK89" s="231">
        <v>55286.879999999997</v>
      </c>
      <c r="EL89" s="231">
        <v>70629.11</v>
      </c>
      <c r="EM89" s="231">
        <v>6131</v>
      </c>
      <c r="EN89" s="231">
        <v>232425.03</v>
      </c>
      <c r="EO89" s="231">
        <v>128179.87</v>
      </c>
      <c r="EP89" s="231">
        <v>104245.16</v>
      </c>
      <c r="EQ89" s="229">
        <v>0.81330000000000002</v>
      </c>
      <c r="ER89" s="231">
        <v>119478</v>
      </c>
      <c r="ES89" s="231">
        <v>74756</v>
      </c>
      <c r="ET89" s="231">
        <v>295148</v>
      </c>
      <c r="EU89" s="231">
        <v>761294821</v>
      </c>
      <c r="EV89" s="231">
        <v>489383</v>
      </c>
      <c r="EW89" s="231">
        <v>474820</v>
      </c>
      <c r="EX89" s="231">
        <v>14563</v>
      </c>
      <c r="EY89" s="229">
        <v>3.0700000000000002E-2</v>
      </c>
      <c r="EZ89" s="229">
        <v>0.88660000000000005</v>
      </c>
      <c r="FA89" s="227" t="s">
        <v>567</v>
      </c>
      <c r="FB89" s="161">
        <f t="shared" si="1"/>
        <v>54101075</v>
      </c>
    </row>
    <row r="90" spans="1:158" ht="17.25" hidden="1" thickBot="1" x14ac:dyDescent="0.3">
      <c r="A90" s="226">
        <v>45946</v>
      </c>
      <c r="B90" s="227" t="s">
        <v>161</v>
      </c>
      <c r="C90" s="227" t="s">
        <v>514</v>
      </c>
      <c r="D90" s="228">
        <v>3750</v>
      </c>
      <c r="E90" s="228">
        <v>135.04</v>
      </c>
      <c r="F90" s="228">
        <v>135.53</v>
      </c>
      <c r="G90" s="228">
        <v>-0.49</v>
      </c>
      <c r="H90" s="229">
        <v>-3.5999999999999999E-3</v>
      </c>
      <c r="I90" s="228">
        <v>134.79</v>
      </c>
      <c r="J90" s="228">
        <v>135.36000000000001</v>
      </c>
      <c r="K90" s="228">
        <v>-0.56999999999999995</v>
      </c>
      <c r="L90" s="229">
        <v>-4.1999999999999997E-3</v>
      </c>
      <c r="M90" s="228">
        <v>135.04</v>
      </c>
      <c r="N90" s="228">
        <v>135.53</v>
      </c>
      <c r="O90" s="228">
        <v>-0.49</v>
      </c>
      <c r="P90" s="229">
        <v>-3.5999999999999999E-3</v>
      </c>
      <c r="Q90" s="228">
        <v>135.81</v>
      </c>
      <c r="R90" s="228">
        <v>136.12</v>
      </c>
      <c r="S90" s="228">
        <v>-0.31</v>
      </c>
      <c r="T90" s="229">
        <v>-2.3E-3</v>
      </c>
      <c r="U90" s="228">
        <v>136.74</v>
      </c>
      <c r="V90" s="228">
        <v>137.25</v>
      </c>
      <c r="W90" s="228">
        <v>-0.51</v>
      </c>
      <c r="X90" s="229">
        <v>-3.7000000000000002E-3</v>
      </c>
      <c r="Y90" s="228">
        <v>0.25</v>
      </c>
      <c r="Z90" s="228">
        <v>0.17</v>
      </c>
      <c r="AA90" s="228">
        <v>0.08</v>
      </c>
      <c r="AB90" s="229">
        <v>1.9E-3</v>
      </c>
      <c r="AC90" s="228">
        <v>0.25</v>
      </c>
      <c r="AD90" s="228">
        <v>0.17</v>
      </c>
      <c r="AE90" s="228">
        <v>0.08</v>
      </c>
      <c r="AF90" s="229">
        <v>1.9E-3</v>
      </c>
      <c r="AG90" s="228">
        <v>1.02</v>
      </c>
      <c r="AH90" s="228">
        <v>0.76</v>
      </c>
      <c r="AI90" s="228">
        <v>0.26</v>
      </c>
      <c r="AJ90" s="229">
        <v>7.6E-3</v>
      </c>
      <c r="AK90" s="228">
        <v>1.95</v>
      </c>
      <c r="AL90" s="228">
        <v>1.89</v>
      </c>
      <c r="AM90" s="228">
        <v>0.06</v>
      </c>
      <c r="AN90" s="229">
        <v>1.4500000000000001E-2</v>
      </c>
      <c r="AO90" s="228">
        <v>135.19999999999999</v>
      </c>
      <c r="AP90" s="228">
        <v>135.85</v>
      </c>
      <c r="AQ90" s="228">
        <v>0</v>
      </c>
      <c r="AR90" s="230">
        <v>12056250</v>
      </c>
      <c r="AS90" s="230">
        <v>27798750</v>
      </c>
      <c r="AT90" s="230">
        <v>-15742500</v>
      </c>
      <c r="AU90" s="229">
        <v>-0.56630000000000003</v>
      </c>
      <c r="AV90" s="230">
        <v>9090000</v>
      </c>
      <c r="AW90" s="230">
        <v>18018750</v>
      </c>
      <c r="AX90" s="230">
        <v>-8928750</v>
      </c>
      <c r="AY90" s="229">
        <v>-0.4955</v>
      </c>
      <c r="AZ90" s="230">
        <v>2651250</v>
      </c>
      <c r="BA90" s="230">
        <v>9637500</v>
      </c>
      <c r="BB90" s="230">
        <v>-6986250</v>
      </c>
      <c r="BC90" s="229">
        <v>-0.72489999999999999</v>
      </c>
      <c r="BD90" s="230">
        <v>315000</v>
      </c>
      <c r="BE90" s="230">
        <v>142500</v>
      </c>
      <c r="BF90" s="230">
        <v>172500</v>
      </c>
      <c r="BG90" s="229">
        <v>1.2104999999999999</v>
      </c>
      <c r="BH90" s="230">
        <v>27671250</v>
      </c>
      <c r="BI90" s="230">
        <v>30003750</v>
      </c>
      <c r="BJ90" s="230">
        <v>-2332500</v>
      </c>
      <c r="BK90" s="229">
        <v>-7.7700000000000005E-2</v>
      </c>
      <c r="BL90" s="230">
        <v>16290000</v>
      </c>
      <c r="BM90" s="230">
        <v>20602500</v>
      </c>
      <c r="BN90" s="230">
        <v>-4312500</v>
      </c>
      <c r="BO90" s="229">
        <v>-0.20930000000000001</v>
      </c>
      <c r="BP90" s="230">
        <v>56017500</v>
      </c>
      <c r="BQ90" s="230">
        <v>78405000</v>
      </c>
      <c r="BR90" s="230">
        <v>-22387500</v>
      </c>
      <c r="BS90" s="229">
        <v>-0.28549999999999998</v>
      </c>
      <c r="BT90" s="230">
        <v>7165844</v>
      </c>
      <c r="BU90" s="230">
        <v>5150425</v>
      </c>
      <c r="BV90" s="230">
        <v>2015419</v>
      </c>
      <c r="BW90" s="229">
        <v>0.39129999999999998</v>
      </c>
      <c r="BX90" s="230">
        <v>70541250</v>
      </c>
      <c r="BY90" s="230">
        <v>67500000</v>
      </c>
      <c r="BZ90" s="230">
        <v>3041250</v>
      </c>
      <c r="CA90" s="229">
        <v>4.5100000000000001E-2</v>
      </c>
      <c r="CB90" s="230">
        <v>57742500</v>
      </c>
      <c r="CC90" s="230">
        <v>55882500</v>
      </c>
      <c r="CD90" s="230">
        <v>1860000</v>
      </c>
      <c r="CE90" s="229">
        <v>3.3300000000000003E-2</v>
      </c>
      <c r="CF90" s="230">
        <v>11677500</v>
      </c>
      <c r="CG90" s="230">
        <v>10672500</v>
      </c>
      <c r="CH90" s="230">
        <v>1005000</v>
      </c>
      <c r="CI90" s="229">
        <v>9.4200000000000006E-2</v>
      </c>
      <c r="CJ90" s="230">
        <v>1121250</v>
      </c>
      <c r="CK90" s="230">
        <v>945000</v>
      </c>
      <c r="CL90" s="230">
        <v>176250</v>
      </c>
      <c r="CM90" s="229">
        <v>0.1865</v>
      </c>
      <c r="CN90" s="230">
        <v>40736250</v>
      </c>
      <c r="CO90" s="230">
        <v>38542500</v>
      </c>
      <c r="CP90" s="230">
        <v>2193750</v>
      </c>
      <c r="CQ90" s="229">
        <v>5.6899999999999999E-2</v>
      </c>
      <c r="CR90" s="230">
        <v>24228750</v>
      </c>
      <c r="CS90" s="230">
        <v>22908750</v>
      </c>
      <c r="CT90" s="230">
        <v>1320000</v>
      </c>
      <c r="CU90" s="229">
        <v>5.7599999999999998E-2</v>
      </c>
      <c r="CV90" s="230">
        <v>135506250</v>
      </c>
      <c r="CW90" s="230">
        <v>128951250</v>
      </c>
      <c r="CX90" s="230">
        <v>6555000</v>
      </c>
      <c r="CY90" s="229">
        <v>5.0799999999999998E-2</v>
      </c>
      <c r="CZ90" s="228">
        <v>37.21</v>
      </c>
      <c r="DA90" s="228">
        <v>35.590000000000003</v>
      </c>
      <c r="DB90" s="228">
        <v>1.62</v>
      </c>
      <c r="DC90" s="228">
        <v>1.62</v>
      </c>
      <c r="DD90" s="228">
        <v>57.15</v>
      </c>
      <c r="DE90" s="228">
        <v>57.29</v>
      </c>
      <c r="DF90" s="228">
        <v>-19.940000000000001</v>
      </c>
      <c r="DG90" s="228">
        <v>-0.14000000000000001</v>
      </c>
      <c r="DH90" s="228">
        <v>37.520000000000003</v>
      </c>
      <c r="DI90" s="228">
        <v>36.97</v>
      </c>
      <c r="DJ90" s="228">
        <v>0.55000000000000004</v>
      </c>
      <c r="DK90" s="228">
        <v>0.55000000000000004</v>
      </c>
      <c r="DL90" s="228">
        <v>36.69</v>
      </c>
      <c r="DM90" s="228">
        <v>33.590000000000003</v>
      </c>
      <c r="DN90" s="228">
        <v>3.1</v>
      </c>
      <c r="DO90" s="228">
        <v>3.1</v>
      </c>
      <c r="DP90" s="228">
        <v>0.59</v>
      </c>
      <c r="DQ90" s="228">
        <v>0.59</v>
      </c>
      <c r="DR90" s="228">
        <v>0</v>
      </c>
      <c r="DS90" s="229">
        <v>0</v>
      </c>
      <c r="DT90" s="228">
        <v>150</v>
      </c>
      <c r="DU90" s="228">
        <v>140</v>
      </c>
      <c r="DV90" s="228">
        <v>0.59</v>
      </c>
      <c r="DW90" s="228">
        <v>0.69</v>
      </c>
      <c r="DX90" s="228">
        <v>-0.1</v>
      </c>
      <c r="DY90" s="229">
        <v>-0.1449</v>
      </c>
      <c r="DZ90" s="229">
        <v>0.18140000000000001</v>
      </c>
      <c r="EA90" s="230">
        <v>11617500</v>
      </c>
      <c r="EB90" s="229">
        <v>5.7000000000000002E-3</v>
      </c>
      <c r="EC90" s="229">
        <v>0.18140000000000001</v>
      </c>
      <c r="ED90" s="228">
        <v>0.65</v>
      </c>
      <c r="EE90" s="229">
        <v>4.7999999999999996E-3</v>
      </c>
      <c r="EF90" s="230">
        <v>2607746</v>
      </c>
      <c r="EG90" s="230">
        <v>2078995</v>
      </c>
      <c r="EH90" s="229">
        <v>0.25430000000000003</v>
      </c>
      <c r="EI90" s="229">
        <v>0.3639</v>
      </c>
      <c r="EJ90" s="231">
        <v>39473.11</v>
      </c>
      <c r="EK90" s="231">
        <v>22200.5</v>
      </c>
      <c r="EL90" s="231">
        <v>16322.04</v>
      </c>
      <c r="EM90" s="231">
        <v>2965</v>
      </c>
      <c r="EN90" s="231">
        <v>77995.649999999994</v>
      </c>
      <c r="EO90" s="231">
        <v>109510.9</v>
      </c>
      <c r="EP90" s="231">
        <v>-31515.25</v>
      </c>
      <c r="EQ90" s="229">
        <v>-0.2878</v>
      </c>
      <c r="ER90" s="231">
        <v>59781</v>
      </c>
      <c r="ES90" s="231">
        <v>33909</v>
      </c>
      <c r="ET90" s="231">
        <v>95368</v>
      </c>
      <c r="EU90" s="231">
        <v>133395043</v>
      </c>
      <c r="EV90" s="231">
        <v>189058</v>
      </c>
      <c r="EW90" s="231">
        <v>180581</v>
      </c>
      <c r="EX90" s="231">
        <v>8477</v>
      </c>
      <c r="EY90" s="229">
        <v>4.6899999999999997E-2</v>
      </c>
      <c r="EZ90" s="229">
        <v>1.0158</v>
      </c>
      <c r="FA90" s="227" t="s">
        <v>567</v>
      </c>
      <c r="FB90" s="161">
        <f t="shared" si="1"/>
        <v>12798750</v>
      </c>
    </row>
    <row r="91" spans="1:158" ht="17.25" hidden="1" thickBot="1" x14ac:dyDescent="0.3">
      <c r="A91" s="226">
        <v>45946</v>
      </c>
      <c r="B91" s="227" t="s">
        <v>193</v>
      </c>
      <c r="C91" s="227" t="s">
        <v>236</v>
      </c>
      <c r="D91" s="228">
        <v>2750</v>
      </c>
      <c r="E91" s="228">
        <v>213.87</v>
      </c>
      <c r="F91" s="228">
        <v>212.31</v>
      </c>
      <c r="G91" s="228">
        <v>1.56</v>
      </c>
      <c r="H91" s="229">
        <v>7.3000000000000001E-3</v>
      </c>
      <c r="I91" s="228">
        <v>213.67</v>
      </c>
      <c r="J91" s="228">
        <v>211.94</v>
      </c>
      <c r="K91" s="228">
        <v>1.73</v>
      </c>
      <c r="L91" s="229">
        <v>8.2000000000000007E-3</v>
      </c>
      <c r="M91" s="228">
        <v>213.87</v>
      </c>
      <c r="N91" s="228">
        <v>212.31</v>
      </c>
      <c r="O91" s="228">
        <v>1.56</v>
      </c>
      <c r="P91" s="229">
        <v>7.3000000000000001E-3</v>
      </c>
      <c r="Q91" s="228">
        <v>212.95</v>
      </c>
      <c r="R91" s="228">
        <v>211.66</v>
      </c>
      <c r="S91" s="228">
        <v>1.29</v>
      </c>
      <c r="T91" s="229">
        <v>6.1000000000000004E-3</v>
      </c>
      <c r="U91" s="228">
        <v>0</v>
      </c>
      <c r="V91" s="228">
        <v>0</v>
      </c>
      <c r="W91" s="228">
        <v>0</v>
      </c>
      <c r="X91" s="229">
        <v>0</v>
      </c>
      <c r="Y91" s="228">
        <v>0.2</v>
      </c>
      <c r="Z91" s="228">
        <v>0.37</v>
      </c>
      <c r="AA91" s="228">
        <v>-0.17</v>
      </c>
      <c r="AB91" s="229">
        <v>8.9999999999999998E-4</v>
      </c>
      <c r="AC91" s="228">
        <v>0.2</v>
      </c>
      <c r="AD91" s="228">
        <v>0.37</v>
      </c>
      <c r="AE91" s="228">
        <v>-0.17</v>
      </c>
      <c r="AF91" s="229">
        <v>8.9999999999999998E-4</v>
      </c>
      <c r="AG91" s="228">
        <v>-0.72</v>
      </c>
      <c r="AH91" s="228">
        <v>-0.28000000000000003</v>
      </c>
      <c r="AI91" s="228">
        <v>-0.44</v>
      </c>
      <c r="AJ91" s="229">
        <v>-3.3999999999999998E-3</v>
      </c>
      <c r="AK91" s="228">
        <v>0</v>
      </c>
      <c r="AL91" s="228">
        <v>0</v>
      </c>
      <c r="AM91" s="228">
        <v>0</v>
      </c>
      <c r="AN91" s="229">
        <v>0</v>
      </c>
      <c r="AO91" s="228">
        <v>213.29</v>
      </c>
      <c r="AP91" s="228">
        <v>212.44</v>
      </c>
      <c r="AQ91" s="228">
        <v>0</v>
      </c>
      <c r="AR91" s="230">
        <v>3223000</v>
      </c>
      <c r="AS91" s="230">
        <v>6069250</v>
      </c>
      <c r="AT91" s="230">
        <v>-2846250</v>
      </c>
      <c r="AU91" s="229">
        <v>-0.46899999999999997</v>
      </c>
      <c r="AV91" s="230">
        <v>2744500</v>
      </c>
      <c r="AW91" s="230">
        <v>5277250</v>
      </c>
      <c r="AX91" s="230">
        <v>-2532750</v>
      </c>
      <c r="AY91" s="229">
        <v>-0.47989999999999999</v>
      </c>
      <c r="AZ91" s="230">
        <v>478500</v>
      </c>
      <c r="BA91" s="230">
        <v>792000</v>
      </c>
      <c r="BB91" s="230">
        <v>-313500</v>
      </c>
      <c r="BC91" s="229">
        <v>-0.39579999999999999</v>
      </c>
      <c r="BD91" s="228">
        <v>0</v>
      </c>
      <c r="BE91" s="228">
        <v>0</v>
      </c>
      <c r="BF91" s="228">
        <v>0</v>
      </c>
      <c r="BG91" s="229">
        <v>0</v>
      </c>
      <c r="BH91" s="230">
        <v>7815500</v>
      </c>
      <c r="BI91" s="230">
        <v>15295500</v>
      </c>
      <c r="BJ91" s="230">
        <v>-7480000</v>
      </c>
      <c r="BK91" s="229">
        <v>-0.48899999999999999</v>
      </c>
      <c r="BL91" s="230">
        <v>3212000</v>
      </c>
      <c r="BM91" s="230">
        <v>7287500</v>
      </c>
      <c r="BN91" s="230">
        <v>-4075500</v>
      </c>
      <c r="BO91" s="229">
        <v>-0.55920000000000003</v>
      </c>
      <c r="BP91" s="230">
        <v>14250500</v>
      </c>
      <c r="BQ91" s="230">
        <v>28652250</v>
      </c>
      <c r="BR91" s="230">
        <v>-14401750</v>
      </c>
      <c r="BS91" s="229">
        <v>-0.50260000000000005</v>
      </c>
      <c r="BT91" s="230">
        <v>2227359</v>
      </c>
      <c r="BU91" s="230">
        <v>2304370</v>
      </c>
      <c r="BV91" s="230">
        <v>-77011</v>
      </c>
      <c r="BW91" s="229">
        <v>-3.3399999999999999E-2</v>
      </c>
      <c r="BX91" s="230">
        <v>20407750</v>
      </c>
      <c r="BY91" s="230">
        <v>20355500</v>
      </c>
      <c r="BZ91" s="230">
        <v>52250</v>
      </c>
      <c r="CA91" s="229">
        <v>2.5999999999999999E-3</v>
      </c>
      <c r="CB91" s="230">
        <v>18480000</v>
      </c>
      <c r="CC91" s="230">
        <v>18557000</v>
      </c>
      <c r="CD91" s="230">
        <v>-77000</v>
      </c>
      <c r="CE91" s="229">
        <v>-4.1000000000000003E-3</v>
      </c>
      <c r="CF91" s="230">
        <v>1927750</v>
      </c>
      <c r="CG91" s="230">
        <v>1798500</v>
      </c>
      <c r="CH91" s="230">
        <v>129250</v>
      </c>
      <c r="CI91" s="229">
        <v>7.1900000000000006E-2</v>
      </c>
      <c r="CJ91" s="228">
        <v>0</v>
      </c>
      <c r="CK91" s="228">
        <v>0</v>
      </c>
      <c r="CL91" s="228">
        <v>0</v>
      </c>
      <c r="CM91" s="229">
        <v>0</v>
      </c>
      <c r="CN91" s="230">
        <v>20028250</v>
      </c>
      <c r="CO91" s="230">
        <v>19783500</v>
      </c>
      <c r="CP91" s="230">
        <v>244750</v>
      </c>
      <c r="CQ91" s="229">
        <v>1.24E-2</v>
      </c>
      <c r="CR91" s="230">
        <v>10048500</v>
      </c>
      <c r="CS91" s="230">
        <v>10067750</v>
      </c>
      <c r="CT91" s="230">
        <v>-19250</v>
      </c>
      <c r="CU91" s="229">
        <v>-1.9E-3</v>
      </c>
      <c r="CV91" s="230">
        <v>50484500</v>
      </c>
      <c r="CW91" s="230">
        <v>50206750</v>
      </c>
      <c r="CX91" s="230">
        <v>277750</v>
      </c>
      <c r="CY91" s="229">
        <v>5.4999999999999997E-3</v>
      </c>
      <c r="CZ91" s="228">
        <v>30.85</v>
      </c>
      <c r="DA91" s="228">
        <v>31.88</v>
      </c>
      <c r="DB91" s="228">
        <v>-1.03</v>
      </c>
      <c r="DC91" s="228">
        <v>-1.03</v>
      </c>
      <c r="DD91" s="228">
        <v>41.95</v>
      </c>
      <c r="DE91" s="228">
        <v>42.04</v>
      </c>
      <c r="DF91" s="228">
        <v>-11.1</v>
      </c>
      <c r="DG91" s="228">
        <v>-0.09</v>
      </c>
      <c r="DH91" s="228">
        <v>31.15</v>
      </c>
      <c r="DI91" s="228">
        <v>31.92</v>
      </c>
      <c r="DJ91" s="228">
        <v>-0.77</v>
      </c>
      <c r="DK91" s="228">
        <v>-0.77</v>
      </c>
      <c r="DL91" s="228">
        <v>30.1</v>
      </c>
      <c r="DM91" s="228">
        <v>31.81</v>
      </c>
      <c r="DN91" s="228">
        <v>-1.71</v>
      </c>
      <c r="DO91" s="228">
        <v>-1.71</v>
      </c>
      <c r="DP91" s="228">
        <v>0.5</v>
      </c>
      <c r="DQ91" s="228">
        <v>0.51</v>
      </c>
      <c r="DR91" s="228">
        <v>-0.01</v>
      </c>
      <c r="DS91" s="229">
        <v>-1.9599999999999999E-2</v>
      </c>
      <c r="DT91" s="228">
        <v>220</v>
      </c>
      <c r="DU91" s="228">
        <v>200</v>
      </c>
      <c r="DV91" s="228">
        <v>0.41</v>
      </c>
      <c r="DW91" s="228">
        <v>0.48</v>
      </c>
      <c r="DX91" s="228">
        <v>-7.0000000000000007E-2</v>
      </c>
      <c r="DY91" s="229">
        <v>-0.14580000000000001</v>
      </c>
      <c r="DZ91" s="229">
        <v>9.4500000000000001E-2</v>
      </c>
      <c r="EA91" s="230">
        <v>1798500</v>
      </c>
      <c r="EB91" s="229">
        <v>-4.3E-3</v>
      </c>
      <c r="EC91" s="229">
        <v>9.4500000000000001E-2</v>
      </c>
      <c r="ED91" s="228">
        <v>-0.85</v>
      </c>
      <c r="EE91" s="229">
        <v>-4.0000000000000001E-3</v>
      </c>
      <c r="EF91" s="230">
        <v>1328874</v>
      </c>
      <c r="EG91" s="230">
        <v>1218759</v>
      </c>
      <c r="EH91" s="229">
        <v>9.0399999999999994E-2</v>
      </c>
      <c r="EI91" s="229">
        <v>0.59660000000000002</v>
      </c>
      <c r="EJ91" s="231">
        <v>17472.310000000001</v>
      </c>
      <c r="EK91" s="231">
        <v>6882.73</v>
      </c>
      <c r="EL91" s="231">
        <v>6870.4</v>
      </c>
      <c r="EM91" s="231">
        <v>1798</v>
      </c>
      <c r="EN91" s="231">
        <v>31225.439999999999</v>
      </c>
      <c r="EO91" s="231">
        <v>62465.47</v>
      </c>
      <c r="EP91" s="231">
        <v>-31240.03</v>
      </c>
      <c r="EQ91" s="229">
        <v>-0.50009999999999999</v>
      </c>
      <c r="ER91" s="231">
        <v>45018</v>
      </c>
      <c r="ES91" s="231">
        <v>21054</v>
      </c>
      <c r="ET91" s="231">
        <v>43628</v>
      </c>
      <c r="EU91" s="231">
        <v>94000476</v>
      </c>
      <c r="EV91" s="231">
        <v>109700</v>
      </c>
      <c r="EW91" s="231">
        <v>108720</v>
      </c>
      <c r="EX91" s="228">
        <v>980</v>
      </c>
      <c r="EY91" s="229">
        <v>8.9999999999999993E-3</v>
      </c>
      <c r="EZ91" s="229">
        <v>0.53710000000000002</v>
      </c>
      <c r="FA91" s="227" t="s">
        <v>555</v>
      </c>
      <c r="FB91" s="161">
        <f t="shared" si="1"/>
        <v>1927750</v>
      </c>
    </row>
    <row r="92" spans="1:158" ht="17.25" hidden="1" thickBot="1" x14ac:dyDescent="0.3">
      <c r="A92" s="226">
        <v>45946</v>
      </c>
      <c r="B92" s="227" t="s">
        <v>175</v>
      </c>
      <c r="C92" s="227" t="s">
        <v>667</v>
      </c>
      <c r="D92" s="228">
        <v>1650</v>
      </c>
      <c r="E92" s="228">
        <v>501.55</v>
      </c>
      <c r="F92" s="228">
        <v>507.75</v>
      </c>
      <c r="G92" s="228">
        <v>-6.2</v>
      </c>
      <c r="H92" s="229">
        <v>-1.2200000000000001E-2</v>
      </c>
      <c r="I92" s="228">
        <v>499.9</v>
      </c>
      <c r="J92" s="228">
        <v>506.25</v>
      </c>
      <c r="K92" s="228">
        <v>-6.35</v>
      </c>
      <c r="L92" s="229">
        <v>-1.2500000000000001E-2</v>
      </c>
      <c r="M92" s="228">
        <v>501.55</v>
      </c>
      <c r="N92" s="228">
        <v>507.75</v>
      </c>
      <c r="O92" s="228">
        <v>-6.2</v>
      </c>
      <c r="P92" s="229">
        <v>-1.2200000000000001E-2</v>
      </c>
      <c r="Q92" s="228">
        <v>503.8</v>
      </c>
      <c r="R92" s="228">
        <v>510.3</v>
      </c>
      <c r="S92" s="228">
        <v>-6.5</v>
      </c>
      <c r="T92" s="229">
        <v>-1.2699999999999999E-2</v>
      </c>
      <c r="U92" s="228">
        <v>506</v>
      </c>
      <c r="V92" s="228">
        <v>512</v>
      </c>
      <c r="W92" s="228">
        <v>-6</v>
      </c>
      <c r="X92" s="229">
        <v>-1.17E-2</v>
      </c>
      <c r="Y92" s="228">
        <v>1.65</v>
      </c>
      <c r="Z92" s="228">
        <v>1.5</v>
      </c>
      <c r="AA92" s="228">
        <v>0.15</v>
      </c>
      <c r="AB92" s="229">
        <v>3.3E-3</v>
      </c>
      <c r="AC92" s="228">
        <v>1.65</v>
      </c>
      <c r="AD92" s="228">
        <v>1.5</v>
      </c>
      <c r="AE92" s="228">
        <v>0.15</v>
      </c>
      <c r="AF92" s="229">
        <v>3.3E-3</v>
      </c>
      <c r="AG92" s="228">
        <v>3.9</v>
      </c>
      <c r="AH92" s="228">
        <v>4.05</v>
      </c>
      <c r="AI92" s="228">
        <v>-0.15</v>
      </c>
      <c r="AJ92" s="229">
        <v>7.7999999999999996E-3</v>
      </c>
      <c r="AK92" s="228">
        <v>6.1</v>
      </c>
      <c r="AL92" s="228">
        <v>5.75</v>
      </c>
      <c r="AM92" s="228">
        <v>0.35</v>
      </c>
      <c r="AN92" s="229">
        <v>1.2200000000000001E-2</v>
      </c>
      <c r="AO92" s="228">
        <v>503.96</v>
      </c>
      <c r="AP92" s="228">
        <v>505.95</v>
      </c>
      <c r="AQ92" s="228">
        <v>0</v>
      </c>
      <c r="AR92" s="230">
        <v>2130150</v>
      </c>
      <c r="AS92" s="230">
        <v>5499450</v>
      </c>
      <c r="AT92" s="230">
        <v>-3369300</v>
      </c>
      <c r="AU92" s="229">
        <v>-0.61270000000000002</v>
      </c>
      <c r="AV92" s="230">
        <v>1871100</v>
      </c>
      <c r="AW92" s="230">
        <v>5212350</v>
      </c>
      <c r="AX92" s="230">
        <v>-3341250</v>
      </c>
      <c r="AY92" s="229">
        <v>-0.64100000000000001</v>
      </c>
      <c r="AZ92" s="230">
        <v>245850</v>
      </c>
      <c r="BA92" s="230">
        <v>270600</v>
      </c>
      <c r="BB92" s="230">
        <v>-24750</v>
      </c>
      <c r="BC92" s="229">
        <v>-9.1499999999999998E-2</v>
      </c>
      <c r="BD92" s="230">
        <v>13200</v>
      </c>
      <c r="BE92" s="230">
        <v>16500</v>
      </c>
      <c r="BF92" s="230">
        <v>-3300</v>
      </c>
      <c r="BG92" s="229">
        <v>-0.2</v>
      </c>
      <c r="BH92" s="230">
        <v>4240500</v>
      </c>
      <c r="BI92" s="230">
        <v>17884350</v>
      </c>
      <c r="BJ92" s="230">
        <v>-13643850</v>
      </c>
      <c r="BK92" s="229">
        <v>-0.76290000000000002</v>
      </c>
      <c r="BL92" s="230">
        <v>2105400</v>
      </c>
      <c r="BM92" s="230">
        <v>7004250</v>
      </c>
      <c r="BN92" s="230">
        <v>-4898850</v>
      </c>
      <c r="BO92" s="229">
        <v>-0.69940000000000002</v>
      </c>
      <c r="BP92" s="230">
        <v>8476050</v>
      </c>
      <c r="BQ92" s="230">
        <v>30388050</v>
      </c>
      <c r="BR92" s="230">
        <v>-21912000</v>
      </c>
      <c r="BS92" s="229">
        <v>-0.72109999999999996</v>
      </c>
      <c r="BT92" s="230">
        <v>1192907</v>
      </c>
      <c r="BU92" s="230">
        <v>2507731</v>
      </c>
      <c r="BV92" s="230">
        <v>-1314824</v>
      </c>
      <c r="BW92" s="229">
        <v>-0.52429999999999999</v>
      </c>
      <c r="BX92" s="230">
        <v>15952200</v>
      </c>
      <c r="BY92" s="230">
        <v>16097400</v>
      </c>
      <c r="BZ92" s="230">
        <v>-145200</v>
      </c>
      <c r="CA92" s="229">
        <v>-8.9999999999999993E-3</v>
      </c>
      <c r="CB92" s="230">
        <v>15491850</v>
      </c>
      <c r="CC92" s="230">
        <v>15714600</v>
      </c>
      <c r="CD92" s="230">
        <v>-222750</v>
      </c>
      <c r="CE92" s="229">
        <v>-1.4200000000000001E-2</v>
      </c>
      <c r="CF92" s="230">
        <v>399300</v>
      </c>
      <c r="CG92" s="230">
        <v>323400</v>
      </c>
      <c r="CH92" s="230">
        <v>75900</v>
      </c>
      <c r="CI92" s="229">
        <v>0.23469999999999999</v>
      </c>
      <c r="CJ92" s="230">
        <v>61050</v>
      </c>
      <c r="CK92" s="230">
        <v>59400</v>
      </c>
      <c r="CL92" s="230">
        <v>1650</v>
      </c>
      <c r="CM92" s="229">
        <v>2.7799999999999998E-2</v>
      </c>
      <c r="CN92" s="230">
        <v>4448400</v>
      </c>
      <c r="CO92" s="230">
        <v>4415400</v>
      </c>
      <c r="CP92" s="230">
        <v>33000</v>
      </c>
      <c r="CQ92" s="229">
        <v>7.4999999999999997E-3</v>
      </c>
      <c r="CR92" s="230">
        <v>3130050</v>
      </c>
      <c r="CS92" s="230">
        <v>3331350</v>
      </c>
      <c r="CT92" s="230">
        <v>-201300</v>
      </c>
      <c r="CU92" s="229">
        <v>-6.0400000000000002E-2</v>
      </c>
      <c r="CV92" s="230">
        <v>23530650</v>
      </c>
      <c r="CW92" s="230">
        <v>23844150</v>
      </c>
      <c r="CX92" s="230">
        <v>-313500</v>
      </c>
      <c r="CY92" s="229">
        <v>-1.3100000000000001E-2</v>
      </c>
      <c r="CZ92" s="228">
        <v>32.25</v>
      </c>
      <c r="DA92" s="228">
        <v>33.5</v>
      </c>
      <c r="DB92" s="228">
        <v>-1.25</v>
      </c>
      <c r="DC92" s="228">
        <v>-1.25</v>
      </c>
      <c r="DD92" s="228">
        <v>52.47</v>
      </c>
      <c r="DE92" s="228">
        <v>52.57</v>
      </c>
      <c r="DF92" s="228">
        <v>-20.22</v>
      </c>
      <c r="DG92" s="228">
        <v>-0.1</v>
      </c>
      <c r="DH92" s="228">
        <v>32.090000000000003</v>
      </c>
      <c r="DI92" s="228">
        <v>33.020000000000003</v>
      </c>
      <c r="DJ92" s="228">
        <v>-0.93</v>
      </c>
      <c r="DK92" s="228">
        <v>-0.93</v>
      </c>
      <c r="DL92" s="228">
        <v>32.590000000000003</v>
      </c>
      <c r="DM92" s="228">
        <v>34.71</v>
      </c>
      <c r="DN92" s="228">
        <v>-2.12</v>
      </c>
      <c r="DO92" s="228">
        <v>-2.12</v>
      </c>
      <c r="DP92" s="228">
        <v>0.7</v>
      </c>
      <c r="DQ92" s="228">
        <v>0.75</v>
      </c>
      <c r="DR92" s="228">
        <v>-0.05</v>
      </c>
      <c r="DS92" s="229">
        <v>-6.6699999999999995E-2</v>
      </c>
      <c r="DT92" s="228">
        <v>520</v>
      </c>
      <c r="DU92" s="228">
        <v>480</v>
      </c>
      <c r="DV92" s="228">
        <v>0.5</v>
      </c>
      <c r="DW92" s="228">
        <v>0.39</v>
      </c>
      <c r="DX92" s="228">
        <v>0.11</v>
      </c>
      <c r="DY92" s="229">
        <v>0.28210000000000002</v>
      </c>
      <c r="DZ92" s="229">
        <v>2.8899999999999999E-2</v>
      </c>
      <c r="EA92" s="230">
        <v>382800</v>
      </c>
      <c r="EB92" s="229">
        <v>4.4999999999999997E-3</v>
      </c>
      <c r="EC92" s="229">
        <v>2.8899999999999999E-2</v>
      </c>
      <c r="ED92" s="228">
        <v>1.99</v>
      </c>
      <c r="EE92" s="229">
        <v>3.8999999999999998E-3</v>
      </c>
      <c r="EF92" s="230">
        <v>644333</v>
      </c>
      <c r="EG92" s="230">
        <v>875504</v>
      </c>
      <c r="EH92" s="229">
        <v>-0.26400000000000001</v>
      </c>
      <c r="EI92" s="229">
        <v>0.54010000000000002</v>
      </c>
      <c r="EJ92" s="231">
        <v>22236.55</v>
      </c>
      <c r="EK92" s="231">
        <v>10356.040000000001</v>
      </c>
      <c r="EL92" s="231">
        <v>10740.61</v>
      </c>
      <c r="EM92" s="231">
        <v>2430</v>
      </c>
      <c r="EN92" s="231">
        <v>43333.2</v>
      </c>
      <c r="EO92" s="231">
        <v>155167.04000000001</v>
      </c>
      <c r="EP92" s="231">
        <v>-111833.84</v>
      </c>
      <c r="EQ92" s="229">
        <v>-0.72070000000000001</v>
      </c>
      <c r="ER92" s="231">
        <v>22450</v>
      </c>
      <c r="ES92" s="231">
        <v>14521</v>
      </c>
      <c r="ET92" s="231">
        <v>80020</v>
      </c>
      <c r="EU92" s="231">
        <v>47888370</v>
      </c>
      <c r="EV92" s="231">
        <v>116991</v>
      </c>
      <c r="EW92" s="231">
        <v>119486</v>
      </c>
      <c r="EX92" s="231">
        <v>-2495</v>
      </c>
      <c r="EY92" s="229">
        <v>-2.0899999999999998E-2</v>
      </c>
      <c r="EZ92" s="229">
        <v>0.4914</v>
      </c>
      <c r="FA92" s="227" t="s">
        <v>568</v>
      </c>
      <c r="FB92" s="161">
        <f t="shared" si="1"/>
        <v>460350</v>
      </c>
    </row>
    <row r="93" spans="1:158" ht="17.25" hidden="1" thickBot="1" x14ac:dyDescent="0.3">
      <c r="A93" s="226">
        <v>45946</v>
      </c>
      <c r="B93" s="227" t="s">
        <v>206</v>
      </c>
      <c r="C93" s="227" t="s">
        <v>501</v>
      </c>
      <c r="D93" s="228">
        <v>1000</v>
      </c>
      <c r="E93" s="228">
        <v>739.05</v>
      </c>
      <c r="F93" s="228">
        <v>731</v>
      </c>
      <c r="G93" s="228">
        <v>8.0500000000000007</v>
      </c>
      <c r="H93" s="229">
        <v>1.0999999999999999E-2</v>
      </c>
      <c r="I93" s="228">
        <v>738.05</v>
      </c>
      <c r="J93" s="228">
        <v>727.75</v>
      </c>
      <c r="K93" s="228">
        <v>10.3</v>
      </c>
      <c r="L93" s="229">
        <v>1.4200000000000001E-2</v>
      </c>
      <c r="M93" s="228">
        <v>739.05</v>
      </c>
      <c r="N93" s="228">
        <v>731</v>
      </c>
      <c r="O93" s="228">
        <v>8.0500000000000007</v>
      </c>
      <c r="P93" s="229">
        <v>1.0999999999999999E-2</v>
      </c>
      <c r="Q93" s="228">
        <v>743.1</v>
      </c>
      <c r="R93" s="228">
        <v>733.2</v>
      </c>
      <c r="S93" s="228">
        <v>9.9</v>
      </c>
      <c r="T93" s="229">
        <v>1.35E-2</v>
      </c>
      <c r="U93" s="228">
        <v>747.4</v>
      </c>
      <c r="V93" s="228">
        <v>738.95</v>
      </c>
      <c r="W93" s="228">
        <v>8.4499999999999993</v>
      </c>
      <c r="X93" s="229">
        <v>1.14E-2</v>
      </c>
      <c r="Y93" s="228">
        <v>1</v>
      </c>
      <c r="Z93" s="228">
        <v>3.25</v>
      </c>
      <c r="AA93" s="228">
        <v>-2.25</v>
      </c>
      <c r="AB93" s="229">
        <v>1.4E-3</v>
      </c>
      <c r="AC93" s="228">
        <v>1</v>
      </c>
      <c r="AD93" s="228">
        <v>3.25</v>
      </c>
      <c r="AE93" s="228">
        <v>-2.25</v>
      </c>
      <c r="AF93" s="229">
        <v>1.4E-3</v>
      </c>
      <c r="AG93" s="228">
        <v>5.05</v>
      </c>
      <c r="AH93" s="228">
        <v>5.45</v>
      </c>
      <c r="AI93" s="228">
        <v>-0.4</v>
      </c>
      <c r="AJ93" s="229">
        <v>6.7999999999999996E-3</v>
      </c>
      <c r="AK93" s="228">
        <v>9.35</v>
      </c>
      <c r="AL93" s="228">
        <v>11.2</v>
      </c>
      <c r="AM93" s="228">
        <v>-1.85</v>
      </c>
      <c r="AN93" s="229">
        <v>1.2699999999999999E-2</v>
      </c>
      <c r="AO93" s="228">
        <v>738.54</v>
      </c>
      <c r="AP93" s="228">
        <v>742.47</v>
      </c>
      <c r="AQ93" s="228">
        <v>0</v>
      </c>
      <c r="AR93" s="230">
        <v>4135000</v>
      </c>
      <c r="AS93" s="230">
        <v>5341000</v>
      </c>
      <c r="AT93" s="230">
        <v>-1206000</v>
      </c>
      <c r="AU93" s="229">
        <v>-0.2258</v>
      </c>
      <c r="AV93" s="230">
        <v>3634000</v>
      </c>
      <c r="AW93" s="230">
        <v>4467000</v>
      </c>
      <c r="AX93" s="230">
        <v>-833000</v>
      </c>
      <c r="AY93" s="229">
        <v>-0.1865</v>
      </c>
      <c r="AZ93" s="230">
        <v>445000</v>
      </c>
      <c r="BA93" s="230">
        <v>803000</v>
      </c>
      <c r="BB93" s="230">
        <v>-358000</v>
      </c>
      <c r="BC93" s="229">
        <v>-0.44579999999999997</v>
      </c>
      <c r="BD93" s="230">
        <v>56000</v>
      </c>
      <c r="BE93" s="230">
        <v>71000</v>
      </c>
      <c r="BF93" s="230">
        <v>-15000</v>
      </c>
      <c r="BG93" s="229">
        <v>-0.21129999999999999</v>
      </c>
      <c r="BH93" s="230">
        <v>13776000</v>
      </c>
      <c r="BI93" s="230">
        <v>18870000</v>
      </c>
      <c r="BJ93" s="230">
        <v>-5094000</v>
      </c>
      <c r="BK93" s="229">
        <v>-0.27</v>
      </c>
      <c r="BL93" s="230">
        <v>5409000</v>
      </c>
      <c r="BM93" s="230">
        <v>5086000</v>
      </c>
      <c r="BN93" s="230">
        <v>323000</v>
      </c>
      <c r="BO93" s="229">
        <v>6.3500000000000001E-2</v>
      </c>
      <c r="BP93" s="230">
        <v>23320000</v>
      </c>
      <c r="BQ93" s="230">
        <v>29297000</v>
      </c>
      <c r="BR93" s="230">
        <v>-5977000</v>
      </c>
      <c r="BS93" s="229">
        <v>-0.20399999999999999</v>
      </c>
      <c r="BT93" s="230">
        <v>2969009</v>
      </c>
      <c r="BU93" s="230">
        <v>2970195</v>
      </c>
      <c r="BV93" s="230">
        <v>-1186</v>
      </c>
      <c r="BW93" s="229">
        <v>-4.0000000000000002E-4</v>
      </c>
      <c r="BX93" s="230">
        <v>28721000</v>
      </c>
      <c r="BY93" s="230">
        <v>29882000</v>
      </c>
      <c r="BZ93" s="230">
        <v>-1161000</v>
      </c>
      <c r="CA93" s="229">
        <v>-3.8899999999999997E-2</v>
      </c>
      <c r="CB93" s="230">
        <v>26830000</v>
      </c>
      <c r="CC93" s="230">
        <v>27972000</v>
      </c>
      <c r="CD93" s="230">
        <v>-1142000</v>
      </c>
      <c r="CE93" s="229">
        <v>-4.0800000000000003E-2</v>
      </c>
      <c r="CF93" s="230">
        <v>1704000</v>
      </c>
      <c r="CG93" s="230">
        <v>1699000</v>
      </c>
      <c r="CH93" s="230">
        <v>5000</v>
      </c>
      <c r="CI93" s="229">
        <v>2.8999999999999998E-3</v>
      </c>
      <c r="CJ93" s="230">
        <v>187000</v>
      </c>
      <c r="CK93" s="230">
        <v>211000</v>
      </c>
      <c r="CL93" s="230">
        <v>-24000</v>
      </c>
      <c r="CM93" s="229">
        <v>-0.1137</v>
      </c>
      <c r="CN93" s="230">
        <v>14768000</v>
      </c>
      <c r="CO93" s="230">
        <v>15816000</v>
      </c>
      <c r="CP93" s="230">
        <v>-1048000</v>
      </c>
      <c r="CQ93" s="229">
        <v>-6.6299999999999998E-2</v>
      </c>
      <c r="CR93" s="230">
        <v>7200000</v>
      </c>
      <c r="CS93" s="230">
        <v>7601000</v>
      </c>
      <c r="CT93" s="230">
        <v>-401000</v>
      </c>
      <c r="CU93" s="229">
        <v>-5.28E-2</v>
      </c>
      <c r="CV93" s="230">
        <v>50689000</v>
      </c>
      <c r="CW93" s="230">
        <v>53299000</v>
      </c>
      <c r="CX93" s="230">
        <v>-2610000</v>
      </c>
      <c r="CY93" s="229">
        <v>-4.9000000000000002E-2</v>
      </c>
      <c r="CZ93" s="228">
        <v>23.16</v>
      </c>
      <c r="DA93" s="228">
        <v>25.65</v>
      </c>
      <c r="DB93" s="228">
        <v>-2.4900000000000002</v>
      </c>
      <c r="DC93" s="228">
        <v>-2.4900000000000002</v>
      </c>
      <c r="DD93" s="228">
        <v>35.54</v>
      </c>
      <c r="DE93" s="228">
        <v>35.57</v>
      </c>
      <c r="DF93" s="228">
        <v>-12.38</v>
      </c>
      <c r="DG93" s="228">
        <v>-0.03</v>
      </c>
      <c r="DH93" s="228">
        <v>23.2</v>
      </c>
      <c r="DI93" s="228">
        <v>25.78</v>
      </c>
      <c r="DJ93" s="228">
        <v>-2.58</v>
      </c>
      <c r="DK93" s="228">
        <v>-2.58</v>
      </c>
      <c r="DL93" s="228">
        <v>23.06</v>
      </c>
      <c r="DM93" s="228">
        <v>25.14</v>
      </c>
      <c r="DN93" s="228">
        <v>-2.08</v>
      </c>
      <c r="DO93" s="228">
        <v>-2.08</v>
      </c>
      <c r="DP93" s="228">
        <v>0.49</v>
      </c>
      <c r="DQ93" s="228">
        <v>0.48</v>
      </c>
      <c r="DR93" s="228">
        <v>0.01</v>
      </c>
      <c r="DS93" s="229">
        <v>2.0799999999999999E-2</v>
      </c>
      <c r="DT93" s="228">
        <v>800</v>
      </c>
      <c r="DU93" s="228">
        <v>730</v>
      </c>
      <c r="DV93" s="228">
        <v>0.39</v>
      </c>
      <c r="DW93" s="228">
        <v>0.27</v>
      </c>
      <c r="DX93" s="228">
        <v>0.12</v>
      </c>
      <c r="DY93" s="229">
        <v>0.44440000000000002</v>
      </c>
      <c r="DZ93" s="229">
        <v>6.5799999999999997E-2</v>
      </c>
      <c r="EA93" s="230">
        <v>1910000</v>
      </c>
      <c r="EB93" s="229">
        <v>5.4999999999999997E-3</v>
      </c>
      <c r="EC93" s="229">
        <v>6.5799999999999997E-2</v>
      </c>
      <c r="ED93" s="228">
        <v>3.93</v>
      </c>
      <c r="EE93" s="229">
        <v>5.3E-3</v>
      </c>
      <c r="EF93" s="230">
        <v>1878671</v>
      </c>
      <c r="EG93" s="230">
        <v>1832516</v>
      </c>
      <c r="EH93" s="229">
        <v>2.52E-2</v>
      </c>
      <c r="EI93" s="229">
        <v>0.63280000000000003</v>
      </c>
      <c r="EJ93" s="231">
        <v>105088.85</v>
      </c>
      <c r="EK93" s="231">
        <v>39425.910000000003</v>
      </c>
      <c r="EL93" s="231">
        <v>30560.53</v>
      </c>
      <c r="EM93" s="231">
        <v>3491</v>
      </c>
      <c r="EN93" s="231">
        <v>175075.29</v>
      </c>
      <c r="EO93" s="231">
        <v>218953.69</v>
      </c>
      <c r="EP93" s="231">
        <v>-43878.400000000001</v>
      </c>
      <c r="EQ93" s="229">
        <v>-0.20039999999999999</v>
      </c>
      <c r="ER93" s="231">
        <v>113992</v>
      </c>
      <c r="ES93" s="231">
        <v>52623</v>
      </c>
      <c r="ET93" s="231">
        <v>212347</v>
      </c>
      <c r="EU93" s="231">
        <v>111956321</v>
      </c>
      <c r="EV93" s="231">
        <v>378961</v>
      </c>
      <c r="EW93" s="231">
        <v>395677</v>
      </c>
      <c r="EX93" s="231">
        <v>-16716</v>
      </c>
      <c r="EY93" s="229">
        <v>-4.2200000000000001E-2</v>
      </c>
      <c r="EZ93" s="229">
        <v>0.45279999999999998</v>
      </c>
      <c r="FA93" s="227" t="s">
        <v>556</v>
      </c>
      <c r="FB93" s="161">
        <f t="shared" si="1"/>
        <v>1891000</v>
      </c>
    </row>
    <row r="94" spans="1:158" ht="17.25" hidden="1" thickBot="1" x14ac:dyDescent="0.3">
      <c r="A94" s="226">
        <v>45946</v>
      </c>
      <c r="B94" s="227" t="s">
        <v>172</v>
      </c>
      <c r="C94" s="227" t="s">
        <v>578</v>
      </c>
      <c r="D94" s="228">
        <v>1000</v>
      </c>
      <c r="E94" s="228">
        <v>774.45</v>
      </c>
      <c r="F94" s="228">
        <v>778.15</v>
      </c>
      <c r="G94" s="228">
        <v>-3.7</v>
      </c>
      <c r="H94" s="229">
        <v>-4.7999999999999996E-3</v>
      </c>
      <c r="I94" s="228">
        <v>771.05</v>
      </c>
      <c r="J94" s="228">
        <v>775.3</v>
      </c>
      <c r="K94" s="228">
        <v>-4.25</v>
      </c>
      <c r="L94" s="229">
        <v>-5.4999999999999997E-3</v>
      </c>
      <c r="M94" s="228">
        <v>774.45</v>
      </c>
      <c r="N94" s="228">
        <v>778.15</v>
      </c>
      <c r="O94" s="228">
        <v>-3.7</v>
      </c>
      <c r="P94" s="229">
        <v>-4.7999999999999996E-3</v>
      </c>
      <c r="Q94" s="228">
        <v>774.85</v>
      </c>
      <c r="R94" s="228">
        <v>776.05</v>
      </c>
      <c r="S94" s="228">
        <v>-1.2</v>
      </c>
      <c r="T94" s="229">
        <v>-1.5E-3</v>
      </c>
      <c r="U94" s="228">
        <v>773.35</v>
      </c>
      <c r="V94" s="228">
        <v>774</v>
      </c>
      <c r="W94" s="228">
        <v>-0.65</v>
      </c>
      <c r="X94" s="229">
        <v>-8.0000000000000004E-4</v>
      </c>
      <c r="Y94" s="228">
        <v>3.4</v>
      </c>
      <c r="Z94" s="228">
        <v>2.85</v>
      </c>
      <c r="AA94" s="228">
        <v>0.55000000000000004</v>
      </c>
      <c r="AB94" s="229">
        <v>4.4000000000000003E-3</v>
      </c>
      <c r="AC94" s="228">
        <v>3.4</v>
      </c>
      <c r="AD94" s="228">
        <v>2.85</v>
      </c>
      <c r="AE94" s="228">
        <v>0.55000000000000004</v>
      </c>
      <c r="AF94" s="229">
        <v>4.4000000000000003E-3</v>
      </c>
      <c r="AG94" s="228">
        <v>3.8</v>
      </c>
      <c r="AH94" s="228">
        <v>0.75</v>
      </c>
      <c r="AI94" s="228">
        <v>3.05</v>
      </c>
      <c r="AJ94" s="229">
        <v>4.8999999999999998E-3</v>
      </c>
      <c r="AK94" s="228">
        <v>2.2999999999999998</v>
      </c>
      <c r="AL94" s="228">
        <v>-1.3</v>
      </c>
      <c r="AM94" s="228">
        <v>3.6</v>
      </c>
      <c r="AN94" s="229">
        <v>3.0000000000000001E-3</v>
      </c>
      <c r="AO94" s="228">
        <v>783.85</v>
      </c>
      <c r="AP94" s="228">
        <v>784.31</v>
      </c>
      <c r="AQ94" s="228">
        <v>0</v>
      </c>
      <c r="AR94" s="230">
        <v>9991000</v>
      </c>
      <c r="AS94" s="230">
        <v>1868000</v>
      </c>
      <c r="AT94" s="230">
        <v>8123000</v>
      </c>
      <c r="AU94" s="229">
        <v>4.3484999999999996</v>
      </c>
      <c r="AV94" s="230">
        <v>8950000</v>
      </c>
      <c r="AW94" s="230">
        <v>1769000</v>
      </c>
      <c r="AX94" s="230">
        <v>7181000</v>
      </c>
      <c r="AY94" s="229">
        <v>4.0594000000000001</v>
      </c>
      <c r="AZ94" s="230">
        <v>1012000</v>
      </c>
      <c r="BA94" s="230">
        <v>97000</v>
      </c>
      <c r="BB94" s="230">
        <v>915000</v>
      </c>
      <c r="BC94" s="229">
        <v>9.4329999999999998</v>
      </c>
      <c r="BD94" s="230">
        <v>29000</v>
      </c>
      <c r="BE94" s="230">
        <v>2000</v>
      </c>
      <c r="BF94" s="230">
        <v>27000</v>
      </c>
      <c r="BG94" s="229">
        <v>13.5</v>
      </c>
      <c r="BH94" s="230">
        <v>35272000</v>
      </c>
      <c r="BI94" s="230">
        <v>2973000</v>
      </c>
      <c r="BJ94" s="230">
        <v>32299000</v>
      </c>
      <c r="BK94" s="229">
        <v>10.864100000000001</v>
      </c>
      <c r="BL94" s="230">
        <v>15499000</v>
      </c>
      <c r="BM94" s="230">
        <v>1505000</v>
      </c>
      <c r="BN94" s="230">
        <v>13994000</v>
      </c>
      <c r="BO94" s="229">
        <v>9.2982999999999993</v>
      </c>
      <c r="BP94" s="230">
        <v>60762000</v>
      </c>
      <c r="BQ94" s="230">
        <v>6346000</v>
      </c>
      <c r="BR94" s="230">
        <v>54416000</v>
      </c>
      <c r="BS94" s="229">
        <v>8.5748999999999995</v>
      </c>
      <c r="BT94" s="230">
        <v>5385364</v>
      </c>
      <c r="BU94" s="230">
        <v>694232</v>
      </c>
      <c r="BV94" s="230">
        <v>4691132</v>
      </c>
      <c r="BW94" s="229">
        <v>6.7572999999999999</v>
      </c>
      <c r="BX94" s="230">
        <v>7555000</v>
      </c>
      <c r="BY94" s="230">
        <v>7415000</v>
      </c>
      <c r="BZ94" s="230">
        <v>140000</v>
      </c>
      <c r="CA94" s="229">
        <v>1.89E-2</v>
      </c>
      <c r="CB94" s="230">
        <v>7013000</v>
      </c>
      <c r="CC94" s="230">
        <v>7126000</v>
      </c>
      <c r="CD94" s="230">
        <v>-113000</v>
      </c>
      <c r="CE94" s="229">
        <v>-1.5900000000000001E-2</v>
      </c>
      <c r="CF94" s="230">
        <v>519000</v>
      </c>
      <c r="CG94" s="230">
        <v>273000</v>
      </c>
      <c r="CH94" s="230">
        <v>246000</v>
      </c>
      <c r="CI94" s="229">
        <v>0.90110000000000001</v>
      </c>
      <c r="CJ94" s="230">
        <v>23000</v>
      </c>
      <c r="CK94" s="230">
        <v>16000</v>
      </c>
      <c r="CL94" s="230">
        <v>7000</v>
      </c>
      <c r="CM94" s="229">
        <v>0.4375</v>
      </c>
      <c r="CN94" s="230">
        <v>5625000</v>
      </c>
      <c r="CO94" s="230">
        <v>3389000</v>
      </c>
      <c r="CP94" s="230">
        <v>2236000</v>
      </c>
      <c r="CQ94" s="229">
        <v>0.65980000000000005</v>
      </c>
      <c r="CR94" s="230">
        <v>3483000</v>
      </c>
      <c r="CS94" s="230">
        <v>2959000</v>
      </c>
      <c r="CT94" s="230">
        <v>524000</v>
      </c>
      <c r="CU94" s="229">
        <v>0.17710000000000001</v>
      </c>
      <c r="CV94" s="230">
        <v>16663000</v>
      </c>
      <c r="CW94" s="230">
        <v>13763000</v>
      </c>
      <c r="CX94" s="230">
        <v>2900000</v>
      </c>
      <c r="CY94" s="229">
        <v>0.2107</v>
      </c>
      <c r="CZ94" s="228">
        <v>28.71</v>
      </c>
      <c r="DA94" s="228">
        <v>32.26</v>
      </c>
      <c r="DB94" s="228">
        <v>-3.55</v>
      </c>
      <c r="DC94" s="228">
        <v>-3.55</v>
      </c>
      <c r="DD94" s="228">
        <v>38.229999999999997</v>
      </c>
      <c r="DE94" s="228">
        <v>38.31</v>
      </c>
      <c r="DF94" s="228">
        <v>-9.52</v>
      </c>
      <c r="DG94" s="228">
        <v>-0.08</v>
      </c>
      <c r="DH94" s="228">
        <v>29.12</v>
      </c>
      <c r="DI94" s="228">
        <v>31.87</v>
      </c>
      <c r="DJ94" s="228">
        <v>-2.75</v>
      </c>
      <c r="DK94" s="228">
        <v>-2.75</v>
      </c>
      <c r="DL94" s="228">
        <v>27.77</v>
      </c>
      <c r="DM94" s="228">
        <v>33.04</v>
      </c>
      <c r="DN94" s="228">
        <v>-5.27</v>
      </c>
      <c r="DO94" s="228">
        <v>-5.27</v>
      </c>
      <c r="DP94" s="228">
        <v>0.62</v>
      </c>
      <c r="DQ94" s="228">
        <v>0.87</v>
      </c>
      <c r="DR94" s="228">
        <v>-0.25</v>
      </c>
      <c r="DS94" s="229">
        <v>-0.28739999999999999</v>
      </c>
      <c r="DT94" s="228">
        <v>800</v>
      </c>
      <c r="DU94" s="228">
        <v>750</v>
      </c>
      <c r="DV94" s="228">
        <v>0.44</v>
      </c>
      <c r="DW94" s="228">
        <v>0.51</v>
      </c>
      <c r="DX94" s="228">
        <v>-7.0000000000000007E-2</v>
      </c>
      <c r="DY94" s="229">
        <v>-0.13730000000000001</v>
      </c>
      <c r="DZ94" s="229">
        <v>7.17E-2</v>
      </c>
      <c r="EA94" s="230">
        <v>289000</v>
      </c>
      <c r="EB94" s="229">
        <v>5.0000000000000001E-4</v>
      </c>
      <c r="EC94" s="229">
        <v>7.17E-2</v>
      </c>
      <c r="ED94" s="228">
        <v>0.46</v>
      </c>
      <c r="EE94" s="229">
        <v>5.9999999999999995E-4</v>
      </c>
      <c r="EF94" s="230">
        <v>1505728</v>
      </c>
      <c r="EG94" s="230">
        <v>256754</v>
      </c>
      <c r="EH94" s="229">
        <v>4.8644999999999996</v>
      </c>
      <c r="EI94" s="229">
        <v>0.27960000000000002</v>
      </c>
      <c r="EJ94" s="231">
        <v>287762.03999999998</v>
      </c>
      <c r="EK94" s="231">
        <v>119970.84</v>
      </c>
      <c r="EL94" s="231">
        <v>78318.33</v>
      </c>
      <c r="EM94" s="231">
        <v>1969</v>
      </c>
      <c r="EN94" s="231">
        <v>486051.21</v>
      </c>
      <c r="EO94" s="231">
        <v>50066.26</v>
      </c>
      <c r="EP94" s="231">
        <v>435984.95</v>
      </c>
      <c r="EQ94" s="229">
        <v>8.7081999999999997</v>
      </c>
      <c r="ER94" s="231">
        <v>44877</v>
      </c>
      <c r="ES94" s="231">
        <v>25366</v>
      </c>
      <c r="ET94" s="231">
        <v>58512</v>
      </c>
      <c r="EU94" s="231">
        <v>52862157</v>
      </c>
      <c r="EV94" s="231">
        <v>128755</v>
      </c>
      <c r="EW94" s="231">
        <v>105598</v>
      </c>
      <c r="EX94" s="231">
        <v>23157</v>
      </c>
      <c r="EY94" s="229">
        <v>0.21929999999999999</v>
      </c>
      <c r="EZ94" s="229">
        <v>0.31519999999999998</v>
      </c>
      <c r="FA94" s="227" t="s">
        <v>567</v>
      </c>
      <c r="FB94" s="161">
        <f t="shared" si="1"/>
        <v>542000</v>
      </c>
    </row>
    <row r="95" spans="1:158" ht="17.25" hidden="1" thickBot="1" x14ac:dyDescent="0.3">
      <c r="A95" s="226">
        <v>45946</v>
      </c>
      <c r="B95" s="227" t="s">
        <v>181</v>
      </c>
      <c r="C95" s="227" t="s">
        <v>689</v>
      </c>
      <c r="D95" s="228">
        <v>1</v>
      </c>
      <c r="E95" s="228">
        <v>10.87</v>
      </c>
      <c r="F95" s="228">
        <v>10.53</v>
      </c>
      <c r="G95" s="228">
        <v>0.34</v>
      </c>
      <c r="H95" s="229">
        <v>3.1800000000000002E-2</v>
      </c>
      <c r="I95" s="228">
        <v>10.87</v>
      </c>
      <c r="J95" s="228">
        <v>10.53</v>
      </c>
      <c r="K95" s="228">
        <v>0.34</v>
      </c>
      <c r="L95" s="229">
        <v>3.1800000000000002E-2</v>
      </c>
      <c r="M95" s="228">
        <v>0</v>
      </c>
      <c r="N95" s="228">
        <v>0</v>
      </c>
      <c r="O95" s="228">
        <v>0</v>
      </c>
      <c r="P95" s="229">
        <v>0</v>
      </c>
      <c r="Q95" s="228">
        <v>0</v>
      </c>
      <c r="R95" s="228">
        <v>0</v>
      </c>
      <c r="S95" s="228">
        <v>0</v>
      </c>
      <c r="T95" s="229">
        <v>0</v>
      </c>
      <c r="U95" s="228">
        <v>0</v>
      </c>
      <c r="V95" s="228">
        <v>0</v>
      </c>
      <c r="W95" s="228">
        <v>0</v>
      </c>
      <c r="X95" s="229">
        <v>0</v>
      </c>
      <c r="Y95" s="228">
        <v>0</v>
      </c>
      <c r="Z95" s="228">
        <v>0</v>
      </c>
      <c r="AA95" s="228">
        <v>0</v>
      </c>
      <c r="AB95" s="229">
        <v>0</v>
      </c>
      <c r="AC95" s="228">
        <v>0</v>
      </c>
      <c r="AD95" s="228">
        <v>0</v>
      </c>
      <c r="AE95" s="228">
        <v>0</v>
      </c>
      <c r="AF95" s="229">
        <v>0</v>
      </c>
      <c r="AG95" s="228">
        <v>0</v>
      </c>
      <c r="AH95" s="228">
        <v>0</v>
      </c>
      <c r="AI95" s="228">
        <v>0</v>
      </c>
      <c r="AJ95" s="229">
        <v>0</v>
      </c>
      <c r="AK95" s="228">
        <v>0</v>
      </c>
      <c r="AL95" s="228">
        <v>0</v>
      </c>
      <c r="AM95" s="228">
        <v>0</v>
      </c>
      <c r="AN95" s="229">
        <v>0</v>
      </c>
      <c r="AO95" s="228">
        <v>0</v>
      </c>
      <c r="AP95" s="228">
        <v>0</v>
      </c>
      <c r="AQ95" s="228">
        <v>0</v>
      </c>
      <c r="AR95" s="228">
        <v>0</v>
      </c>
      <c r="AS95" s="228">
        <v>0</v>
      </c>
      <c r="AT95" s="228">
        <v>0</v>
      </c>
      <c r="AU95" s="229">
        <v>0</v>
      </c>
      <c r="AV95" s="228">
        <v>0</v>
      </c>
      <c r="AW95" s="228">
        <v>0</v>
      </c>
      <c r="AX95" s="228">
        <v>0</v>
      </c>
      <c r="AY95" s="229">
        <v>0</v>
      </c>
      <c r="AZ95" s="228">
        <v>0</v>
      </c>
      <c r="BA95" s="228">
        <v>0</v>
      </c>
      <c r="BB95" s="228">
        <v>0</v>
      </c>
      <c r="BC95" s="229">
        <v>0</v>
      </c>
      <c r="BD95" s="228">
        <v>0</v>
      </c>
      <c r="BE95" s="228">
        <v>0</v>
      </c>
      <c r="BF95" s="228">
        <v>0</v>
      </c>
      <c r="BG95" s="229">
        <v>0</v>
      </c>
      <c r="BH95" s="228">
        <v>0</v>
      </c>
      <c r="BI95" s="228">
        <v>0</v>
      </c>
      <c r="BJ95" s="228">
        <v>0</v>
      </c>
      <c r="BK95" s="229">
        <v>0</v>
      </c>
      <c r="BL95" s="228">
        <v>0</v>
      </c>
      <c r="BM95" s="228">
        <v>0</v>
      </c>
      <c r="BN95" s="228">
        <v>0</v>
      </c>
      <c r="BO95" s="229">
        <v>0</v>
      </c>
      <c r="BP95" s="228">
        <v>0</v>
      </c>
      <c r="BQ95" s="228">
        <v>0</v>
      </c>
      <c r="BR95" s="228">
        <v>0</v>
      </c>
      <c r="BS95" s="229">
        <v>0</v>
      </c>
      <c r="BT95" s="228">
        <v>0</v>
      </c>
      <c r="BU95" s="228">
        <v>0</v>
      </c>
      <c r="BV95" s="228">
        <v>0</v>
      </c>
      <c r="BW95" s="229">
        <v>0</v>
      </c>
      <c r="BX95" s="228">
        <v>0</v>
      </c>
      <c r="BY95" s="228">
        <v>0</v>
      </c>
      <c r="BZ95" s="228">
        <v>0</v>
      </c>
      <c r="CA95" s="229">
        <v>0</v>
      </c>
      <c r="CB95" s="228">
        <v>0</v>
      </c>
      <c r="CC95" s="228">
        <v>0</v>
      </c>
      <c r="CD95" s="228">
        <v>0</v>
      </c>
      <c r="CE95" s="229">
        <v>0</v>
      </c>
      <c r="CF95" s="228">
        <v>0</v>
      </c>
      <c r="CG95" s="228">
        <v>0</v>
      </c>
      <c r="CH95" s="228">
        <v>0</v>
      </c>
      <c r="CI95" s="229">
        <v>0</v>
      </c>
      <c r="CJ95" s="228">
        <v>0</v>
      </c>
      <c r="CK95" s="228">
        <v>0</v>
      </c>
      <c r="CL95" s="228">
        <v>0</v>
      </c>
      <c r="CM95" s="229">
        <v>0</v>
      </c>
      <c r="CN95" s="228">
        <v>0</v>
      </c>
      <c r="CO95" s="228">
        <v>0</v>
      </c>
      <c r="CP95" s="228">
        <v>0</v>
      </c>
      <c r="CQ95" s="229">
        <v>0</v>
      </c>
      <c r="CR95" s="228">
        <v>0</v>
      </c>
      <c r="CS95" s="228">
        <v>0</v>
      </c>
      <c r="CT95" s="228">
        <v>0</v>
      </c>
      <c r="CU95" s="229">
        <v>0</v>
      </c>
      <c r="CV95" s="228">
        <v>0</v>
      </c>
      <c r="CW95" s="228">
        <v>0</v>
      </c>
      <c r="CX95" s="228">
        <v>0</v>
      </c>
      <c r="CY95" s="229">
        <v>0</v>
      </c>
      <c r="CZ95" s="228">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9">
        <v>0</v>
      </c>
      <c r="DT95" s="228">
        <v>0</v>
      </c>
      <c r="DU95" s="228">
        <v>0</v>
      </c>
      <c r="DV95" s="228">
        <v>0</v>
      </c>
      <c r="DW95" s="228">
        <v>0</v>
      </c>
      <c r="DX95" s="228">
        <v>0</v>
      </c>
      <c r="DY95" s="229">
        <v>0</v>
      </c>
      <c r="DZ95" s="229">
        <v>0</v>
      </c>
      <c r="EA95" s="228">
        <v>0</v>
      </c>
      <c r="EB95" s="229">
        <v>0</v>
      </c>
      <c r="EC95" s="229">
        <v>0</v>
      </c>
      <c r="ED95" s="228">
        <v>0</v>
      </c>
      <c r="EE95" s="229">
        <v>0</v>
      </c>
      <c r="EF95" s="228">
        <v>0</v>
      </c>
      <c r="EG95" s="228">
        <v>0</v>
      </c>
      <c r="EH95" s="229">
        <v>0</v>
      </c>
      <c r="EI95" s="229">
        <v>0</v>
      </c>
      <c r="EJ95" s="228">
        <v>0</v>
      </c>
      <c r="EK95" s="228">
        <v>0</v>
      </c>
      <c r="EL95" s="228">
        <v>0</v>
      </c>
      <c r="EM95" s="228">
        <v>0</v>
      </c>
      <c r="EN95" s="228">
        <v>0</v>
      </c>
      <c r="EO95" s="228">
        <v>0</v>
      </c>
      <c r="EP95" s="228">
        <v>0</v>
      </c>
      <c r="EQ95" s="229">
        <v>0</v>
      </c>
      <c r="ER95" s="228">
        <v>0</v>
      </c>
      <c r="ES95" s="228">
        <v>0</v>
      </c>
      <c r="ET95" s="228">
        <v>0</v>
      </c>
      <c r="EU95" s="228">
        <v>0</v>
      </c>
      <c r="EV95" s="228">
        <v>0</v>
      </c>
      <c r="EW95" s="228">
        <v>0</v>
      </c>
      <c r="EX95" s="228">
        <v>0</v>
      </c>
      <c r="EY95" s="229">
        <v>0</v>
      </c>
      <c r="EZ95" s="229">
        <v>0</v>
      </c>
      <c r="FA95" s="227" t="s">
        <v>237</v>
      </c>
      <c r="FB95" s="161">
        <f t="shared" si="1"/>
        <v>0</v>
      </c>
    </row>
    <row r="96" spans="1:158" ht="17.25" hidden="1" thickBot="1" x14ac:dyDescent="0.3">
      <c r="A96" s="226">
        <v>45946</v>
      </c>
      <c r="B96" s="227" t="s">
        <v>215</v>
      </c>
      <c r="C96" s="227" t="s">
        <v>238</v>
      </c>
      <c r="D96" s="228">
        <v>150</v>
      </c>
      <c r="E96" s="231">
        <v>5893.5</v>
      </c>
      <c r="F96" s="231">
        <v>5874</v>
      </c>
      <c r="G96" s="228">
        <v>19.5</v>
      </c>
      <c r="H96" s="229">
        <v>3.3E-3</v>
      </c>
      <c r="I96" s="231">
        <v>5881</v>
      </c>
      <c r="J96" s="231">
        <v>5860.5</v>
      </c>
      <c r="K96" s="228">
        <v>20.5</v>
      </c>
      <c r="L96" s="229">
        <v>3.5000000000000001E-3</v>
      </c>
      <c r="M96" s="231">
        <v>5893.5</v>
      </c>
      <c r="N96" s="231">
        <v>5874</v>
      </c>
      <c r="O96" s="228">
        <v>19.5</v>
      </c>
      <c r="P96" s="229">
        <v>3.3E-3</v>
      </c>
      <c r="Q96" s="231">
        <v>5920.5</v>
      </c>
      <c r="R96" s="231">
        <v>5902</v>
      </c>
      <c r="S96" s="228">
        <v>18.5</v>
      </c>
      <c r="T96" s="229">
        <v>3.0999999999999999E-3</v>
      </c>
      <c r="U96" s="231">
        <v>5956.5</v>
      </c>
      <c r="V96" s="231">
        <v>5929</v>
      </c>
      <c r="W96" s="228">
        <v>27.5</v>
      </c>
      <c r="X96" s="229">
        <v>4.5999999999999999E-3</v>
      </c>
      <c r="Y96" s="228">
        <v>12.5</v>
      </c>
      <c r="Z96" s="228">
        <v>13.5</v>
      </c>
      <c r="AA96" s="228">
        <v>-1</v>
      </c>
      <c r="AB96" s="229">
        <v>2.0999999999999999E-3</v>
      </c>
      <c r="AC96" s="228">
        <v>12.5</v>
      </c>
      <c r="AD96" s="228">
        <v>13.5</v>
      </c>
      <c r="AE96" s="228">
        <v>-1</v>
      </c>
      <c r="AF96" s="229">
        <v>2.0999999999999999E-3</v>
      </c>
      <c r="AG96" s="228">
        <v>39.5</v>
      </c>
      <c r="AH96" s="228">
        <v>41.5</v>
      </c>
      <c r="AI96" s="228">
        <v>-2</v>
      </c>
      <c r="AJ96" s="229">
        <v>6.7000000000000002E-3</v>
      </c>
      <c r="AK96" s="228">
        <v>75.5</v>
      </c>
      <c r="AL96" s="228">
        <v>68.5</v>
      </c>
      <c r="AM96" s="228">
        <v>7</v>
      </c>
      <c r="AN96" s="229">
        <v>1.2800000000000001E-2</v>
      </c>
      <c r="AO96" s="231">
        <v>5900.57</v>
      </c>
      <c r="AP96" s="231">
        <v>5928.39</v>
      </c>
      <c r="AQ96" s="228">
        <v>0</v>
      </c>
      <c r="AR96" s="230">
        <v>1000800</v>
      </c>
      <c r="AS96" s="230">
        <v>1487250</v>
      </c>
      <c r="AT96" s="230">
        <v>-486450</v>
      </c>
      <c r="AU96" s="229">
        <v>-0.3271</v>
      </c>
      <c r="AV96" s="230">
        <v>781200</v>
      </c>
      <c r="AW96" s="230">
        <v>1358850</v>
      </c>
      <c r="AX96" s="230">
        <v>-577650</v>
      </c>
      <c r="AY96" s="229">
        <v>-0.42509999999999998</v>
      </c>
      <c r="AZ96" s="230">
        <v>211500</v>
      </c>
      <c r="BA96" s="230">
        <v>117000</v>
      </c>
      <c r="BB96" s="230">
        <v>94500</v>
      </c>
      <c r="BC96" s="229">
        <v>0.80769999999999997</v>
      </c>
      <c r="BD96" s="230">
        <v>8100</v>
      </c>
      <c r="BE96" s="230">
        <v>11400</v>
      </c>
      <c r="BF96" s="230">
        <v>-3300</v>
      </c>
      <c r="BG96" s="229">
        <v>-0.28949999999999998</v>
      </c>
      <c r="BH96" s="230">
        <v>3001050</v>
      </c>
      <c r="BI96" s="230">
        <v>5106150</v>
      </c>
      <c r="BJ96" s="230">
        <v>-2105100</v>
      </c>
      <c r="BK96" s="229">
        <v>-0.4123</v>
      </c>
      <c r="BL96" s="230">
        <v>1474200</v>
      </c>
      <c r="BM96" s="230">
        <v>2080050</v>
      </c>
      <c r="BN96" s="230">
        <v>-605850</v>
      </c>
      <c r="BO96" s="229">
        <v>-0.2913</v>
      </c>
      <c r="BP96" s="230">
        <v>5476050</v>
      </c>
      <c r="BQ96" s="230">
        <v>8673450</v>
      </c>
      <c r="BR96" s="230">
        <v>-3197400</v>
      </c>
      <c r="BS96" s="229">
        <v>-0.36859999999999998</v>
      </c>
      <c r="BT96" s="230">
        <v>544688</v>
      </c>
      <c r="BU96" s="230">
        <v>742515</v>
      </c>
      <c r="BV96" s="230">
        <v>-197827</v>
      </c>
      <c r="BW96" s="229">
        <v>-0.26640000000000003</v>
      </c>
      <c r="BX96" s="230">
        <v>7973700</v>
      </c>
      <c r="BY96" s="230">
        <v>7913250</v>
      </c>
      <c r="BZ96" s="230">
        <v>60450</v>
      </c>
      <c r="CA96" s="229">
        <v>7.6E-3</v>
      </c>
      <c r="CB96" s="230">
        <v>7537650</v>
      </c>
      <c r="CC96" s="230">
        <v>7596300</v>
      </c>
      <c r="CD96" s="230">
        <v>-58650</v>
      </c>
      <c r="CE96" s="229">
        <v>-7.7000000000000002E-3</v>
      </c>
      <c r="CF96" s="230">
        <v>403500</v>
      </c>
      <c r="CG96" s="230">
        <v>286050</v>
      </c>
      <c r="CH96" s="230">
        <v>117450</v>
      </c>
      <c r="CI96" s="229">
        <v>0.41060000000000002</v>
      </c>
      <c r="CJ96" s="230">
        <v>32550</v>
      </c>
      <c r="CK96" s="230">
        <v>30900</v>
      </c>
      <c r="CL96" s="230">
        <v>1650</v>
      </c>
      <c r="CM96" s="229">
        <v>5.3400000000000003E-2</v>
      </c>
      <c r="CN96" s="230">
        <v>1998900</v>
      </c>
      <c r="CO96" s="230">
        <v>1867350</v>
      </c>
      <c r="CP96" s="230">
        <v>131550</v>
      </c>
      <c r="CQ96" s="229">
        <v>7.0400000000000004E-2</v>
      </c>
      <c r="CR96" s="230">
        <v>1562250</v>
      </c>
      <c r="CS96" s="230">
        <v>1528050</v>
      </c>
      <c r="CT96" s="230">
        <v>34200</v>
      </c>
      <c r="CU96" s="229">
        <v>2.24E-2</v>
      </c>
      <c r="CV96" s="230">
        <v>11534850</v>
      </c>
      <c r="CW96" s="230">
        <v>11308650</v>
      </c>
      <c r="CX96" s="230">
        <v>226200</v>
      </c>
      <c r="CY96" s="229">
        <v>0.02</v>
      </c>
      <c r="CZ96" s="228">
        <v>20.47</v>
      </c>
      <c r="DA96" s="228">
        <v>20.72</v>
      </c>
      <c r="DB96" s="228">
        <v>-0.25</v>
      </c>
      <c r="DC96" s="228">
        <v>-0.25</v>
      </c>
      <c r="DD96" s="228">
        <v>32.700000000000003</v>
      </c>
      <c r="DE96" s="228">
        <v>32.770000000000003</v>
      </c>
      <c r="DF96" s="228">
        <v>-12.23</v>
      </c>
      <c r="DG96" s="228">
        <v>-7.0000000000000007E-2</v>
      </c>
      <c r="DH96" s="228">
        <v>19.600000000000001</v>
      </c>
      <c r="DI96" s="228">
        <v>19.739999999999998</v>
      </c>
      <c r="DJ96" s="228">
        <v>-0.14000000000000001</v>
      </c>
      <c r="DK96" s="228">
        <v>-0.14000000000000001</v>
      </c>
      <c r="DL96" s="228">
        <v>22.23</v>
      </c>
      <c r="DM96" s="228">
        <v>23.12</v>
      </c>
      <c r="DN96" s="228">
        <v>-0.89</v>
      </c>
      <c r="DO96" s="228">
        <v>-0.89</v>
      </c>
      <c r="DP96" s="228">
        <v>0.78</v>
      </c>
      <c r="DQ96" s="228">
        <v>0.82</v>
      </c>
      <c r="DR96" s="228">
        <v>-0.04</v>
      </c>
      <c r="DS96" s="229">
        <v>-4.8800000000000003E-2</v>
      </c>
      <c r="DT96" s="231">
        <v>6000</v>
      </c>
      <c r="DU96" s="231">
        <v>5800</v>
      </c>
      <c r="DV96" s="228">
        <v>0.49</v>
      </c>
      <c r="DW96" s="228">
        <v>0.41</v>
      </c>
      <c r="DX96" s="228">
        <v>0.08</v>
      </c>
      <c r="DY96" s="229">
        <v>0.1951</v>
      </c>
      <c r="DZ96" s="229">
        <v>5.4699999999999999E-2</v>
      </c>
      <c r="EA96" s="230">
        <v>316950</v>
      </c>
      <c r="EB96" s="229">
        <v>4.5999999999999999E-3</v>
      </c>
      <c r="EC96" s="229">
        <v>5.4699999999999999E-2</v>
      </c>
      <c r="ED96" s="228">
        <v>27.82</v>
      </c>
      <c r="EE96" s="229">
        <v>4.7000000000000002E-3</v>
      </c>
      <c r="EF96" s="230">
        <v>322189</v>
      </c>
      <c r="EG96" s="230">
        <v>421144</v>
      </c>
      <c r="EH96" s="229">
        <v>-0.23499999999999999</v>
      </c>
      <c r="EI96" s="229">
        <v>0.59150000000000003</v>
      </c>
      <c r="EJ96" s="231">
        <v>180809.23</v>
      </c>
      <c r="EK96" s="231">
        <v>84379.05</v>
      </c>
      <c r="EL96" s="231">
        <v>59116.52</v>
      </c>
      <c r="EM96" s="231">
        <v>6661</v>
      </c>
      <c r="EN96" s="231">
        <v>324304.8</v>
      </c>
      <c r="EO96" s="231">
        <v>510471.82</v>
      </c>
      <c r="EP96" s="231">
        <v>-186167.02</v>
      </c>
      <c r="EQ96" s="229">
        <v>-0.36470000000000002</v>
      </c>
      <c r="ER96" s="231">
        <v>118637</v>
      </c>
      <c r="ES96" s="231">
        <v>88022</v>
      </c>
      <c r="ET96" s="231">
        <v>470059</v>
      </c>
      <c r="EU96" s="231">
        <v>32732860</v>
      </c>
      <c r="EV96" s="231">
        <v>676718</v>
      </c>
      <c r="EW96" s="231">
        <v>661140</v>
      </c>
      <c r="EX96" s="231">
        <v>15578</v>
      </c>
      <c r="EY96" s="229">
        <v>2.3599999999999999E-2</v>
      </c>
      <c r="EZ96" s="229">
        <v>0.35239999999999999</v>
      </c>
      <c r="FA96" s="227" t="s">
        <v>555</v>
      </c>
      <c r="FB96" s="161">
        <f t="shared" si="1"/>
        <v>436050</v>
      </c>
    </row>
    <row r="97" spans="1:158" ht="17.25" hidden="1" thickBot="1" x14ac:dyDescent="0.3">
      <c r="A97" s="226">
        <v>45946</v>
      </c>
      <c r="B97" s="227" t="s">
        <v>172</v>
      </c>
      <c r="C97" s="227" t="s">
        <v>239</v>
      </c>
      <c r="D97" s="228">
        <v>700</v>
      </c>
      <c r="E97" s="228">
        <v>739.7</v>
      </c>
      <c r="F97" s="228">
        <v>741.95</v>
      </c>
      <c r="G97" s="228">
        <v>-2.25</v>
      </c>
      <c r="H97" s="229">
        <v>-3.0000000000000001E-3</v>
      </c>
      <c r="I97" s="228">
        <v>739.5</v>
      </c>
      <c r="J97" s="228">
        <v>740.1</v>
      </c>
      <c r="K97" s="228">
        <v>-0.6</v>
      </c>
      <c r="L97" s="229">
        <v>-8.0000000000000004E-4</v>
      </c>
      <c r="M97" s="228">
        <v>739.7</v>
      </c>
      <c r="N97" s="228">
        <v>741.95</v>
      </c>
      <c r="O97" s="228">
        <v>-2.25</v>
      </c>
      <c r="P97" s="229">
        <v>-3.0000000000000001E-3</v>
      </c>
      <c r="Q97" s="228">
        <v>743.9</v>
      </c>
      <c r="R97" s="228">
        <v>745.6</v>
      </c>
      <c r="S97" s="228">
        <v>-1.7</v>
      </c>
      <c r="T97" s="229">
        <v>-2.3E-3</v>
      </c>
      <c r="U97" s="228">
        <v>748</v>
      </c>
      <c r="V97" s="228">
        <v>750.35</v>
      </c>
      <c r="W97" s="228">
        <v>-2.35</v>
      </c>
      <c r="X97" s="229">
        <v>-3.0999999999999999E-3</v>
      </c>
      <c r="Y97" s="228">
        <v>0.2</v>
      </c>
      <c r="Z97" s="228">
        <v>1.85</v>
      </c>
      <c r="AA97" s="228">
        <v>-1.65</v>
      </c>
      <c r="AB97" s="229">
        <v>2.9999999999999997E-4</v>
      </c>
      <c r="AC97" s="228">
        <v>0.2</v>
      </c>
      <c r="AD97" s="228">
        <v>1.85</v>
      </c>
      <c r="AE97" s="228">
        <v>-1.65</v>
      </c>
      <c r="AF97" s="229">
        <v>2.9999999999999997E-4</v>
      </c>
      <c r="AG97" s="228">
        <v>4.4000000000000004</v>
      </c>
      <c r="AH97" s="228">
        <v>5.5</v>
      </c>
      <c r="AI97" s="228">
        <v>-1.1000000000000001</v>
      </c>
      <c r="AJ97" s="229">
        <v>5.8999999999999999E-3</v>
      </c>
      <c r="AK97" s="228">
        <v>8.5</v>
      </c>
      <c r="AL97" s="228">
        <v>10.25</v>
      </c>
      <c r="AM97" s="228">
        <v>-1.75</v>
      </c>
      <c r="AN97" s="229">
        <v>1.15E-2</v>
      </c>
      <c r="AO97" s="228">
        <v>740.8</v>
      </c>
      <c r="AP97" s="228">
        <v>745.21</v>
      </c>
      <c r="AQ97" s="228">
        <v>0</v>
      </c>
      <c r="AR97" s="230">
        <v>6972000</v>
      </c>
      <c r="AS97" s="230">
        <v>8929900</v>
      </c>
      <c r="AT97" s="230">
        <v>-1957900</v>
      </c>
      <c r="AU97" s="229">
        <v>-0.21929999999999999</v>
      </c>
      <c r="AV97" s="230">
        <v>5729500</v>
      </c>
      <c r="AW97" s="230">
        <v>7210700</v>
      </c>
      <c r="AX97" s="230">
        <v>-1481200</v>
      </c>
      <c r="AY97" s="229">
        <v>-0.2054</v>
      </c>
      <c r="AZ97" s="230">
        <v>1186500</v>
      </c>
      <c r="BA97" s="230">
        <v>1621900</v>
      </c>
      <c r="BB97" s="230">
        <v>-435400</v>
      </c>
      <c r="BC97" s="229">
        <v>-0.26850000000000002</v>
      </c>
      <c r="BD97" s="230">
        <v>56000</v>
      </c>
      <c r="BE97" s="230">
        <v>97300</v>
      </c>
      <c r="BF97" s="230">
        <v>-41300</v>
      </c>
      <c r="BG97" s="229">
        <v>-0.42449999999999999</v>
      </c>
      <c r="BH97" s="230">
        <v>9144100</v>
      </c>
      <c r="BI97" s="230">
        <v>13076700</v>
      </c>
      <c r="BJ97" s="230">
        <v>-3932600</v>
      </c>
      <c r="BK97" s="229">
        <v>-0.30070000000000002</v>
      </c>
      <c r="BL97" s="230">
        <v>4774700</v>
      </c>
      <c r="BM97" s="230">
        <v>8947400</v>
      </c>
      <c r="BN97" s="230">
        <v>-4172700</v>
      </c>
      <c r="BO97" s="229">
        <v>-0.46639999999999998</v>
      </c>
      <c r="BP97" s="230">
        <v>20890800</v>
      </c>
      <c r="BQ97" s="230">
        <v>30954000</v>
      </c>
      <c r="BR97" s="230">
        <v>-10063200</v>
      </c>
      <c r="BS97" s="229">
        <v>-0.3251</v>
      </c>
      <c r="BT97" s="230">
        <v>3162631</v>
      </c>
      <c r="BU97" s="230">
        <v>2398101</v>
      </c>
      <c r="BV97" s="230">
        <v>764530</v>
      </c>
      <c r="BW97" s="229">
        <v>0.31879999999999997</v>
      </c>
      <c r="BX97" s="230">
        <v>54916400</v>
      </c>
      <c r="BY97" s="230">
        <v>54258400</v>
      </c>
      <c r="BZ97" s="230">
        <v>658000</v>
      </c>
      <c r="CA97" s="229">
        <v>1.21E-2</v>
      </c>
      <c r="CB97" s="230">
        <v>50482600</v>
      </c>
      <c r="CC97" s="230">
        <v>50551900</v>
      </c>
      <c r="CD97" s="230">
        <v>-69300</v>
      </c>
      <c r="CE97" s="229">
        <v>-1.4E-3</v>
      </c>
      <c r="CF97" s="230">
        <v>4140500</v>
      </c>
      <c r="CG97" s="230">
        <v>3444000</v>
      </c>
      <c r="CH97" s="230">
        <v>696500</v>
      </c>
      <c r="CI97" s="229">
        <v>0.20219999999999999</v>
      </c>
      <c r="CJ97" s="230">
        <v>293300</v>
      </c>
      <c r="CK97" s="230">
        <v>262500</v>
      </c>
      <c r="CL97" s="230">
        <v>30800</v>
      </c>
      <c r="CM97" s="229">
        <v>0.1173</v>
      </c>
      <c r="CN97" s="230">
        <v>13916700</v>
      </c>
      <c r="CO97" s="230">
        <v>13231400</v>
      </c>
      <c r="CP97" s="230">
        <v>685300</v>
      </c>
      <c r="CQ97" s="229">
        <v>5.1799999999999999E-2</v>
      </c>
      <c r="CR97" s="230">
        <v>12273800</v>
      </c>
      <c r="CS97" s="230">
        <v>11801300</v>
      </c>
      <c r="CT97" s="230">
        <v>472500</v>
      </c>
      <c r="CU97" s="229">
        <v>0.04</v>
      </c>
      <c r="CV97" s="230">
        <v>81106900</v>
      </c>
      <c r="CW97" s="230">
        <v>79291100</v>
      </c>
      <c r="CX97" s="230">
        <v>1815800</v>
      </c>
      <c r="CY97" s="229">
        <v>2.29E-2</v>
      </c>
      <c r="CZ97" s="228">
        <v>39.340000000000003</v>
      </c>
      <c r="DA97" s="228">
        <v>37.06</v>
      </c>
      <c r="DB97" s="228">
        <v>2.2799999999999998</v>
      </c>
      <c r="DC97" s="228">
        <v>2.2799999999999998</v>
      </c>
      <c r="DD97" s="228">
        <v>47.2</v>
      </c>
      <c r="DE97" s="228">
        <v>47.32</v>
      </c>
      <c r="DF97" s="228">
        <v>-7.86</v>
      </c>
      <c r="DG97" s="228">
        <v>-0.12</v>
      </c>
      <c r="DH97" s="228">
        <v>39.380000000000003</v>
      </c>
      <c r="DI97" s="228">
        <v>36.880000000000003</v>
      </c>
      <c r="DJ97" s="228">
        <v>2.5</v>
      </c>
      <c r="DK97" s="228">
        <v>2.5</v>
      </c>
      <c r="DL97" s="228">
        <v>39.26</v>
      </c>
      <c r="DM97" s="228">
        <v>37.32</v>
      </c>
      <c r="DN97" s="228">
        <v>1.94</v>
      </c>
      <c r="DO97" s="228">
        <v>1.94</v>
      </c>
      <c r="DP97" s="228">
        <v>0.88</v>
      </c>
      <c r="DQ97" s="228">
        <v>0.89</v>
      </c>
      <c r="DR97" s="228">
        <v>-0.01</v>
      </c>
      <c r="DS97" s="229">
        <v>-1.12E-2</v>
      </c>
      <c r="DT97" s="228">
        <v>750</v>
      </c>
      <c r="DU97" s="228">
        <v>700</v>
      </c>
      <c r="DV97" s="228">
        <v>0.52</v>
      </c>
      <c r="DW97" s="228">
        <v>0.68</v>
      </c>
      <c r="DX97" s="228">
        <v>-0.16</v>
      </c>
      <c r="DY97" s="229">
        <v>-0.23530000000000001</v>
      </c>
      <c r="DZ97" s="229">
        <v>8.0699999999999994E-2</v>
      </c>
      <c r="EA97" s="230">
        <v>3706500</v>
      </c>
      <c r="EB97" s="229">
        <v>5.7000000000000002E-3</v>
      </c>
      <c r="EC97" s="229">
        <v>8.0699999999999994E-2</v>
      </c>
      <c r="ED97" s="228">
        <v>4.41</v>
      </c>
      <c r="EE97" s="229">
        <v>6.0000000000000001E-3</v>
      </c>
      <c r="EF97" s="230">
        <v>1867270</v>
      </c>
      <c r="EG97" s="230">
        <v>1076887</v>
      </c>
      <c r="EH97" s="229">
        <v>0.73399999999999999</v>
      </c>
      <c r="EI97" s="229">
        <v>0.59040000000000004</v>
      </c>
      <c r="EJ97" s="231">
        <v>71414.509999999995</v>
      </c>
      <c r="EK97" s="231">
        <v>35553.68</v>
      </c>
      <c r="EL97" s="231">
        <v>51705.5</v>
      </c>
      <c r="EM97" s="231">
        <v>10964</v>
      </c>
      <c r="EN97" s="231">
        <v>158673.69</v>
      </c>
      <c r="EO97" s="231">
        <v>235071.23</v>
      </c>
      <c r="EP97" s="231">
        <v>-76397.539999999994</v>
      </c>
      <c r="EQ97" s="229">
        <v>-0.32500000000000001</v>
      </c>
      <c r="ER97" s="231">
        <v>107996</v>
      </c>
      <c r="ES97" s="231">
        <v>90342</v>
      </c>
      <c r="ET97" s="231">
        <v>406415</v>
      </c>
      <c r="EU97" s="231">
        <v>93805784</v>
      </c>
      <c r="EV97" s="231">
        <v>604753</v>
      </c>
      <c r="EW97" s="231">
        <v>592477</v>
      </c>
      <c r="EX97" s="231">
        <v>12276</v>
      </c>
      <c r="EY97" s="229">
        <v>2.07E-2</v>
      </c>
      <c r="EZ97" s="229">
        <v>0.86460000000000004</v>
      </c>
      <c r="FA97" s="227" t="s">
        <v>567</v>
      </c>
      <c r="FB97" s="161">
        <f t="shared" si="1"/>
        <v>4433800</v>
      </c>
    </row>
    <row r="98" spans="1:158" ht="17.25" hidden="1" thickBot="1" x14ac:dyDescent="0.3">
      <c r="A98" s="226">
        <v>45946</v>
      </c>
      <c r="B98" s="227" t="s">
        <v>188</v>
      </c>
      <c r="C98" s="227" t="s">
        <v>473</v>
      </c>
      <c r="D98" s="228">
        <v>1700</v>
      </c>
      <c r="E98" s="228">
        <v>345.4</v>
      </c>
      <c r="F98" s="228">
        <v>346.3</v>
      </c>
      <c r="G98" s="228">
        <v>-0.9</v>
      </c>
      <c r="H98" s="229">
        <v>-2.5999999999999999E-3</v>
      </c>
      <c r="I98" s="228">
        <v>343.95</v>
      </c>
      <c r="J98" s="228">
        <v>344.8</v>
      </c>
      <c r="K98" s="228">
        <v>-0.85</v>
      </c>
      <c r="L98" s="229">
        <v>-2.5000000000000001E-3</v>
      </c>
      <c r="M98" s="228">
        <v>345.4</v>
      </c>
      <c r="N98" s="228">
        <v>346.3</v>
      </c>
      <c r="O98" s="228">
        <v>-0.9</v>
      </c>
      <c r="P98" s="229">
        <v>-2.5999999999999999E-3</v>
      </c>
      <c r="Q98" s="228">
        <v>347.1</v>
      </c>
      <c r="R98" s="228">
        <v>348.4</v>
      </c>
      <c r="S98" s="228">
        <v>-1.3</v>
      </c>
      <c r="T98" s="229">
        <v>-3.7000000000000002E-3</v>
      </c>
      <c r="U98" s="228">
        <v>349.65</v>
      </c>
      <c r="V98" s="228">
        <v>350.15</v>
      </c>
      <c r="W98" s="228">
        <v>-0.5</v>
      </c>
      <c r="X98" s="229">
        <v>-1.4E-3</v>
      </c>
      <c r="Y98" s="228">
        <v>1.45</v>
      </c>
      <c r="Z98" s="228">
        <v>1.5</v>
      </c>
      <c r="AA98" s="228">
        <v>-0.05</v>
      </c>
      <c r="AB98" s="229">
        <v>4.1999999999999997E-3</v>
      </c>
      <c r="AC98" s="228">
        <v>1.45</v>
      </c>
      <c r="AD98" s="228">
        <v>1.5</v>
      </c>
      <c r="AE98" s="228">
        <v>-0.05</v>
      </c>
      <c r="AF98" s="229">
        <v>4.1999999999999997E-3</v>
      </c>
      <c r="AG98" s="228">
        <v>3.15</v>
      </c>
      <c r="AH98" s="228">
        <v>3.6</v>
      </c>
      <c r="AI98" s="228">
        <v>-0.45</v>
      </c>
      <c r="AJ98" s="229">
        <v>9.1999999999999998E-3</v>
      </c>
      <c r="AK98" s="228">
        <v>5.7</v>
      </c>
      <c r="AL98" s="228">
        <v>5.35</v>
      </c>
      <c r="AM98" s="228">
        <v>0.35</v>
      </c>
      <c r="AN98" s="229">
        <v>1.66E-2</v>
      </c>
      <c r="AO98" s="228">
        <v>346.29</v>
      </c>
      <c r="AP98" s="228">
        <v>347.88</v>
      </c>
      <c r="AQ98" s="228">
        <v>0</v>
      </c>
      <c r="AR98" s="230">
        <v>4486300</v>
      </c>
      <c r="AS98" s="230">
        <v>6857800</v>
      </c>
      <c r="AT98" s="230">
        <v>-2371500</v>
      </c>
      <c r="AU98" s="229">
        <v>-0.3458</v>
      </c>
      <c r="AV98" s="230">
        <v>4025600</v>
      </c>
      <c r="AW98" s="230">
        <v>6400500</v>
      </c>
      <c r="AX98" s="230">
        <v>-2374900</v>
      </c>
      <c r="AY98" s="229">
        <v>-0.371</v>
      </c>
      <c r="AZ98" s="230">
        <v>447100</v>
      </c>
      <c r="BA98" s="230">
        <v>428400</v>
      </c>
      <c r="BB98" s="230">
        <v>18700</v>
      </c>
      <c r="BC98" s="229">
        <v>4.3700000000000003E-2</v>
      </c>
      <c r="BD98" s="230">
        <v>13600</v>
      </c>
      <c r="BE98" s="230">
        <v>28900</v>
      </c>
      <c r="BF98" s="230">
        <v>-15300</v>
      </c>
      <c r="BG98" s="229">
        <v>-0.52939999999999998</v>
      </c>
      <c r="BH98" s="230">
        <v>8508500</v>
      </c>
      <c r="BI98" s="230">
        <v>18266500</v>
      </c>
      <c r="BJ98" s="230">
        <v>-9758000</v>
      </c>
      <c r="BK98" s="229">
        <v>-0.53420000000000001</v>
      </c>
      <c r="BL98" s="230">
        <v>4450600</v>
      </c>
      <c r="BM98" s="230">
        <v>9164700</v>
      </c>
      <c r="BN98" s="230">
        <v>-4714100</v>
      </c>
      <c r="BO98" s="229">
        <v>-0.51439999999999997</v>
      </c>
      <c r="BP98" s="230">
        <v>17445400</v>
      </c>
      <c r="BQ98" s="230">
        <v>34289000</v>
      </c>
      <c r="BR98" s="230">
        <v>-16843600</v>
      </c>
      <c r="BS98" s="229">
        <v>-0.49120000000000003</v>
      </c>
      <c r="BT98" s="230">
        <v>3648686</v>
      </c>
      <c r="BU98" s="230">
        <v>3996148</v>
      </c>
      <c r="BV98" s="230">
        <v>-347462</v>
      </c>
      <c r="BW98" s="229">
        <v>-8.6900000000000005E-2</v>
      </c>
      <c r="BX98" s="230">
        <v>90015000</v>
      </c>
      <c r="BY98" s="230">
        <v>89754900</v>
      </c>
      <c r="BZ98" s="230">
        <v>260100</v>
      </c>
      <c r="CA98" s="229">
        <v>2.8999999999999998E-3</v>
      </c>
      <c r="CB98" s="230">
        <v>86871700</v>
      </c>
      <c r="CC98" s="230">
        <v>86841100</v>
      </c>
      <c r="CD98" s="230">
        <v>30600</v>
      </c>
      <c r="CE98" s="229">
        <v>4.0000000000000002E-4</v>
      </c>
      <c r="CF98" s="230">
        <v>2964800</v>
      </c>
      <c r="CG98" s="230">
        <v>2747200</v>
      </c>
      <c r="CH98" s="230">
        <v>217600</v>
      </c>
      <c r="CI98" s="229">
        <v>7.9200000000000007E-2</v>
      </c>
      <c r="CJ98" s="230">
        <v>178500</v>
      </c>
      <c r="CK98" s="230">
        <v>166600</v>
      </c>
      <c r="CL98" s="230">
        <v>11900</v>
      </c>
      <c r="CM98" s="229">
        <v>7.1400000000000005E-2</v>
      </c>
      <c r="CN98" s="230">
        <v>20124600</v>
      </c>
      <c r="CO98" s="230">
        <v>19985200</v>
      </c>
      <c r="CP98" s="230">
        <v>139400</v>
      </c>
      <c r="CQ98" s="229">
        <v>7.0000000000000001E-3</v>
      </c>
      <c r="CR98" s="230">
        <v>14859700</v>
      </c>
      <c r="CS98" s="230">
        <v>14387100</v>
      </c>
      <c r="CT98" s="230">
        <v>472600</v>
      </c>
      <c r="CU98" s="229">
        <v>3.2800000000000003E-2</v>
      </c>
      <c r="CV98" s="230">
        <v>124999300</v>
      </c>
      <c r="CW98" s="230">
        <v>124127200</v>
      </c>
      <c r="CX98" s="230">
        <v>872100</v>
      </c>
      <c r="CY98" s="229">
        <v>7.0000000000000001E-3</v>
      </c>
      <c r="CZ98" s="228">
        <v>31.1</v>
      </c>
      <c r="DA98" s="228">
        <v>31.43</v>
      </c>
      <c r="DB98" s="228">
        <v>-0.33</v>
      </c>
      <c r="DC98" s="228">
        <v>-0.33</v>
      </c>
      <c r="DD98" s="228">
        <v>39.81</v>
      </c>
      <c r="DE98" s="228">
        <v>39.909999999999997</v>
      </c>
      <c r="DF98" s="228">
        <v>-8.7100000000000009</v>
      </c>
      <c r="DG98" s="228">
        <v>-0.1</v>
      </c>
      <c r="DH98" s="228">
        <v>31.39</v>
      </c>
      <c r="DI98" s="228">
        <v>31.39</v>
      </c>
      <c r="DJ98" s="228">
        <v>0</v>
      </c>
      <c r="DK98" s="228">
        <v>0</v>
      </c>
      <c r="DL98" s="228">
        <v>30.54</v>
      </c>
      <c r="DM98" s="228">
        <v>31.5</v>
      </c>
      <c r="DN98" s="228">
        <v>-0.96</v>
      </c>
      <c r="DO98" s="228">
        <v>-0.96</v>
      </c>
      <c r="DP98" s="228">
        <v>0.74</v>
      </c>
      <c r="DQ98" s="228">
        <v>0.72</v>
      </c>
      <c r="DR98" s="228">
        <v>0.02</v>
      </c>
      <c r="DS98" s="229">
        <v>2.7799999999999998E-2</v>
      </c>
      <c r="DT98" s="228">
        <v>360</v>
      </c>
      <c r="DU98" s="228">
        <v>340</v>
      </c>
      <c r="DV98" s="228">
        <v>0.52</v>
      </c>
      <c r="DW98" s="228">
        <v>0.5</v>
      </c>
      <c r="DX98" s="228">
        <v>0.02</v>
      </c>
      <c r="DY98" s="229">
        <v>0.04</v>
      </c>
      <c r="DZ98" s="229">
        <v>3.49E-2</v>
      </c>
      <c r="EA98" s="230">
        <v>2913800</v>
      </c>
      <c r="EB98" s="229">
        <v>4.8999999999999998E-3</v>
      </c>
      <c r="EC98" s="229">
        <v>3.49E-2</v>
      </c>
      <c r="ED98" s="228">
        <v>1.59</v>
      </c>
      <c r="EE98" s="229">
        <v>4.5999999999999999E-3</v>
      </c>
      <c r="EF98" s="230">
        <v>2405009</v>
      </c>
      <c r="EG98" s="230">
        <v>2612727</v>
      </c>
      <c r="EH98" s="229">
        <v>-7.9500000000000001E-2</v>
      </c>
      <c r="EI98" s="229">
        <v>0.65910000000000002</v>
      </c>
      <c r="EJ98" s="231">
        <v>30951.67</v>
      </c>
      <c r="EK98" s="231">
        <v>15280.07</v>
      </c>
      <c r="EL98" s="231">
        <v>15543.38</v>
      </c>
      <c r="EM98" s="231">
        <v>5568</v>
      </c>
      <c r="EN98" s="231">
        <v>61775.12</v>
      </c>
      <c r="EO98" s="231">
        <v>121399.38</v>
      </c>
      <c r="EP98" s="231">
        <v>-59624.26</v>
      </c>
      <c r="EQ98" s="229">
        <v>-0.49109999999999998</v>
      </c>
      <c r="ER98" s="231">
        <v>74082</v>
      </c>
      <c r="ES98" s="231">
        <v>51236</v>
      </c>
      <c r="ET98" s="231">
        <v>310970</v>
      </c>
      <c r="EU98" s="231">
        <v>197705578</v>
      </c>
      <c r="EV98" s="231">
        <v>436288</v>
      </c>
      <c r="EW98" s="231">
        <v>434151</v>
      </c>
      <c r="EX98" s="231">
        <v>2137</v>
      </c>
      <c r="EY98" s="229">
        <v>4.8999999999999998E-3</v>
      </c>
      <c r="EZ98" s="229">
        <v>0.63219999999999998</v>
      </c>
      <c r="FA98" s="227" t="s">
        <v>567</v>
      </c>
      <c r="FB98" s="161">
        <f t="shared" si="1"/>
        <v>3143300</v>
      </c>
    </row>
    <row r="99" spans="1:158" ht="17.25" hidden="1" thickBot="1" x14ac:dyDescent="0.3">
      <c r="A99" s="226">
        <v>45946</v>
      </c>
      <c r="B99" s="227" t="s">
        <v>221</v>
      </c>
      <c r="C99" s="227" t="s">
        <v>240</v>
      </c>
      <c r="D99" s="228">
        <v>400</v>
      </c>
      <c r="E99" s="231">
        <v>1456.9</v>
      </c>
      <c r="F99" s="231">
        <v>1464.9</v>
      </c>
      <c r="G99" s="228">
        <v>-8</v>
      </c>
      <c r="H99" s="229">
        <v>-5.4999999999999997E-3</v>
      </c>
      <c r="I99" s="231">
        <v>1471.5</v>
      </c>
      <c r="J99" s="231">
        <v>1474.4</v>
      </c>
      <c r="K99" s="228">
        <v>-2.9</v>
      </c>
      <c r="L99" s="229">
        <v>-2E-3</v>
      </c>
      <c r="M99" s="231">
        <v>1456.9</v>
      </c>
      <c r="N99" s="231">
        <v>1464.9</v>
      </c>
      <c r="O99" s="228">
        <v>-8</v>
      </c>
      <c r="P99" s="229">
        <v>-5.4999999999999997E-3</v>
      </c>
      <c r="Q99" s="231">
        <v>1456.8</v>
      </c>
      <c r="R99" s="231">
        <v>1461.1</v>
      </c>
      <c r="S99" s="228">
        <v>-4.3</v>
      </c>
      <c r="T99" s="229">
        <v>-2.8999999999999998E-3</v>
      </c>
      <c r="U99" s="231">
        <v>1460.2</v>
      </c>
      <c r="V99" s="231">
        <v>1465.1</v>
      </c>
      <c r="W99" s="228">
        <v>-4.9000000000000004</v>
      </c>
      <c r="X99" s="229">
        <v>-3.3E-3</v>
      </c>
      <c r="Y99" s="228">
        <v>-14.6</v>
      </c>
      <c r="Z99" s="228">
        <v>-9.5</v>
      </c>
      <c r="AA99" s="228">
        <v>-5.0999999999999996</v>
      </c>
      <c r="AB99" s="229">
        <v>-9.9000000000000008E-3</v>
      </c>
      <c r="AC99" s="228">
        <v>-14.6</v>
      </c>
      <c r="AD99" s="228">
        <v>-9.5</v>
      </c>
      <c r="AE99" s="228">
        <v>-5.0999999999999996</v>
      </c>
      <c r="AF99" s="229">
        <v>-9.9000000000000008E-3</v>
      </c>
      <c r="AG99" s="228">
        <v>-14.7</v>
      </c>
      <c r="AH99" s="228">
        <v>-13.3</v>
      </c>
      <c r="AI99" s="228">
        <v>-1.4</v>
      </c>
      <c r="AJ99" s="229">
        <v>-0.01</v>
      </c>
      <c r="AK99" s="228">
        <v>-11.3</v>
      </c>
      <c r="AL99" s="228">
        <v>-9.3000000000000007</v>
      </c>
      <c r="AM99" s="228">
        <v>-2</v>
      </c>
      <c r="AN99" s="229">
        <v>-7.7000000000000002E-3</v>
      </c>
      <c r="AO99" s="231">
        <v>1454.71</v>
      </c>
      <c r="AP99" s="231">
        <v>1454.58</v>
      </c>
      <c r="AQ99" s="228">
        <v>0</v>
      </c>
      <c r="AR99" s="230">
        <v>18027200</v>
      </c>
      <c r="AS99" s="230">
        <v>12617200</v>
      </c>
      <c r="AT99" s="230">
        <v>5410000</v>
      </c>
      <c r="AU99" s="229">
        <v>0.42880000000000001</v>
      </c>
      <c r="AV99" s="230">
        <v>15213200</v>
      </c>
      <c r="AW99" s="230">
        <v>10416800</v>
      </c>
      <c r="AX99" s="230">
        <v>4796400</v>
      </c>
      <c r="AY99" s="229">
        <v>0.46039999999999998</v>
      </c>
      <c r="AZ99" s="230">
        <v>2437600</v>
      </c>
      <c r="BA99" s="230">
        <v>2063200</v>
      </c>
      <c r="BB99" s="230">
        <v>374400</v>
      </c>
      <c r="BC99" s="229">
        <v>0.18149999999999999</v>
      </c>
      <c r="BD99" s="230">
        <v>376400</v>
      </c>
      <c r="BE99" s="230">
        <v>137200</v>
      </c>
      <c r="BF99" s="230">
        <v>239200</v>
      </c>
      <c r="BG99" s="229">
        <v>1.7434000000000001</v>
      </c>
      <c r="BH99" s="230">
        <v>63302800</v>
      </c>
      <c r="BI99" s="230">
        <v>34941600</v>
      </c>
      <c r="BJ99" s="230">
        <v>28361200</v>
      </c>
      <c r="BK99" s="229">
        <v>0.81169999999999998</v>
      </c>
      <c r="BL99" s="230">
        <v>28567200</v>
      </c>
      <c r="BM99" s="230">
        <v>17622800</v>
      </c>
      <c r="BN99" s="230">
        <v>10944400</v>
      </c>
      <c r="BO99" s="229">
        <v>0.621</v>
      </c>
      <c r="BP99" s="230">
        <v>109897200</v>
      </c>
      <c r="BQ99" s="230">
        <v>65181600</v>
      </c>
      <c r="BR99" s="230">
        <v>44715600</v>
      </c>
      <c r="BS99" s="229">
        <v>0.68600000000000005</v>
      </c>
      <c r="BT99" s="230">
        <v>8770375</v>
      </c>
      <c r="BU99" s="230">
        <v>7317377</v>
      </c>
      <c r="BV99" s="230">
        <v>1452998</v>
      </c>
      <c r="BW99" s="229">
        <v>0.1986</v>
      </c>
      <c r="BX99" s="230">
        <v>66774000</v>
      </c>
      <c r="BY99" s="230">
        <v>64755200</v>
      </c>
      <c r="BZ99" s="230">
        <v>2018800</v>
      </c>
      <c r="CA99" s="229">
        <v>3.1199999999999999E-2</v>
      </c>
      <c r="CB99" s="230">
        <v>44165600</v>
      </c>
      <c r="CC99" s="230">
        <v>43421200</v>
      </c>
      <c r="CD99" s="230">
        <v>744400</v>
      </c>
      <c r="CE99" s="229">
        <v>1.7100000000000001E-2</v>
      </c>
      <c r="CF99" s="230">
        <v>21979200</v>
      </c>
      <c r="CG99" s="230">
        <v>20998800</v>
      </c>
      <c r="CH99" s="230">
        <v>980400</v>
      </c>
      <c r="CI99" s="229">
        <v>4.6699999999999998E-2</v>
      </c>
      <c r="CJ99" s="230">
        <v>629200</v>
      </c>
      <c r="CK99" s="230">
        <v>335200</v>
      </c>
      <c r="CL99" s="230">
        <v>294000</v>
      </c>
      <c r="CM99" s="229">
        <v>0.87709999999999999</v>
      </c>
      <c r="CN99" s="230">
        <v>54339600</v>
      </c>
      <c r="CO99" s="230">
        <v>43859200</v>
      </c>
      <c r="CP99" s="230">
        <v>10480400</v>
      </c>
      <c r="CQ99" s="229">
        <v>0.23899999999999999</v>
      </c>
      <c r="CR99" s="230">
        <v>25868000</v>
      </c>
      <c r="CS99" s="230">
        <v>21251200</v>
      </c>
      <c r="CT99" s="230">
        <v>4616800</v>
      </c>
      <c r="CU99" s="229">
        <v>0.2172</v>
      </c>
      <c r="CV99" s="230">
        <v>146981600</v>
      </c>
      <c r="CW99" s="230">
        <v>129865600</v>
      </c>
      <c r="CX99" s="230">
        <v>17116000</v>
      </c>
      <c r="CY99" s="229">
        <v>0.1318</v>
      </c>
      <c r="CZ99" s="228">
        <v>34.9</v>
      </c>
      <c r="DA99" s="228">
        <v>34.659999999999997</v>
      </c>
      <c r="DB99" s="228">
        <v>0.24</v>
      </c>
      <c r="DC99" s="228">
        <v>0.24</v>
      </c>
      <c r="DD99" s="228">
        <v>29.29</v>
      </c>
      <c r="DE99" s="228">
        <v>29.36</v>
      </c>
      <c r="DF99" s="228">
        <v>5.61</v>
      </c>
      <c r="DG99" s="228">
        <v>-7.0000000000000007E-2</v>
      </c>
      <c r="DH99" s="228">
        <v>35.840000000000003</v>
      </c>
      <c r="DI99" s="228">
        <v>35.340000000000003</v>
      </c>
      <c r="DJ99" s="228">
        <v>0.5</v>
      </c>
      <c r="DK99" s="228">
        <v>0.5</v>
      </c>
      <c r="DL99" s="228">
        <v>32.82</v>
      </c>
      <c r="DM99" s="228">
        <v>33.299999999999997</v>
      </c>
      <c r="DN99" s="228">
        <v>-0.48</v>
      </c>
      <c r="DO99" s="228">
        <v>-0.48</v>
      </c>
      <c r="DP99" s="228">
        <v>0.48</v>
      </c>
      <c r="DQ99" s="228">
        <v>0.48</v>
      </c>
      <c r="DR99" s="228">
        <v>0</v>
      </c>
      <c r="DS99" s="229">
        <v>0</v>
      </c>
      <c r="DT99" s="231">
        <v>1560</v>
      </c>
      <c r="DU99" s="231">
        <v>1400</v>
      </c>
      <c r="DV99" s="228">
        <v>0.45</v>
      </c>
      <c r="DW99" s="228">
        <v>0.5</v>
      </c>
      <c r="DX99" s="228">
        <v>-0.05</v>
      </c>
      <c r="DY99" s="229">
        <v>-0.1</v>
      </c>
      <c r="DZ99" s="229">
        <v>0.33860000000000001</v>
      </c>
      <c r="EA99" s="230">
        <v>21334000</v>
      </c>
      <c r="EB99" s="229">
        <v>-1E-4</v>
      </c>
      <c r="EC99" s="229">
        <v>0.33860000000000001</v>
      </c>
      <c r="ED99" s="228">
        <v>-0.13</v>
      </c>
      <c r="EE99" s="229">
        <v>-1E-4</v>
      </c>
      <c r="EF99" s="230">
        <v>4748948</v>
      </c>
      <c r="EG99" s="230">
        <v>3797421</v>
      </c>
      <c r="EH99" s="229">
        <v>0.25059999999999999</v>
      </c>
      <c r="EI99" s="229">
        <v>0.54149999999999998</v>
      </c>
      <c r="EJ99" s="231">
        <v>977486.74</v>
      </c>
      <c r="EK99" s="231">
        <v>408867.51</v>
      </c>
      <c r="EL99" s="231">
        <v>262257.94</v>
      </c>
      <c r="EM99" s="231">
        <v>31935</v>
      </c>
      <c r="EN99" s="231">
        <v>1648612.19</v>
      </c>
      <c r="EO99" s="231">
        <v>983258.33</v>
      </c>
      <c r="EP99" s="231">
        <v>665353.86</v>
      </c>
      <c r="EQ99" s="229">
        <v>0.67669999999999997</v>
      </c>
      <c r="ER99" s="231">
        <v>838878</v>
      </c>
      <c r="ES99" s="231">
        <v>368182</v>
      </c>
      <c r="ET99" s="231">
        <v>972829</v>
      </c>
      <c r="EU99" s="231">
        <v>341789333</v>
      </c>
      <c r="EV99" s="231">
        <v>2179890</v>
      </c>
      <c r="EW99" s="231">
        <v>1930846</v>
      </c>
      <c r="EX99" s="231">
        <v>249044</v>
      </c>
      <c r="EY99" s="229">
        <v>0.129</v>
      </c>
      <c r="EZ99" s="229">
        <v>0.43</v>
      </c>
      <c r="FA99" s="227" t="s">
        <v>567</v>
      </c>
      <c r="FB99" s="161">
        <f t="shared" si="1"/>
        <v>22608400</v>
      </c>
    </row>
    <row r="100" spans="1:158" ht="17.25" hidden="1" thickBot="1" x14ac:dyDescent="0.3">
      <c r="A100" s="226">
        <v>45946</v>
      </c>
      <c r="B100" s="227" t="s">
        <v>161</v>
      </c>
      <c r="C100" s="227" t="s">
        <v>670</v>
      </c>
      <c r="D100" s="228">
        <v>3272</v>
      </c>
      <c r="E100" s="228">
        <v>147.26</v>
      </c>
      <c r="F100" s="228">
        <v>148.88999999999999</v>
      </c>
      <c r="G100" s="228">
        <v>-1.63</v>
      </c>
      <c r="H100" s="229">
        <v>-1.09E-2</v>
      </c>
      <c r="I100" s="228">
        <v>146.84</v>
      </c>
      <c r="J100" s="228">
        <v>148.19</v>
      </c>
      <c r="K100" s="228">
        <v>-1.35</v>
      </c>
      <c r="L100" s="229">
        <v>-9.1000000000000004E-3</v>
      </c>
      <c r="M100" s="228">
        <v>147.26</v>
      </c>
      <c r="N100" s="228">
        <v>148.88999999999999</v>
      </c>
      <c r="O100" s="228">
        <v>-1.63</v>
      </c>
      <c r="P100" s="229">
        <v>-1.09E-2</v>
      </c>
      <c r="Q100" s="228">
        <v>147.91</v>
      </c>
      <c r="R100" s="228">
        <v>149.66999999999999</v>
      </c>
      <c r="S100" s="228">
        <v>-1.76</v>
      </c>
      <c r="T100" s="229">
        <v>-1.18E-2</v>
      </c>
      <c r="U100" s="228">
        <v>148.80000000000001</v>
      </c>
      <c r="V100" s="228">
        <v>150.61000000000001</v>
      </c>
      <c r="W100" s="228">
        <v>-1.81</v>
      </c>
      <c r="X100" s="229">
        <v>-1.2E-2</v>
      </c>
      <c r="Y100" s="228">
        <v>0.42</v>
      </c>
      <c r="Z100" s="228">
        <v>0.7</v>
      </c>
      <c r="AA100" s="228">
        <v>-0.28000000000000003</v>
      </c>
      <c r="AB100" s="229">
        <v>2.8999999999999998E-3</v>
      </c>
      <c r="AC100" s="228">
        <v>0.42</v>
      </c>
      <c r="AD100" s="228">
        <v>0.7</v>
      </c>
      <c r="AE100" s="228">
        <v>-0.28000000000000003</v>
      </c>
      <c r="AF100" s="229">
        <v>2.8999999999999998E-3</v>
      </c>
      <c r="AG100" s="228">
        <v>1.07</v>
      </c>
      <c r="AH100" s="228">
        <v>1.48</v>
      </c>
      <c r="AI100" s="228">
        <v>-0.41</v>
      </c>
      <c r="AJ100" s="229">
        <v>7.3000000000000001E-3</v>
      </c>
      <c r="AK100" s="228">
        <v>1.96</v>
      </c>
      <c r="AL100" s="228">
        <v>2.42</v>
      </c>
      <c r="AM100" s="228">
        <v>-0.46</v>
      </c>
      <c r="AN100" s="229">
        <v>1.3299999999999999E-2</v>
      </c>
      <c r="AO100" s="228">
        <v>147.97999999999999</v>
      </c>
      <c r="AP100" s="228">
        <v>148.56</v>
      </c>
      <c r="AQ100" s="228">
        <v>0</v>
      </c>
      <c r="AR100" s="230">
        <v>5274464</v>
      </c>
      <c r="AS100" s="230">
        <v>5765264</v>
      </c>
      <c r="AT100" s="230">
        <v>-490800</v>
      </c>
      <c r="AU100" s="229">
        <v>-8.5099999999999995E-2</v>
      </c>
      <c r="AV100" s="230">
        <v>4669144</v>
      </c>
      <c r="AW100" s="230">
        <v>4986528</v>
      </c>
      <c r="AX100" s="230">
        <v>-317384</v>
      </c>
      <c r="AY100" s="229">
        <v>-6.3600000000000004E-2</v>
      </c>
      <c r="AZ100" s="230">
        <v>562784</v>
      </c>
      <c r="BA100" s="230">
        <v>749288</v>
      </c>
      <c r="BB100" s="230">
        <v>-186504</v>
      </c>
      <c r="BC100" s="229">
        <v>-0.24890000000000001</v>
      </c>
      <c r="BD100" s="230">
        <v>42536</v>
      </c>
      <c r="BE100" s="230">
        <v>29448</v>
      </c>
      <c r="BF100" s="230">
        <v>13088</v>
      </c>
      <c r="BG100" s="229">
        <v>0.44440000000000002</v>
      </c>
      <c r="BH100" s="230">
        <v>7469976</v>
      </c>
      <c r="BI100" s="230">
        <v>11618872</v>
      </c>
      <c r="BJ100" s="230">
        <v>-4148896</v>
      </c>
      <c r="BK100" s="229">
        <v>-0.35709999999999997</v>
      </c>
      <c r="BL100" s="230">
        <v>2238048</v>
      </c>
      <c r="BM100" s="230">
        <v>4325584</v>
      </c>
      <c r="BN100" s="230">
        <v>-2087536</v>
      </c>
      <c r="BO100" s="229">
        <v>-0.48259999999999997</v>
      </c>
      <c r="BP100" s="230">
        <v>14982488</v>
      </c>
      <c r="BQ100" s="230">
        <v>21709720</v>
      </c>
      <c r="BR100" s="230">
        <v>-6727232</v>
      </c>
      <c r="BS100" s="229">
        <v>-0.30990000000000001</v>
      </c>
      <c r="BT100" s="230">
        <v>2868030</v>
      </c>
      <c r="BU100" s="230">
        <v>6970470</v>
      </c>
      <c r="BV100" s="230">
        <v>-4102440</v>
      </c>
      <c r="BW100" s="229">
        <v>-0.58850000000000002</v>
      </c>
      <c r="BX100" s="230">
        <v>47601056</v>
      </c>
      <c r="BY100" s="230">
        <v>47270584</v>
      </c>
      <c r="BZ100" s="230">
        <v>330472</v>
      </c>
      <c r="CA100" s="229">
        <v>7.0000000000000001E-3</v>
      </c>
      <c r="CB100" s="230">
        <v>44626808</v>
      </c>
      <c r="CC100" s="230">
        <v>44489384</v>
      </c>
      <c r="CD100" s="230">
        <v>137424</v>
      </c>
      <c r="CE100" s="229">
        <v>3.0999999999999999E-3</v>
      </c>
      <c r="CF100" s="230">
        <v>2774656</v>
      </c>
      <c r="CG100" s="230">
        <v>2614328</v>
      </c>
      <c r="CH100" s="230">
        <v>160328</v>
      </c>
      <c r="CI100" s="229">
        <v>6.13E-2</v>
      </c>
      <c r="CJ100" s="230">
        <v>199592</v>
      </c>
      <c r="CK100" s="230">
        <v>166872</v>
      </c>
      <c r="CL100" s="230">
        <v>32720</v>
      </c>
      <c r="CM100" s="229">
        <v>0.1961</v>
      </c>
      <c r="CN100" s="230">
        <v>21389064</v>
      </c>
      <c r="CO100" s="230">
        <v>20917896</v>
      </c>
      <c r="CP100" s="230">
        <v>471168</v>
      </c>
      <c r="CQ100" s="229">
        <v>2.2499999999999999E-2</v>
      </c>
      <c r="CR100" s="230">
        <v>9780008</v>
      </c>
      <c r="CS100" s="230">
        <v>9567328</v>
      </c>
      <c r="CT100" s="230">
        <v>212680</v>
      </c>
      <c r="CU100" s="229">
        <v>2.2200000000000001E-2</v>
      </c>
      <c r="CV100" s="230">
        <v>78770128</v>
      </c>
      <c r="CW100" s="230">
        <v>77755808</v>
      </c>
      <c r="CX100" s="230">
        <v>1014320</v>
      </c>
      <c r="CY100" s="229">
        <v>1.2999999999999999E-2</v>
      </c>
      <c r="CZ100" s="228">
        <v>35.33</v>
      </c>
      <c r="DA100" s="228">
        <v>34.69</v>
      </c>
      <c r="DB100" s="228">
        <v>0.64</v>
      </c>
      <c r="DC100" s="228">
        <v>0.64</v>
      </c>
      <c r="DD100" s="228">
        <v>56.76</v>
      </c>
      <c r="DE100" s="228">
        <v>56.89</v>
      </c>
      <c r="DF100" s="228">
        <v>-21.43</v>
      </c>
      <c r="DG100" s="228">
        <v>-0.13</v>
      </c>
      <c r="DH100" s="228">
        <v>35.06</v>
      </c>
      <c r="DI100" s="228">
        <v>34.78</v>
      </c>
      <c r="DJ100" s="228">
        <v>0.28000000000000003</v>
      </c>
      <c r="DK100" s="228">
        <v>0.28000000000000003</v>
      </c>
      <c r="DL100" s="228">
        <v>36.22</v>
      </c>
      <c r="DM100" s="228">
        <v>34.43</v>
      </c>
      <c r="DN100" s="228">
        <v>1.79</v>
      </c>
      <c r="DO100" s="228">
        <v>1.79</v>
      </c>
      <c r="DP100" s="228">
        <v>0.46</v>
      </c>
      <c r="DQ100" s="228">
        <v>0.46</v>
      </c>
      <c r="DR100" s="228">
        <v>0</v>
      </c>
      <c r="DS100" s="229">
        <v>0</v>
      </c>
      <c r="DT100" s="228">
        <v>150</v>
      </c>
      <c r="DU100" s="228">
        <v>140</v>
      </c>
      <c r="DV100" s="228">
        <v>0.3</v>
      </c>
      <c r="DW100" s="228">
        <v>0.37</v>
      </c>
      <c r="DX100" s="228">
        <v>-7.0000000000000007E-2</v>
      </c>
      <c r="DY100" s="229">
        <v>-0.18920000000000001</v>
      </c>
      <c r="DZ100" s="229">
        <v>6.25E-2</v>
      </c>
      <c r="EA100" s="230">
        <v>2781200</v>
      </c>
      <c r="EB100" s="229">
        <v>4.4000000000000003E-3</v>
      </c>
      <c r="EC100" s="229">
        <v>6.25E-2</v>
      </c>
      <c r="ED100" s="228">
        <v>0.57999999999999996</v>
      </c>
      <c r="EE100" s="229">
        <v>3.8999999999999998E-3</v>
      </c>
      <c r="EF100" s="230">
        <v>1224915</v>
      </c>
      <c r="EG100" s="230">
        <v>3493615</v>
      </c>
      <c r="EH100" s="229">
        <v>-0.64939999999999998</v>
      </c>
      <c r="EI100" s="229">
        <v>0.42709999999999998</v>
      </c>
      <c r="EJ100" s="231">
        <v>11628.53</v>
      </c>
      <c r="EK100" s="231">
        <v>3371.02</v>
      </c>
      <c r="EL100" s="231">
        <v>7809</v>
      </c>
      <c r="EM100" s="231">
        <v>3048</v>
      </c>
      <c r="EN100" s="231">
        <v>22808.55</v>
      </c>
      <c r="EO100" s="231">
        <v>33109.75</v>
      </c>
      <c r="EP100" s="231">
        <v>-10301.200000000001</v>
      </c>
      <c r="EQ100" s="229">
        <v>-0.31109999999999999</v>
      </c>
      <c r="ER100" s="231">
        <v>33397</v>
      </c>
      <c r="ES100" s="231">
        <v>13997</v>
      </c>
      <c r="ET100" s="231">
        <v>70118</v>
      </c>
      <c r="EU100" s="231">
        <v>144708707</v>
      </c>
      <c r="EV100" s="231">
        <v>117513</v>
      </c>
      <c r="EW100" s="231">
        <v>116773</v>
      </c>
      <c r="EX100" s="228">
        <v>740</v>
      </c>
      <c r="EY100" s="229">
        <v>6.3E-3</v>
      </c>
      <c r="EZ100" s="229">
        <v>0.54430000000000001</v>
      </c>
      <c r="FA100" s="227" t="s">
        <v>567</v>
      </c>
      <c r="FB100" s="161">
        <f t="shared" si="1"/>
        <v>2974248</v>
      </c>
    </row>
    <row r="101" spans="1:158" ht="17.25" hidden="1" thickBot="1" x14ac:dyDescent="0.3">
      <c r="A101" s="226">
        <v>45946</v>
      </c>
      <c r="B101" s="227" t="s">
        <v>193</v>
      </c>
      <c r="C101" s="227" t="s">
        <v>241</v>
      </c>
      <c r="D101" s="228">
        <v>4875</v>
      </c>
      <c r="E101" s="228">
        <v>153.91999999999999</v>
      </c>
      <c r="F101" s="228">
        <v>154.37</v>
      </c>
      <c r="G101" s="228">
        <v>-0.45</v>
      </c>
      <c r="H101" s="229">
        <v>-2.8999999999999998E-3</v>
      </c>
      <c r="I101" s="228">
        <v>153.66999999999999</v>
      </c>
      <c r="J101" s="228">
        <v>153.69</v>
      </c>
      <c r="K101" s="228">
        <v>-0.02</v>
      </c>
      <c r="L101" s="229">
        <v>-1E-4</v>
      </c>
      <c r="M101" s="228">
        <v>153.91999999999999</v>
      </c>
      <c r="N101" s="228">
        <v>154.37</v>
      </c>
      <c r="O101" s="228">
        <v>-0.45</v>
      </c>
      <c r="P101" s="229">
        <v>-2.8999999999999998E-3</v>
      </c>
      <c r="Q101" s="228">
        <v>154.6</v>
      </c>
      <c r="R101" s="228">
        <v>155</v>
      </c>
      <c r="S101" s="228">
        <v>-0.4</v>
      </c>
      <c r="T101" s="229">
        <v>-2.5999999999999999E-3</v>
      </c>
      <c r="U101" s="228">
        <v>155.38</v>
      </c>
      <c r="V101" s="228">
        <v>155.88</v>
      </c>
      <c r="W101" s="228">
        <v>-0.5</v>
      </c>
      <c r="X101" s="229">
        <v>-3.2000000000000002E-3</v>
      </c>
      <c r="Y101" s="228">
        <v>0.25</v>
      </c>
      <c r="Z101" s="228">
        <v>0.68</v>
      </c>
      <c r="AA101" s="228">
        <v>-0.43</v>
      </c>
      <c r="AB101" s="229">
        <v>1.6000000000000001E-3</v>
      </c>
      <c r="AC101" s="228">
        <v>0.25</v>
      </c>
      <c r="AD101" s="228">
        <v>0.68</v>
      </c>
      <c r="AE101" s="228">
        <v>-0.43</v>
      </c>
      <c r="AF101" s="229">
        <v>1.6000000000000001E-3</v>
      </c>
      <c r="AG101" s="228">
        <v>0.93</v>
      </c>
      <c r="AH101" s="228">
        <v>1.31</v>
      </c>
      <c r="AI101" s="228">
        <v>-0.38</v>
      </c>
      <c r="AJ101" s="229">
        <v>6.1000000000000004E-3</v>
      </c>
      <c r="AK101" s="228">
        <v>1.71</v>
      </c>
      <c r="AL101" s="228">
        <v>2.19</v>
      </c>
      <c r="AM101" s="228">
        <v>-0.48</v>
      </c>
      <c r="AN101" s="229">
        <v>1.11E-2</v>
      </c>
      <c r="AO101" s="228">
        <v>153.87</v>
      </c>
      <c r="AP101" s="228">
        <v>154.13999999999999</v>
      </c>
      <c r="AQ101" s="228">
        <v>0</v>
      </c>
      <c r="AR101" s="230">
        <v>18544500</v>
      </c>
      <c r="AS101" s="230">
        <v>21830250</v>
      </c>
      <c r="AT101" s="230">
        <v>-3285750</v>
      </c>
      <c r="AU101" s="229">
        <v>-0.15049999999999999</v>
      </c>
      <c r="AV101" s="230">
        <v>15517125</v>
      </c>
      <c r="AW101" s="230">
        <v>19573125</v>
      </c>
      <c r="AX101" s="230">
        <v>-4056000</v>
      </c>
      <c r="AY101" s="229">
        <v>-0.2072</v>
      </c>
      <c r="AZ101" s="230">
        <v>2554500</v>
      </c>
      <c r="BA101" s="230">
        <v>1984125</v>
      </c>
      <c r="BB101" s="230">
        <v>570375</v>
      </c>
      <c r="BC101" s="229">
        <v>0.28749999999999998</v>
      </c>
      <c r="BD101" s="230">
        <v>472875</v>
      </c>
      <c r="BE101" s="230">
        <v>273000</v>
      </c>
      <c r="BF101" s="230">
        <v>199875</v>
      </c>
      <c r="BG101" s="229">
        <v>0.73209999999999997</v>
      </c>
      <c r="BH101" s="230">
        <v>61308000</v>
      </c>
      <c r="BI101" s="230">
        <v>41037750</v>
      </c>
      <c r="BJ101" s="230">
        <v>20270250</v>
      </c>
      <c r="BK101" s="229">
        <v>0.49390000000000001</v>
      </c>
      <c r="BL101" s="230">
        <v>35002500</v>
      </c>
      <c r="BM101" s="230">
        <v>23122125</v>
      </c>
      <c r="BN101" s="230">
        <v>11880375</v>
      </c>
      <c r="BO101" s="229">
        <v>0.51380000000000003</v>
      </c>
      <c r="BP101" s="230">
        <v>114855000</v>
      </c>
      <c r="BQ101" s="230">
        <v>85990125</v>
      </c>
      <c r="BR101" s="230">
        <v>28864875</v>
      </c>
      <c r="BS101" s="229">
        <v>0.3357</v>
      </c>
      <c r="BT101" s="230">
        <v>7426802</v>
      </c>
      <c r="BU101" s="230">
        <v>19374085</v>
      </c>
      <c r="BV101" s="230">
        <v>-11947283</v>
      </c>
      <c r="BW101" s="229">
        <v>-0.61670000000000003</v>
      </c>
      <c r="BX101" s="230">
        <v>107464500</v>
      </c>
      <c r="BY101" s="230">
        <v>106616250</v>
      </c>
      <c r="BZ101" s="230">
        <v>848250</v>
      </c>
      <c r="CA101" s="229">
        <v>8.0000000000000002E-3</v>
      </c>
      <c r="CB101" s="230">
        <v>99708375</v>
      </c>
      <c r="CC101" s="230">
        <v>99991125</v>
      </c>
      <c r="CD101" s="230">
        <v>-282750</v>
      </c>
      <c r="CE101" s="229">
        <v>-2.8E-3</v>
      </c>
      <c r="CF101" s="230">
        <v>7166250</v>
      </c>
      <c r="CG101" s="230">
        <v>6064500</v>
      </c>
      <c r="CH101" s="230">
        <v>1101750</v>
      </c>
      <c r="CI101" s="229">
        <v>0.1817</v>
      </c>
      <c r="CJ101" s="230">
        <v>589875</v>
      </c>
      <c r="CK101" s="230">
        <v>560625</v>
      </c>
      <c r="CL101" s="230">
        <v>29250</v>
      </c>
      <c r="CM101" s="229">
        <v>5.2200000000000003E-2</v>
      </c>
      <c r="CN101" s="230">
        <v>52659750</v>
      </c>
      <c r="CO101" s="230">
        <v>50700000</v>
      </c>
      <c r="CP101" s="230">
        <v>1959750</v>
      </c>
      <c r="CQ101" s="229">
        <v>3.8699999999999998E-2</v>
      </c>
      <c r="CR101" s="230">
        <v>34461375</v>
      </c>
      <c r="CS101" s="230">
        <v>32194500</v>
      </c>
      <c r="CT101" s="230">
        <v>2266875</v>
      </c>
      <c r="CU101" s="229">
        <v>7.0400000000000004E-2</v>
      </c>
      <c r="CV101" s="230">
        <v>194585625</v>
      </c>
      <c r="CW101" s="230">
        <v>189510750</v>
      </c>
      <c r="CX101" s="230">
        <v>5074875</v>
      </c>
      <c r="CY101" s="229">
        <v>2.6800000000000001E-2</v>
      </c>
      <c r="CZ101" s="228">
        <v>24.59</v>
      </c>
      <c r="DA101" s="228">
        <v>25.41</v>
      </c>
      <c r="DB101" s="228">
        <v>-0.82</v>
      </c>
      <c r="DC101" s="228">
        <v>-0.82</v>
      </c>
      <c r="DD101" s="228">
        <v>31.99</v>
      </c>
      <c r="DE101" s="228">
        <v>32.06</v>
      </c>
      <c r="DF101" s="228">
        <v>-7.4</v>
      </c>
      <c r="DG101" s="228">
        <v>-7.0000000000000007E-2</v>
      </c>
      <c r="DH101" s="228">
        <v>24.87</v>
      </c>
      <c r="DI101" s="228">
        <v>25.38</v>
      </c>
      <c r="DJ101" s="228">
        <v>-0.51</v>
      </c>
      <c r="DK101" s="228">
        <v>-0.51</v>
      </c>
      <c r="DL101" s="228">
        <v>24.11</v>
      </c>
      <c r="DM101" s="228">
        <v>25.46</v>
      </c>
      <c r="DN101" s="228">
        <v>-1.35</v>
      </c>
      <c r="DO101" s="228">
        <v>-1.35</v>
      </c>
      <c r="DP101" s="228">
        <v>0.65</v>
      </c>
      <c r="DQ101" s="228">
        <v>0.64</v>
      </c>
      <c r="DR101" s="228">
        <v>0.01</v>
      </c>
      <c r="DS101" s="229">
        <v>1.5599999999999999E-2</v>
      </c>
      <c r="DT101" s="228">
        <v>155</v>
      </c>
      <c r="DU101" s="228">
        <v>150</v>
      </c>
      <c r="DV101" s="228">
        <v>0.56999999999999995</v>
      </c>
      <c r="DW101" s="228">
        <v>0.56000000000000005</v>
      </c>
      <c r="DX101" s="228">
        <v>0.01</v>
      </c>
      <c r="DY101" s="229">
        <v>1.7899999999999999E-2</v>
      </c>
      <c r="DZ101" s="229">
        <v>7.22E-2</v>
      </c>
      <c r="EA101" s="230">
        <v>6625125</v>
      </c>
      <c r="EB101" s="229">
        <v>4.4000000000000003E-3</v>
      </c>
      <c r="EC101" s="229">
        <v>7.22E-2</v>
      </c>
      <c r="ED101" s="228">
        <v>0.27</v>
      </c>
      <c r="EE101" s="229">
        <v>1.8E-3</v>
      </c>
      <c r="EF101" s="230">
        <v>2868080</v>
      </c>
      <c r="EG101" s="230">
        <v>13600829</v>
      </c>
      <c r="EH101" s="229">
        <v>-0.78910000000000002</v>
      </c>
      <c r="EI101" s="229">
        <v>0.38619999999999999</v>
      </c>
      <c r="EJ101" s="231">
        <v>97674.66</v>
      </c>
      <c r="EK101" s="231">
        <v>53672.12</v>
      </c>
      <c r="EL101" s="231">
        <v>28548.67</v>
      </c>
      <c r="EM101" s="231">
        <v>3893</v>
      </c>
      <c r="EN101" s="231">
        <v>179895.45</v>
      </c>
      <c r="EO101" s="231">
        <v>134502.63</v>
      </c>
      <c r="EP101" s="231">
        <v>45392.82</v>
      </c>
      <c r="EQ101" s="229">
        <v>0.33750000000000002</v>
      </c>
      <c r="ER101" s="231">
        <v>83098</v>
      </c>
      <c r="ES101" s="231">
        <v>51359</v>
      </c>
      <c r="ET101" s="231">
        <v>165467</v>
      </c>
      <c r="EU101" s="231">
        <v>684903861</v>
      </c>
      <c r="EV101" s="231">
        <v>299924</v>
      </c>
      <c r="EW101" s="231">
        <v>292659</v>
      </c>
      <c r="EX101" s="231">
        <v>7265</v>
      </c>
      <c r="EY101" s="229">
        <v>2.4799999999999999E-2</v>
      </c>
      <c r="EZ101" s="229">
        <v>0.28410000000000002</v>
      </c>
      <c r="FA101" s="227" t="s">
        <v>567</v>
      </c>
      <c r="FB101" s="161">
        <f t="shared" si="1"/>
        <v>7756125</v>
      </c>
    </row>
    <row r="102" spans="1:158" ht="17.25" hidden="1" thickBot="1" x14ac:dyDescent="0.3">
      <c r="A102" s="226">
        <v>45946</v>
      </c>
      <c r="B102" s="227" t="s">
        <v>215</v>
      </c>
      <c r="C102" s="227" t="s">
        <v>490</v>
      </c>
      <c r="D102" s="228">
        <v>875</v>
      </c>
      <c r="E102" s="228">
        <v>720.95</v>
      </c>
      <c r="F102" s="228">
        <v>719</v>
      </c>
      <c r="G102" s="228">
        <v>1.95</v>
      </c>
      <c r="H102" s="229">
        <v>2.7000000000000001E-3</v>
      </c>
      <c r="I102" s="228">
        <v>718.9</v>
      </c>
      <c r="J102" s="228">
        <v>716.15</v>
      </c>
      <c r="K102" s="228">
        <v>2.75</v>
      </c>
      <c r="L102" s="229">
        <v>3.8E-3</v>
      </c>
      <c r="M102" s="228">
        <v>720.95</v>
      </c>
      <c r="N102" s="228">
        <v>719</v>
      </c>
      <c r="O102" s="228">
        <v>1.95</v>
      </c>
      <c r="P102" s="229">
        <v>2.7000000000000001E-3</v>
      </c>
      <c r="Q102" s="228">
        <v>722.05</v>
      </c>
      <c r="R102" s="228">
        <v>719.85</v>
      </c>
      <c r="S102" s="228">
        <v>2.2000000000000002</v>
      </c>
      <c r="T102" s="229">
        <v>3.0999999999999999E-3</v>
      </c>
      <c r="U102" s="228">
        <v>726</v>
      </c>
      <c r="V102" s="228">
        <v>724.4</v>
      </c>
      <c r="W102" s="228">
        <v>1.6</v>
      </c>
      <c r="X102" s="229">
        <v>2.2000000000000001E-3</v>
      </c>
      <c r="Y102" s="228">
        <v>2.0499999999999998</v>
      </c>
      <c r="Z102" s="228">
        <v>2.85</v>
      </c>
      <c r="AA102" s="228">
        <v>-0.8</v>
      </c>
      <c r="AB102" s="229">
        <v>2.8999999999999998E-3</v>
      </c>
      <c r="AC102" s="228">
        <v>2.0499999999999998</v>
      </c>
      <c r="AD102" s="228">
        <v>2.85</v>
      </c>
      <c r="AE102" s="228">
        <v>-0.8</v>
      </c>
      <c r="AF102" s="229">
        <v>2.8999999999999998E-3</v>
      </c>
      <c r="AG102" s="228">
        <v>3.15</v>
      </c>
      <c r="AH102" s="228">
        <v>3.7</v>
      </c>
      <c r="AI102" s="228">
        <v>-0.55000000000000004</v>
      </c>
      <c r="AJ102" s="229">
        <v>4.4000000000000003E-3</v>
      </c>
      <c r="AK102" s="228">
        <v>7.1</v>
      </c>
      <c r="AL102" s="228">
        <v>8.25</v>
      </c>
      <c r="AM102" s="228">
        <v>-1.1499999999999999</v>
      </c>
      <c r="AN102" s="229">
        <v>9.9000000000000008E-3</v>
      </c>
      <c r="AO102" s="228">
        <v>721.62</v>
      </c>
      <c r="AP102" s="228">
        <v>722.77</v>
      </c>
      <c r="AQ102" s="228">
        <v>0</v>
      </c>
      <c r="AR102" s="230">
        <v>1505875</v>
      </c>
      <c r="AS102" s="230">
        <v>2465750</v>
      </c>
      <c r="AT102" s="230">
        <v>-959875</v>
      </c>
      <c r="AU102" s="229">
        <v>-0.38929999999999998</v>
      </c>
      <c r="AV102" s="230">
        <v>1194375</v>
      </c>
      <c r="AW102" s="230">
        <v>1991500</v>
      </c>
      <c r="AX102" s="230">
        <v>-797125</v>
      </c>
      <c r="AY102" s="229">
        <v>-0.40029999999999999</v>
      </c>
      <c r="AZ102" s="230">
        <v>282625</v>
      </c>
      <c r="BA102" s="230">
        <v>422625</v>
      </c>
      <c r="BB102" s="230">
        <v>-140000</v>
      </c>
      <c r="BC102" s="229">
        <v>-0.33129999999999998</v>
      </c>
      <c r="BD102" s="230">
        <v>28875</v>
      </c>
      <c r="BE102" s="230">
        <v>51625</v>
      </c>
      <c r="BF102" s="230">
        <v>-22750</v>
      </c>
      <c r="BG102" s="229">
        <v>-0.44069999999999998</v>
      </c>
      <c r="BH102" s="230">
        <v>8107750</v>
      </c>
      <c r="BI102" s="230">
        <v>13835500</v>
      </c>
      <c r="BJ102" s="230">
        <v>-5727750</v>
      </c>
      <c r="BK102" s="229">
        <v>-0.41399999999999998</v>
      </c>
      <c r="BL102" s="230">
        <v>2325750</v>
      </c>
      <c r="BM102" s="230">
        <v>2742250</v>
      </c>
      <c r="BN102" s="230">
        <v>-416500</v>
      </c>
      <c r="BO102" s="229">
        <v>-0.15190000000000001</v>
      </c>
      <c r="BP102" s="230">
        <v>11939375</v>
      </c>
      <c r="BQ102" s="230">
        <v>19043500</v>
      </c>
      <c r="BR102" s="230">
        <v>-7104125</v>
      </c>
      <c r="BS102" s="229">
        <v>-0.373</v>
      </c>
      <c r="BT102" s="230">
        <v>589303</v>
      </c>
      <c r="BU102" s="230">
        <v>810955</v>
      </c>
      <c r="BV102" s="230">
        <v>-221652</v>
      </c>
      <c r="BW102" s="229">
        <v>-0.27329999999999999</v>
      </c>
      <c r="BX102" s="230">
        <v>15838375</v>
      </c>
      <c r="BY102" s="230">
        <v>16047500</v>
      </c>
      <c r="BZ102" s="230">
        <v>-209125</v>
      </c>
      <c r="CA102" s="229">
        <v>-1.2999999999999999E-2</v>
      </c>
      <c r="CB102" s="230">
        <v>13572125</v>
      </c>
      <c r="CC102" s="230">
        <v>13913375</v>
      </c>
      <c r="CD102" s="230">
        <v>-341250</v>
      </c>
      <c r="CE102" s="229">
        <v>-2.4500000000000001E-2</v>
      </c>
      <c r="CF102" s="230">
        <v>2136750</v>
      </c>
      <c r="CG102" s="230">
        <v>2013375</v>
      </c>
      <c r="CH102" s="230">
        <v>123375</v>
      </c>
      <c r="CI102" s="229">
        <v>6.13E-2</v>
      </c>
      <c r="CJ102" s="230">
        <v>129500</v>
      </c>
      <c r="CK102" s="230">
        <v>120750</v>
      </c>
      <c r="CL102" s="230">
        <v>8750</v>
      </c>
      <c r="CM102" s="229">
        <v>7.2499999999999995E-2</v>
      </c>
      <c r="CN102" s="230">
        <v>10368750</v>
      </c>
      <c r="CO102" s="230">
        <v>10369625</v>
      </c>
      <c r="CP102" s="228">
        <v>-875</v>
      </c>
      <c r="CQ102" s="229">
        <v>-1E-4</v>
      </c>
      <c r="CR102" s="230">
        <v>5051375</v>
      </c>
      <c r="CS102" s="230">
        <v>5204500</v>
      </c>
      <c r="CT102" s="230">
        <v>-153125</v>
      </c>
      <c r="CU102" s="229">
        <v>-2.9399999999999999E-2</v>
      </c>
      <c r="CV102" s="230">
        <v>31258500</v>
      </c>
      <c r="CW102" s="230">
        <v>31621625</v>
      </c>
      <c r="CX102" s="230">
        <v>-363125</v>
      </c>
      <c r="CY102" s="229">
        <v>-1.15E-2</v>
      </c>
      <c r="CZ102" s="228">
        <v>20.6</v>
      </c>
      <c r="DA102" s="228">
        <v>22.35</v>
      </c>
      <c r="DB102" s="228">
        <v>-1.75</v>
      </c>
      <c r="DC102" s="228">
        <v>-1.75</v>
      </c>
      <c r="DD102" s="228">
        <v>31.2</v>
      </c>
      <c r="DE102" s="228">
        <v>31.27</v>
      </c>
      <c r="DF102" s="228">
        <v>-10.6</v>
      </c>
      <c r="DG102" s="228">
        <v>-7.0000000000000007E-2</v>
      </c>
      <c r="DH102" s="228">
        <v>20.8</v>
      </c>
      <c r="DI102" s="228">
        <v>22.57</v>
      </c>
      <c r="DJ102" s="228">
        <v>-1.77</v>
      </c>
      <c r="DK102" s="228">
        <v>-1.77</v>
      </c>
      <c r="DL102" s="228">
        <v>19.920000000000002</v>
      </c>
      <c r="DM102" s="228">
        <v>21.23</v>
      </c>
      <c r="DN102" s="228">
        <v>-1.31</v>
      </c>
      <c r="DO102" s="228">
        <v>-1.31</v>
      </c>
      <c r="DP102" s="228">
        <v>0.49</v>
      </c>
      <c r="DQ102" s="228">
        <v>0.5</v>
      </c>
      <c r="DR102" s="228">
        <v>-0.01</v>
      </c>
      <c r="DS102" s="229">
        <v>-0.02</v>
      </c>
      <c r="DT102" s="228">
        <v>750</v>
      </c>
      <c r="DU102" s="228">
        <v>700</v>
      </c>
      <c r="DV102" s="228">
        <v>0.28999999999999998</v>
      </c>
      <c r="DW102" s="228">
        <v>0.2</v>
      </c>
      <c r="DX102" s="228">
        <v>0.09</v>
      </c>
      <c r="DY102" s="229">
        <v>0.45</v>
      </c>
      <c r="DZ102" s="229">
        <v>0.1431</v>
      </c>
      <c r="EA102" s="230">
        <v>2134125</v>
      </c>
      <c r="EB102" s="229">
        <v>1.5E-3</v>
      </c>
      <c r="EC102" s="229">
        <v>0.1431</v>
      </c>
      <c r="ED102" s="228">
        <v>1.1499999999999999</v>
      </c>
      <c r="EE102" s="229">
        <v>1.6000000000000001E-3</v>
      </c>
      <c r="EF102" s="230">
        <v>341213</v>
      </c>
      <c r="EG102" s="230">
        <v>386302</v>
      </c>
      <c r="EH102" s="229">
        <v>-0.1167</v>
      </c>
      <c r="EI102" s="229">
        <v>0.57899999999999996</v>
      </c>
      <c r="EJ102" s="231">
        <v>60077.43</v>
      </c>
      <c r="EK102" s="231">
        <v>16581.349999999999</v>
      </c>
      <c r="EL102" s="231">
        <v>10871.61</v>
      </c>
      <c r="EM102" s="231">
        <v>2092</v>
      </c>
      <c r="EN102" s="231">
        <v>87530.39</v>
      </c>
      <c r="EO102" s="231">
        <v>140045.38</v>
      </c>
      <c r="EP102" s="231">
        <v>-52514.99</v>
      </c>
      <c r="EQ102" s="229">
        <v>-0.375</v>
      </c>
      <c r="ER102" s="231">
        <v>77748</v>
      </c>
      <c r="ES102" s="231">
        <v>36007</v>
      </c>
      <c r="ET102" s="231">
        <v>114217</v>
      </c>
      <c r="EU102" s="231">
        <v>30082783</v>
      </c>
      <c r="EV102" s="231">
        <v>227972</v>
      </c>
      <c r="EW102" s="231">
        <v>230100</v>
      </c>
      <c r="EX102" s="231">
        <v>-2128</v>
      </c>
      <c r="EY102" s="229">
        <v>-9.1999999999999998E-3</v>
      </c>
      <c r="EZ102" s="229">
        <v>1.0390999999999999</v>
      </c>
      <c r="FA102" s="227" t="s">
        <v>556</v>
      </c>
      <c r="FB102" s="161">
        <f t="shared" si="1"/>
        <v>2266250</v>
      </c>
    </row>
    <row r="103" spans="1:158" ht="17.25" hidden="1" thickBot="1" x14ac:dyDescent="0.3">
      <c r="A103" s="226">
        <v>45946</v>
      </c>
      <c r="B103" s="227" t="s">
        <v>175</v>
      </c>
      <c r="C103" s="227" t="s">
        <v>665</v>
      </c>
      <c r="D103" s="228">
        <v>3450</v>
      </c>
      <c r="E103" s="228">
        <v>153.19</v>
      </c>
      <c r="F103" s="228">
        <v>155.24</v>
      </c>
      <c r="G103" s="228">
        <v>-2.0499999999999998</v>
      </c>
      <c r="H103" s="229">
        <v>-1.32E-2</v>
      </c>
      <c r="I103" s="228">
        <v>153.13</v>
      </c>
      <c r="J103" s="228">
        <v>154.88999999999999</v>
      </c>
      <c r="K103" s="228">
        <v>-1.76</v>
      </c>
      <c r="L103" s="229">
        <v>-1.14E-2</v>
      </c>
      <c r="M103" s="228">
        <v>153.19</v>
      </c>
      <c r="N103" s="228">
        <v>155.24</v>
      </c>
      <c r="O103" s="228">
        <v>-2.0499999999999998</v>
      </c>
      <c r="P103" s="229">
        <v>-1.32E-2</v>
      </c>
      <c r="Q103" s="228">
        <v>151.96</v>
      </c>
      <c r="R103" s="228">
        <v>154.04</v>
      </c>
      <c r="S103" s="228">
        <v>-2.08</v>
      </c>
      <c r="T103" s="229">
        <v>-1.35E-2</v>
      </c>
      <c r="U103" s="228">
        <v>151.57</v>
      </c>
      <c r="V103" s="228">
        <v>153.79</v>
      </c>
      <c r="W103" s="228">
        <v>-2.2200000000000002</v>
      </c>
      <c r="X103" s="229">
        <v>-1.44E-2</v>
      </c>
      <c r="Y103" s="228">
        <v>0.06</v>
      </c>
      <c r="Z103" s="228">
        <v>0.35</v>
      </c>
      <c r="AA103" s="228">
        <v>-0.28999999999999998</v>
      </c>
      <c r="AB103" s="229">
        <v>4.0000000000000002E-4</v>
      </c>
      <c r="AC103" s="228">
        <v>0.06</v>
      </c>
      <c r="AD103" s="228">
        <v>0.35</v>
      </c>
      <c r="AE103" s="228">
        <v>-0.28999999999999998</v>
      </c>
      <c r="AF103" s="229">
        <v>4.0000000000000002E-4</v>
      </c>
      <c r="AG103" s="228">
        <v>-1.17</v>
      </c>
      <c r="AH103" s="228">
        <v>-0.85</v>
      </c>
      <c r="AI103" s="228">
        <v>-0.32</v>
      </c>
      <c r="AJ103" s="229">
        <v>-7.6E-3</v>
      </c>
      <c r="AK103" s="228">
        <v>-1.56</v>
      </c>
      <c r="AL103" s="228">
        <v>-1.1000000000000001</v>
      </c>
      <c r="AM103" s="228">
        <v>-0.46</v>
      </c>
      <c r="AN103" s="229">
        <v>-1.0200000000000001E-2</v>
      </c>
      <c r="AO103" s="228">
        <v>154.18</v>
      </c>
      <c r="AP103" s="228">
        <v>153.04</v>
      </c>
      <c r="AQ103" s="228">
        <v>0</v>
      </c>
      <c r="AR103" s="230">
        <v>14196750</v>
      </c>
      <c r="AS103" s="230">
        <v>33471900</v>
      </c>
      <c r="AT103" s="230">
        <v>-19275150</v>
      </c>
      <c r="AU103" s="229">
        <v>-0.57589999999999997</v>
      </c>
      <c r="AV103" s="230">
        <v>9397800</v>
      </c>
      <c r="AW103" s="230">
        <v>26233800</v>
      </c>
      <c r="AX103" s="230">
        <v>-16836000</v>
      </c>
      <c r="AY103" s="229">
        <v>-0.64180000000000004</v>
      </c>
      <c r="AZ103" s="230">
        <v>4226250</v>
      </c>
      <c r="BA103" s="230">
        <v>6247950</v>
      </c>
      <c r="BB103" s="230">
        <v>-2021700</v>
      </c>
      <c r="BC103" s="229">
        <v>-0.3236</v>
      </c>
      <c r="BD103" s="230">
        <v>572700</v>
      </c>
      <c r="BE103" s="230">
        <v>990150</v>
      </c>
      <c r="BF103" s="230">
        <v>-417450</v>
      </c>
      <c r="BG103" s="229">
        <v>-0.42159999999999997</v>
      </c>
      <c r="BH103" s="230">
        <v>44763750</v>
      </c>
      <c r="BI103" s="230">
        <v>179013600</v>
      </c>
      <c r="BJ103" s="230">
        <v>-134249850</v>
      </c>
      <c r="BK103" s="229">
        <v>-0.74990000000000001</v>
      </c>
      <c r="BL103" s="230">
        <v>12526950</v>
      </c>
      <c r="BM103" s="230">
        <v>54644550</v>
      </c>
      <c r="BN103" s="230">
        <v>-42117600</v>
      </c>
      <c r="BO103" s="229">
        <v>-0.77080000000000004</v>
      </c>
      <c r="BP103" s="230">
        <v>71487450</v>
      </c>
      <c r="BQ103" s="230">
        <v>267130050</v>
      </c>
      <c r="BR103" s="230">
        <v>-195642600</v>
      </c>
      <c r="BS103" s="229">
        <v>-0.73240000000000005</v>
      </c>
      <c r="BT103" s="230">
        <v>9203355</v>
      </c>
      <c r="BU103" s="230">
        <v>29452711</v>
      </c>
      <c r="BV103" s="230">
        <v>-20249356</v>
      </c>
      <c r="BW103" s="229">
        <v>-0.6875</v>
      </c>
      <c r="BX103" s="230">
        <v>51367050</v>
      </c>
      <c r="BY103" s="230">
        <v>47296050</v>
      </c>
      <c r="BZ103" s="230">
        <v>4071000</v>
      </c>
      <c r="CA103" s="229">
        <v>8.6099999999999996E-2</v>
      </c>
      <c r="CB103" s="230">
        <v>39419700</v>
      </c>
      <c r="CC103" s="230">
        <v>37812000</v>
      </c>
      <c r="CD103" s="230">
        <v>1607700</v>
      </c>
      <c r="CE103" s="229">
        <v>4.2500000000000003E-2</v>
      </c>
      <c r="CF103" s="230">
        <v>10115400</v>
      </c>
      <c r="CG103" s="230">
        <v>8090250</v>
      </c>
      <c r="CH103" s="230">
        <v>2025150</v>
      </c>
      <c r="CI103" s="229">
        <v>0.25030000000000002</v>
      </c>
      <c r="CJ103" s="230">
        <v>1831950</v>
      </c>
      <c r="CK103" s="230">
        <v>1393800</v>
      </c>
      <c r="CL103" s="230">
        <v>438150</v>
      </c>
      <c r="CM103" s="229">
        <v>0.31440000000000001</v>
      </c>
      <c r="CN103" s="230">
        <v>48465600</v>
      </c>
      <c r="CO103" s="230">
        <v>46744050</v>
      </c>
      <c r="CP103" s="230">
        <v>1721550</v>
      </c>
      <c r="CQ103" s="229">
        <v>3.6799999999999999E-2</v>
      </c>
      <c r="CR103" s="230">
        <v>20096250</v>
      </c>
      <c r="CS103" s="230">
        <v>19399350</v>
      </c>
      <c r="CT103" s="230">
        <v>696900</v>
      </c>
      <c r="CU103" s="229">
        <v>3.5900000000000001E-2</v>
      </c>
      <c r="CV103" s="230">
        <v>119928900</v>
      </c>
      <c r="CW103" s="230">
        <v>113439450</v>
      </c>
      <c r="CX103" s="230">
        <v>6489450</v>
      </c>
      <c r="CY103" s="229">
        <v>5.7200000000000001E-2</v>
      </c>
      <c r="CZ103" s="228">
        <v>35.71</v>
      </c>
      <c r="DA103" s="228">
        <v>35.08</v>
      </c>
      <c r="DB103" s="228">
        <v>0.63</v>
      </c>
      <c r="DC103" s="228">
        <v>0.63</v>
      </c>
      <c r="DD103" s="228">
        <v>52.42</v>
      </c>
      <c r="DE103" s="228">
        <v>52.52</v>
      </c>
      <c r="DF103" s="228">
        <v>-16.71</v>
      </c>
      <c r="DG103" s="228">
        <v>-0.1</v>
      </c>
      <c r="DH103" s="228">
        <v>36.32</v>
      </c>
      <c r="DI103" s="228">
        <v>35.4</v>
      </c>
      <c r="DJ103" s="228">
        <v>0.92</v>
      </c>
      <c r="DK103" s="228">
        <v>0.92</v>
      </c>
      <c r="DL103" s="228">
        <v>33.56</v>
      </c>
      <c r="DM103" s="228">
        <v>34.020000000000003</v>
      </c>
      <c r="DN103" s="228">
        <v>-0.46</v>
      </c>
      <c r="DO103" s="228">
        <v>-0.46</v>
      </c>
      <c r="DP103" s="228">
        <v>0.41</v>
      </c>
      <c r="DQ103" s="228">
        <v>0.42</v>
      </c>
      <c r="DR103" s="228">
        <v>-0.01</v>
      </c>
      <c r="DS103" s="229">
        <v>-2.3800000000000002E-2</v>
      </c>
      <c r="DT103" s="228">
        <v>160</v>
      </c>
      <c r="DU103" s="228">
        <v>150</v>
      </c>
      <c r="DV103" s="228">
        <v>0.28000000000000003</v>
      </c>
      <c r="DW103" s="228">
        <v>0.31</v>
      </c>
      <c r="DX103" s="228">
        <v>-0.03</v>
      </c>
      <c r="DY103" s="229">
        <v>-9.6799999999999997E-2</v>
      </c>
      <c r="DZ103" s="229">
        <v>0.2326</v>
      </c>
      <c r="EA103" s="230">
        <v>9484050</v>
      </c>
      <c r="EB103" s="229">
        <v>-8.0000000000000002E-3</v>
      </c>
      <c r="EC103" s="229">
        <v>0.2326</v>
      </c>
      <c r="ED103" s="228">
        <v>-1.1399999999999999</v>
      </c>
      <c r="EE103" s="229">
        <v>-7.4000000000000003E-3</v>
      </c>
      <c r="EF103" s="230">
        <v>3420652</v>
      </c>
      <c r="EG103" s="230">
        <v>5699826</v>
      </c>
      <c r="EH103" s="229">
        <v>-0.39989999999999998</v>
      </c>
      <c r="EI103" s="229">
        <v>0.37169999999999997</v>
      </c>
      <c r="EJ103" s="231">
        <v>72883.149999999994</v>
      </c>
      <c r="EK103" s="231">
        <v>19309.060000000001</v>
      </c>
      <c r="EL103" s="231">
        <v>21829.73</v>
      </c>
      <c r="EM103" s="231">
        <v>6067</v>
      </c>
      <c r="EN103" s="231">
        <v>114021.94</v>
      </c>
      <c r="EO103" s="231">
        <v>430067.66</v>
      </c>
      <c r="EP103" s="231">
        <v>-316045.71999999997</v>
      </c>
      <c r="EQ103" s="229">
        <v>-0.7349</v>
      </c>
      <c r="ER103" s="231">
        <v>78284</v>
      </c>
      <c r="ES103" s="231">
        <v>30145</v>
      </c>
      <c r="ET103" s="231">
        <v>78535</v>
      </c>
      <c r="EU103" s="231">
        <v>119011160</v>
      </c>
      <c r="EV103" s="231">
        <v>186964</v>
      </c>
      <c r="EW103" s="231">
        <v>178235</v>
      </c>
      <c r="EX103" s="231">
        <v>8729</v>
      </c>
      <c r="EY103" s="229">
        <v>4.9000000000000002E-2</v>
      </c>
      <c r="EZ103" s="229">
        <v>1.0077</v>
      </c>
      <c r="FA103" s="227" t="s">
        <v>567</v>
      </c>
      <c r="FB103" s="161">
        <f t="shared" si="1"/>
        <v>11947350</v>
      </c>
    </row>
    <row r="104" spans="1:158" ht="17.25" hidden="1" thickBot="1" x14ac:dyDescent="0.3">
      <c r="A104" s="226">
        <v>45946</v>
      </c>
      <c r="B104" s="227" t="s">
        <v>215</v>
      </c>
      <c r="C104" s="227" t="s">
        <v>592</v>
      </c>
      <c r="D104" s="228">
        <v>4250</v>
      </c>
      <c r="E104" s="228">
        <v>123.84</v>
      </c>
      <c r="F104" s="228">
        <v>124.16</v>
      </c>
      <c r="G104" s="228">
        <v>-0.32</v>
      </c>
      <c r="H104" s="229">
        <v>-2.5999999999999999E-3</v>
      </c>
      <c r="I104" s="228">
        <v>124.72</v>
      </c>
      <c r="J104" s="228">
        <v>124.88</v>
      </c>
      <c r="K104" s="228">
        <v>-0.16</v>
      </c>
      <c r="L104" s="229">
        <v>-1.2999999999999999E-3</v>
      </c>
      <c r="M104" s="228">
        <v>123.84</v>
      </c>
      <c r="N104" s="228">
        <v>124.16</v>
      </c>
      <c r="O104" s="228">
        <v>-0.32</v>
      </c>
      <c r="P104" s="229">
        <v>-2.5999999999999999E-3</v>
      </c>
      <c r="Q104" s="228">
        <v>124.37</v>
      </c>
      <c r="R104" s="228">
        <v>124.67</v>
      </c>
      <c r="S104" s="228">
        <v>-0.3</v>
      </c>
      <c r="T104" s="229">
        <v>-2.3999999999999998E-3</v>
      </c>
      <c r="U104" s="228">
        <v>125.12</v>
      </c>
      <c r="V104" s="228">
        <v>125.01</v>
      </c>
      <c r="W104" s="228">
        <v>0.11</v>
      </c>
      <c r="X104" s="229">
        <v>8.9999999999999998E-4</v>
      </c>
      <c r="Y104" s="228">
        <v>-0.88</v>
      </c>
      <c r="Z104" s="228">
        <v>-0.72</v>
      </c>
      <c r="AA104" s="228">
        <v>-0.16</v>
      </c>
      <c r="AB104" s="229">
        <v>-7.1000000000000004E-3</v>
      </c>
      <c r="AC104" s="228">
        <v>-0.88</v>
      </c>
      <c r="AD104" s="228">
        <v>-0.72</v>
      </c>
      <c r="AE104" s="228">
        <v>-0.16</v>
      </c>
      <c r="AF104" s="229">
        <v>-7.1000000000000004E-3</v>
      </c>
      <c r="AG104" s="228">
        <v>-0.35</v>
      </c>
      <c r="AH104" s="228">
        <v>-0.21</v>
      </c>
      <c r="AI104" s="228">
        <v>-0.14000000000000001</v>
      </c>
      <c r="AJ104" s="229">
        <v>-2.8E-3</v>
      </c>
      <c r="AK104" s="228">
        <v>0.4</v>
      </c>
      <c r="AL104" s="228">
        <v>0.13</v>
      </c>
      <c r="AM104" s="228">
        <v>0.27</v>
      </c>
      <c r="AN104" s="229">
        <v>3.2000000000000002E-3</v>
      </c>
      <c r="AO104" s="228">
        <v>123.9</v>
      </c>
      <c r="AP104" s="228">
        <v>124.44</v>
      </c>
      <c r="AQ104" s="228">
        <v>0</v>
      </c>
      <c r="AR104" s="230">
        <v>11738500</v>
      </c>
      <c r="AS104" s="230">
        <v>22440000</v>
      </c>
      <c r="AT104" s="230">
        <v>-10701500</v>
      </c>
      <c r="AU104" s="229">
        <v>-0.47689999999999999</v>
      </c>
      <c r="AV104" s="230">
        <v>8852750</v>
      </c>
      <c r="AW104" s="230">
        <v>19180250</v>
      </c>
      <c r="AX104" s="230">
        <v>-10327500</v>
      </c>
      <c r="AY104" s="229">
        <v>-0.53839999999999999</v>
      </c>
      <c r="AZ104" s="230">
        <v>2660500</v>
      </c>
      <c r="BA104" s="230">
        <v>2970750</v>
      </c>
      <c r="BB104" s="230">
        <v>-310250</v>
      </c>
      <c r="BC104" s="229">
        <v>-0.10440000000000001</v>
      </c>
      <c r="BD104" s="230">
        <v>225250</v>
      </c>
      <c r="BE104" s="230">
        <v>289000</v>
      </c>
      <c r="BF104" s="230">
        <v>-63750</v>
      </c>
      <c r="BG104" s="229">
        <v>-0.22059999999999999</v>
      </c>
      <c r="BH104" s="230">
        <v>37038750</v>
      </c>
      <c r="BI104" s="230">
        <v>110415000</v>
      </c>
      <c r="BJ104" s="230">
        <v>-73376250</v>
      </c>
      <c r="BK104" s="229">
        <v>-0.66449999999999998</v>
      </c>
      <c r="BL104" s="230">
        <v>10013000</v>
      </c>
      <c r="BM104" s="230">
        <v>39206250</v>
      </c>
      <c r="BN104" s="230">
        <v>-29193250</v>
      </c>
      <c r="BO104" s="229">
        <v>-0.74460000000000004</v>
      </c>
      <c r="BP104" s="230">
        <v>58790250</v>
      </c>
      <c r="BQ104" s="230">
        <v>172061250</v>
      </c>
      <c r="BR104" s="230">
        <v>-113271000</v>
      </c>
      <c r="BS104" s="229">
        <v>-0.6583</v>
      </c>
      <c r="BT104" s="230">
        <v>10301407</v>
      </c>
      <c r="BU104" s="230">
        <v>18451299</v>
      </c>
      <c r="BV104" s="230">
        <v>-8149892</v>
      </c>
      <c r="BW104" s="229">
        <v>-0.44169999999999998</v>
      </c>
      <c r="BX104" s="230">
        <v>49933250</v>
      </c>
      <c r="BY104" s="230">
        <v>47765750</v>
      </c>
      <c r="BZ104" s="230">
        <v>2167500</v>
      </c>
      <c r="CA104" s="229">
        <v>4.5400000000000003E-2</v>
      </c>
      <c r="CB104" s="230">
        <v>42376750</v>
      </c>
      <c r="CC104" s="230">
        <v>41395000</v>
      </c>
      <c r="CD104" s="230">
        <v>981750</v>
      </c>
      <c r="CE104" s="229">
        <v>2.3699999999999999E-2</v>
      </c>
      <c r="CF104" s="230">
        <v>6851000</v>
      </c>
      <c r="CG104" s="230">
        <v>5729000</v>
      </c>
      <c r="CH104" s="230">
        <v>1122000</v>
      </c>
      <c r="CI104" s="229">
        <v>0.1958</v>
      </c>
      <c r="CJ104" s="230">
        <v>705500</v>
      </c>
      <c r="CK104" s="230">
        <v>641750</v>
      </c>
      <c r="CL104" s="230">
        <v>63750</v>
      </c>
      <c r="CM104" s="229">
        <v>9.9299999999999999E-2</v>
      </c>
      <c r="CN104" s="230">
        <v>43928000</v>
      </c>
      <c r="CO104" s="230">
        <v>42708250</v>
      </c>
      <c r="CP104" s="230">
        <v>1219750</v>
      </c>
      <c r="CQ104" s="229">
        <v>2.86E-2</v>
      </c>
      <c r="CR104" s="230">
        <v>18938000</v>
      </c>
      <c r="CS104" s="230">
        <v>18355750</v>
      </c>
      <c r="CT104" s="230">
        <v>582250</v>
      </c>
      <c r="CU104" s="229">
        <v>3.1699999999999999E-2</v>
      </c>
      <c r="CV104" s="230">
        <v>112799250</v>
      </c>
      <c r="CW104" s="230">
        <v>108829750</v>
      </c>
      <c r="CX104" s="230">
        <v>3969500</v>
      </c>
      <c r="CY104" s="229">
        <v>3.6499999999999998E-2</v>
      </c>
      <c r="CZ104" s="228">
        <v>29.07</v>
      </c>
      <c r="DA104" s="228">
        <v>29.63</v>
      </c>
      <c r="DB104" s="228">
        <v>-0.56000000000000005</v>
      </c>
      <c r="DC104" s="228">
        <v>-0.56000000000000005</v>
      </c>
      <c r="DD104" s="228">
        <v>47.62</v>
      </c>
      <c r="DE104" s="228">
        <v>47.73</v>
      </c>
      <c r="DF104" s="228">
        <v>-18.55</v>
      </c>
      <c r="DG104" s="228">
        <v>-0.11</v>
      </c>
      <c r="DH104" s="228">
        <v>29.38</v>
      </c>
      <c r="DI104" s="228">
        <v>30.02</v>
      </c>
      <c r="DJ104" s="228">
        <v>-0.64</v>
      </c>
      <c r="DK104" s="228">
        <v>-0.64</v>
      </c>
      <c r="DL104" s="228">
        <v>27.92</v>
      </c>
      <c r="DM104" s="228">
        <v>28.55</v>
      </c>
      <c r="DN104" s="228">
        <v>-0.63</v>
      </c>
      <c r="DO104" s="228">
        <v>-0.63</v>
      </c>
      <c r="DP104" s="228">
        <v>0.43</v>
      </c>
      <c r="DQ104" s="228">
        <v>0.43</v>
      </c>
      <c r="DR104" s="228">
        <v>0</v>
      </c>
      <c r="DS104" s="229">
        <v>0</v>
      </c>
      <c r="DT104" s="228">
        <v>130</v>
      </c>
      <c r="DU104" s="228">
        <v>125</v>
      </c>
      <c r="DV104" s="228">
        <v>0.27</v>
      </c>
      <c r="DW104" s="228">
        <v>0.36</v>
      </c>
      <c r="DX104" s="228">
        <v>-0.09</v>
      </c>
      <c r="DY104" s="229">
        <v>-0.25</v>
      </c>
      <c r="DZ104" s="229">
        <v>0.15129999999999999</v>
      </c>
      <c r="EA104" s="230">
        <v>6370750</v>
      </c>
      <c r="EB104" s="229">
        <v>4.3E-3</v>
      </c>
      <c r="EC104" s="229">
        <v>0.15129999999999999</v>
      </c>
      <c r="ED104" s="228">
        <v>0.54</v>
      </c>
      <c r="EE104" s="229">
        <v>4.4000000000000003E-3</v>
      </c>
      <c r="EF104" s="230">
        <v>3777301</v>
      </c>
      <c r="EG104" s="230">
        <v>4363540</v>
      </c>
      <c r="EH104" s="229">
        <v>-0.1343</v>
      </c>
      <c r="EI104" s="229">
        <v>0.36670000000000003</v>
      </c>
      <c r="EJ104" s="231">
        <v>47978.26</v>
      </c>
      <c r="EK104" s="231">
        <v>12551.19</v>
      </c>
      <c r="EL104" s="231">
        <v>14560.59</v>
      </c>
      <c r="EM104" s="231">
        <v>2403</v>
      </c>
      <c r="EN104" s="231">
        <v>75090.039999999994</v>
      </c>
      <c r="EO104" s="231">
        <v>222817</v>
      </c>
      <c r="EP104" s="231">
        <v>-147726.96</v>
      </c>
      <c r="EQ104" s="229">
        <v>-0.66300000000000003</v>
      </c>
      <c r="ER104" s="231">
        <v>57821</v>
      </c>
      <c r="ES104" s="231">
        <v>23349</v>
      </c>
      <c r="ET104" s="231">
        <v>61883</v>
      </c>
      <c r="EU104" s="231">
        <v>226853356</v>
      </c>
      <c r="EV104" s="231">
        <v>143053</v>
      </c>
      <c r="EW104" s="231">
        <v>138398</v>
      </c>
      <c r="EX104" s="231">
        <v>4655</v>
      </c>
      <c r="EY104" s="229">
        <v>3.3599999999999998E-2</v>
      </c>
      <c r="EZ104" s="229">
        <v>0.49719999999999998</v>
      </c>
      <c r="FA104" s="227" t="s">
        <v>567</v>
      </c>
      <c r="FB104" s="161">
        <f t="shared" si="1"/>
        <v>7556500</v>
      </c>
    </row>
    <row r="105" spans="1:158" ht="17.25" hidden="1" thickBot="1" x14ac:dyDescent="0.3">
      <c r="A105" s="226">
        <v>45946</v>
      </c>
      <c r="B105" s="227" t="s">
        <v>168</v>
      </c>
      <c r="C105" s="227" t="s">
        <v>242</v>
      </c>
      <c r="D105" s="228">
        <v>1600</v>
      </c>
      <c r="E105" s="228">
        <v>406.75</v>
      </c>
      <c r="F105" s="228">
        <v>401.65</v>
      </c>
      <c r="G105" s="228">
        <v>5.0999999999999996</v>
      </c>
      <c r="H105" s="229">
        <v>1.2699999999999999E-2</v>
      </c>
      <c r="I105" s="228">
        <v>405.15</v>
      </c>
      <c r="J105" s="228">
        <v>399.9</v>
      </c>
      <c r="K105" s="228">
        <v>5.25</v>
      </c>
      <c r="L105" s="229">
        <v>1.3100000000000001E-2</v>
      </c>
      <c r="M105" s="228">
        <v>406.75</v>
      </c>
      <c r="N105" s="228">
        <v>401.65</v>
      </c>
      <c r="O105" s="228">
        <v>5.0999999999999996</v>
      </c>
      <c r="P105" s="229">
        <v>1.2699999999999999E-2</v>
      </c>
      <c r="Q105" s="228">
        <v>408.85</v>
      </c>
      <c r="R105" s="228">
        <v>403.6</v>
      </c>
      <c r="S105" s="228">
        <v>5.25</v>
      </c>
      <c r="T105" s="229">
        <v>1.2999999999999999E-2</v>
      </c>
      <c r="U105" s="228">
        <v>411.3</v>
      </c>
      <c r="V105" s="228">
        <v>406.1</v>
      </c>
      <c r="W105" s="228">
        <v>5.2</v>
      </c>
      <c r="X105" s="229">
        <v>1.2800000000000001E-2</v>
      </c>
      <c r="Y105" s="228">
        <v>1.6</v>
      </c>
      <c r="Z105" s="228">
        <v>1.75</v>
      </c>
      <c r="AA105" s="228">
        <v>-0.15</v>
      </c>
      <c r="AB105" s="229">
        <v>3.8999999999999998E-3</v>
      </c>
      <c r="AC105" s="228">
        <v>1.6</v>
      </c>
      <c r="AD105" s="228">
        <v>1.75</v>
      </c>
      <c r="AE105" s="228">
        <v>-0.15</v>
      </c>
      <c r="AF105" s="229">
        <v>3.8999999999999998E-3</v>
      </c>
      <c r="AG105" s="228">
        <v>3.7</v>
      </c>
      <c r="AH105" s="228">
        <v>3.7</v>
      </c>
      <c r="AI105" s="228">
        <v>0</v>
      </c>
      <c r="AJ105" s="229">
        <v>9.1000000000000004E-3</v>
      </c>
      <c r="AK105" s="228">
        <v>6.15</v>
      </c>
      <c r="AL105" s="228">
        <v>6.2</v>
      </c>
      <c r="AM105" s="228">
        <v>-0.05</v>
      </c>
      <c r="AN105" s="229">
        <v>1.52E-2</v>
      </c>
      <c r="AO105" s="228">
        <v>405.03</v>
      </c>
      <c r="AP105" s="228">
        <v>407.03</v>
      </c>
      <c r="AQ105" s="228">
        <v>0</v>
      </c>
      <c r="AR105" s="230">
        <v>31204800</v>
      </c>
      <c r="AS105" s="230">
        <v>19006400</v>
      </c>
      <c r="AT105" s="230">
        <v>12198400</v>
      </c>
      <c r="AU105" s="229">
        <v>0.64180000000000004</v>
      </c>
      <c r="AV105" s="230">
        <v>25150400</v>
      </c>
      <c r="AW105" s="230">
        <v>14566400</v>
      </c>
      <c r="AX105" s="230">
        <v>10584000</v>
      </c>
      <c r="AY105" s="229">
        <v>0.72660000000000002</v>
      </c>
      <c r="AZ105" s="230">
        <v>5750400</v>
      </c>
      <c r="BA105" s="230">
        <v>4332800</v>
      </c>
      <c r="BB105" s="230">
        <v>1417600</v>
      </c>
      <c r="BC105" s="229">
        <v>0.32719999999999999</v>
      </c>
      <c r="BD105" s="230">
        <v>304000</v>
      </c>
      <c r="BE105" s="230">
        <v>107200</v>
      </c>
      <c r="BF105" s="230">
        <v>196800</v>
      </c>
      <c r="BG105" s="229">
        <v>1.8358000000000001</v>
      </c>
      <c r="BH105" s="230">
        <v>71038400</v>
      </c>
      <c r="BI105" s="230">
        <v>35633600</v>
      </c>
      <c r="BJ105" s="230">
        <v>35404800</v>
      </c>
      <c r="BK105" s="229">
        <v>0.99360000000000004</v>
      </c>
      <c r="BL105" s="230">
        <v>39433600</v>
      </c>
      <c r="BM105" s="230">
        <v>25462400</v>
      </c>
      <c r="BN105" s="230">
        <v>13971200</v>
      </c>
      <c r="BO105" s="229">
        <v>0.54869999999999997</v>
      </c>
      <c r="BP105" s="230">
        <v>141676800</v>
      </c>
      <c r="BQ105" s="230">
        <v>80102400</v>
      </c>
      <c r="BR105" s="230">
        <v>61574400</v>
      </c>
      <c r="BS105" s="229">
        <v>0.76870000000000005</v>
      </c>
      <c r="BT105" s="230">
        <v>24656335</v>
      </c>
      <c r="BU105" s="230">
        <v>16452224</v>
      </c>
      <c r="BV105" s="230">
        <v>8204111</v>
      </c>
      <c r="BW105" s="229">
        <v>0.49869999999999998</v>
      </c>
      <c r="BX105" s="230">
        <v>144361600</v>
      </c>
      <c r="BY105" s="230">
        <v>140361600</v>
      </c>
      <c r="BZ105" s="230">
        <v>4000000</v>
      </c>
      <c r="CA105" s="229">
        <v>2.8500000000000001E-2</v>
      </c>
      <c r="CB105" s="230">
        <v>129587200</v>
      </c>
      <c r="CC105" s="230">
        <v>128432000</v>
      </c>
      <c r="CD105" s="230">
        <v>1155200</v>
      </c>
      <c r="CE105" s="229">
        <v>8.9999999999999993E-3</v>
      </c>
      <c r="CF105" s="230">
        <v>13947200</v>
      </c>
      <c r="CG105" s="230">
        <v>10996800</v>
      </c>
      <c r="CH105" s="230">
        <v>2950400</v>
      </c>
      <c r="CI105" s="229">
        <v>0.26829999999999998</v>
      </c>
      <c r="CJ105" s="230">
        <v>827200</v>
      </c>
      <c r="CK105" s="230">
        <v>932800</v>
      </c>
      <c r="CL105" s="230">
        <v>-105600</v>
      </c>
      <c r="CM105" s="229">
        <v>-0.1132</v>
      </c>
      <c r="CN105" s="230">
        <v>44254400</v>
      </c>
      <c r="CO105" s="230">
        <v>50563200</v>
      </c>
      <c r="CP105" s="230">
        <v>-6308800</v>
      </c>
      <c r="CQ105" s="229">
        <v>-0.12479999999999999</v>
      </c>
      <c r="CR105" s="230">
        <v>32950400</v>
      </c>
      <c r="CS105" s="230">
        <v>33862400</v>
      </c>
      <c r="CT105" s="230">
        <v>-912000</v>
      </c>
      <c r="CU105" s="229">
        <v>-2.69E-2</v>
      </c>
      <c r="CV105" s="230">
        <v>221566400</v>
      </c>
      <c r="CW105" s="230">
        <v>224787200</v>
      </c>
      <c r="CX105" s="230">
        <v>-3220800</v>
      </c>
      <c r="CY105" s="229">
        <v>-1.43E-2</v>
      </c>
      <c r="CZ105" s="228">
        <v>15.06</v>
      </c>
      <c r="DA105" s="228">
        <v>16.28</v>
      </c>
      <c r="DB105" s="228">
        <v>-1.22</v>
      </c>
      <c r="DC105" s="228">
        <v>-1.22</v>
      </c>
      <c r="DD105" s="228">
        <v>19.649999999999999</v>
      </c>
      <c r="DE105" s="228">
        <v>19.62</v>
      </c>
      <c r="DF105" s="228">
        <v>-4.59</v>
      </c>
      <c r="DG105" s="228">
        <v>0.03</v>
      </c>
      <c r="DH105" s="228">
        <v>14.77</v>
      </c>
      <c r="DI105" s="228">
        <v>16.22</v>
      </c>
      <c r="DJ105" s="228">
        <v>-1.45</v>
      </c>
      <c r="DK105" s="228">
        <v>-1.45</v>
      </c>
      <c r="DL105" s="228">
        <v>15.58</v>
      </c>
      <c r="DM105" s="228">
        <v>16.37</v>
      </c>
      <c r="DN105" s="228">
        <v>-0.79</v>
      </c>
      <c r="DO105" s="228">
        <v>-0.79</v>
      </c>
      <c r="DP105" s="228">
        <v>0.74</v>
      </c>
      <c r="DQ105" s="228">
        <v>0.67</v>
      </c>
      <c r="DR105" s="228">
        <v>7.0000000000000007E-2</v>
      </c>
      <c r="DS105" s="229">
        <v>0.1045</v>
      </c>
      <c r="DT105" s="228">
        <v>410</v>
      </c>
      <c r="DU105" s="228">
        <v>400</v>
      </c>
      <c r="DV105" s="228">
        <v>0.56000000000000005</v>
      </c>
      <c r="DW105" s="228">
        <v>0.71</v>
      </c>
      <c r="DX105" s="228">
        <v>-0.15</v>
      </c>
      <c r="DY105" s="229">
        <v>-0.21129999999999999</v>
      </c>
      <c r="DZ105" s="229">
        <v>0.1023</v>
      </c>
      <c r="EA105" s="230">
        <v>11929600</v>
      </c>
      <c r="EB105" s="229">
        <v>5.1999999999999998E-3</v>
      </c>
      <c r="EC105" s="229">
        <v>0.1023</v>
      </c>
      <c r="ED105" s="228">
        <v>2</v>
      </c>
      <c r="EE105" s="229">
        <v>4.8999999999999998E-3</v>
      </c>
      <c r="EF105" s="230">
        <v>17385856</v>
      </c>
      <c r="EG105" s="230">
        <v>12443874</v>
      </c>
      <c r="EH105" s="229">
        <v>0.39710000000000001</v>
      </c>
      <c r="EI105" s="229">
        <v>0.70509999999999995</v>
      </c>
      <c r="EJ105" s="231">
        <v>292822.82</v>
      </c>
      <c r="EK105" s="231">
        <v>158761.48000000001</v>
      </c>
      <c r="EL105" s="231">
        <v>126515.77</v>
      </c>
      <c r="EM105" s="231">
        <v>9231</v>
      </c>
      <c r="EN105" s="231">
        <v>578100.06999999995</v>
      </c>
      <c r="EO105" s="231">
        <v>324640.15999999997</v>
      </c>
      <c r="EP105" s="231">
        <v>253459.91</v>
      </c>
      <c r="EQ105" s="229">
        <v>0.78069999999999995</v>
      </c>
      <c r="ER105" s="231">
        <v>183802</v>
      </c>
      <c r="ES105" s="231">
        <v>131829</v>
      </c>
      <c r="ET105" s="231">
        <v>587521</v>
      </c>
      <c r="EU105" s="231">
        <v>1251412841</v>
      </c>
      <c r="EV105" s="231">
        <v>903153</v>
      </c>
      <c r="EW105" s="231">
        <v>908670</v>
      </c>
      <c r="EX105" s="231">
        <v>-5517</v>
      </c>
      <c r="EY105" s="229">
        <v>-6.1000000000000004E-3</v>
      </c>
      <c r="EZ105" s="229">
        <v>0.17710000000000001</v>
      </c>
      <c r="FA105" s="227" t="s">
        <v>555</v>
      </c>
      <c r="FB105" s="161">
        <f t="shared" si="1"/>
        <v>14774400</v>
      </c>
    </row>
    <row r="106" spans="1:158" ht="17.25" hidden="1" thickBot="1" x14ac:dyDescent="0.3">
      <c r="A106" s="226">
        <v>45946</v>
      </c>
      <c r="B106" s="227" t="s">
        <v>227</v>
      </c>
      <c r="C106" s="227" t="s">
        <v>243</v>
      </c>
      <c r="D106" s="228">
        <v>625</v>
      </c>
      <c r="E106" s="231">
        <v>1024.9000000000001</v>
      </c>
      <c r="F106" s="231">
        <v>1005.8</v>
      </c>
      <c r="G106" s="228">
        <v>19.100000000000001</v>
      </c>
      <c r="H106" s="229">
        <v>1.9E-2</v>
      </c>
      <c r="I106" s="231">
        <v>1022.8</v>
      </c>
      <c r="J106" s="231">
        <v>1001.4</v>
      </c>
      <c r="K106" s="228">
        <v>21.4</v>
      </c>
      <c r="L106" s="229">
        <v>2.1399999999999999E-2</v>
      </c>
      <c r="M106" s="231">
        <v>1024.9000000000001</v>
      </c>
      <c r="N106" s="231">
        <v>1005.8</v>
      </c>
      <c r="O106" s="228">
        <v>19.100000000000001</v>
      </c>
      <c r="P106" s="229">
        <v>1.9E-2</v>
      </c>
      <c r="Q106" s="231">
        <v>1031</v>
      </c>
      <c r="R106" s="231">
        <v>1010.5</v>
      </c>
      <c r="S106" s="228">
        <v>20.5</v>
      </c>
      <c r="T106" s="229">
        <v>2.0299999999999999E-2</v>
      </c>
      <c r="U106" s="231">
        <v>1036</v>
      </c>
      <c r="V106" s="231">
        <v>1015.5</v>
      </c>
      <c r="W106" s="228">
        <v>20.5</v>
      </c>
      <c r="X106" s="229">
        <v>2.0199999999999999E-2</v>
      </c>
      <c r="Y106" s="228">
        <v>2.1</v>
      </c>
      <c r="Z106" s="228">
        <v>4.4000000000000004</v>
      </c>
      <c r="AA106" s="228">
        <v>-2.2999999999999998</v>
      </c>
      <c r="AB106" s="229">
        <v>2.0999999999999999E-3</v>
      </c>
      <c r="AC106" s="228">
        <v>2.1</v>
      </c>
      <c r="AD106" s="228">
        <v>4.4000000000000004</v>
      </c>
      <c r="AE106" s="228">
        <v>-2.2999999999999998</v>
      </c>
      <c r="AF106" s="229">
        <v>2.0999999999999999E-3</v>
      </c>
      <c r="AG106" s="228">
        <v>8.1999999999999993</v>
      </c>
      <c r="AH106" s="228">
        <v>9.1</v>
      </c>
      <c r="AI106" s="228">
        <v>-0.9</v>
      </c>
      <c r="AJ106" s="229">
        <v>8.0000000000000002E-3</v>
      </c>
      <c r="AK106" s="228">
        <v>13.2</v>
      </c>
      <c r="AL106" s="228">
        <v>14.1</v>
      </c>
      <c r="AM106" s="228">
        <v>-0.9</v>
      </c>
      <c r="AN106" s="229">
        <v>1.29E-2</v>
      </c>
      <c r="AO106" s="231">
        <v>1019.25</v>
      </c>
      <c r="AP106" s="231">
        <v>1025.24</v>
      </c>
      <c r="AQ106" s="228">
        <v>0</v>
      </c>
      <c r="AR106" s="230">
        <v>2972500</v>
      </c>
      <c r="AS106" s="230">
        <v>2436250</v>
      </c>
      <c r="AT106" s="230">
        <v>536250</v>
      </c>
      <c r="AU106" s="229">
        <v>0.22009999999999999</v>
      </c>
      <c r="AV106" s="230">
        <v>2794375</v>
      </c>
      <c r="AW106" s="230">
        <v>2313750</v>
      </c>
      <c r="AX106" s="230">
        <v>480625</v>
      </c>
      <c r="AY106" s="229">
        <v>0.2077</v>
      </c>
      <c r="AZ106" s="230">
        <v>164375</v>
      </c>
      <c r="BA106" s="230">
        <v>113750</v>
      </c>
      <c r="BB106" s="230">
        <v>50625</v>
      </c>
      <c r="BC106" s="229">
        <v>0.4451</v>
      </c>
      <c r="BD106" s="230">
        <v>13750</v>
      </c>
      <c r="BE106" s="230">
        <v>8750</v>
      </c>
      <c r="BF106" s="230">
        <v>5000</v>
      </c>
      <c r="BG106" s="229">
        <v>0.57140000000000002</v>
      </c>
      <c r="BH106" s="230">
        <v>10471250</v>
      </c>
      <c r="BI106" s="230">
        <v>7453750</v>
      </c>
      <c r="BJ106" s="230">
        <v>3017500</v>
      </c>
      <c r="BK106" s="229">
        <v>0.40479999999999999</v>
      </c>
      <c r="BL106" s="230">
        <v>3878125</v>
      </c>
      <c r="BM106" s="230">
        <v>1800000</v>
      </c>
      <c r="BN106" s="230">
        <v>2078125</v>
      </c>
      <c r="BO106" s="229">
        <v>1.1545000000000001</v>
      </c>
      <c r="BP106" s="230">
        <v>17321875</v>
      </c>
      <c r="BQ106" s="230">
        <v>11690000</v>
      </c>
      <c r="BR106" s="230">
        <v>5631875</v>
      </c>
      <c r="BS106" s="229">
        <v>0.48180000000000001</v>
      </c>
      <c r="BT106" s="230">
        <v>1264088</v>
      </c>
      <c r="BU106" s="230">
        <v>1659926</v>
      </c>
      <c r="BV106" s="230">
        <v>-395838</v>
      </c>
      <c r="BW106" s="229">
        <v>-0.23849999999999999</v>
      </c>
      <c r="BX106" s="230">
        <v>14325000</v>
      </c>
      <c r="BY106" s="230">
        <v>14801250</v>
      </c>
      <c r="BZ106" s="230">
        <v>-476250</v>
      </c>
      <c r="CA106" s="229">
        <v>-3.2199999999999999E-2</v>
      </c>
      <c r="CB106" s="230">
        <v>13994375</v>
      </c>
      <c r="CC106" s="230">
        <v>14491250</v>
      </c>
      <c r="CD106" s="230">
        <v>-496875</v>
      </c>
      <c r="CE106" s="229">
        <v>-3.4299999999999997E-2</v>
      </c>
      <c r="CF106" s="230">
        <v>286250</v>
      </c>
      <c r="CG106" s="230">
        <v>263125</v>
      </c>
      <c r="CH106" s="230">
        <v>23125</v>
      </c>
      <c r="CI106" s="229">
        <v>8.7900000000000006E-2</v>
      </c>
      <c r="CJ106" s="230">
        <v>44375</v>
      </c>
      <c r="CK106" s="230">
        <v>46875</v>
      </c>
      <c r="CL106" s="230">
        <v>-2500</v>
      </c>
      <c r="CM106" s="229">
        <v>-5.33E-2</v>
      </c>
      <c r="CN106" s="230">
        <v>8210000</v>
      </c>
      <c r="CO106" s="230">
        <v>9162500</v>
      </c>
      <c r="CP106" s="230">
        <v>-952500</v>
      </c>
      <c r="CQ106" s="229">
        <v>-0.104</v>
      </c>
      <c r="CR106" s="230">
        <v>4192500</v>
      </c>
      <c r="CS106" s="230">
        <v>4128125</v>
      </c>
      <c r="CT106" s="230">
        <v>64375</v>
      </c>
      <c r="CU106" s="229">
        <v>1.5599999999999999E-2</v>
      </c>
      <c r="CV106" s="230">
        <v>26727500</v>
      </c>
      <c r="CW106" s="230">
        <v>28091875</v>
      </c>
      <c r="CX106" s="230">
        <v>-1364375</v>
      </c>
      <c r="CY106" s="229">
        <v>-4.8599999999999997E-2</v>
      </c>
      <c r="CZ106" s="228">
        <v>26.63</v>
      </c>
      <c r="DA106" s="228">
        <v>28.68</v>
      </c>
      <c r="DB106" s="228">
        <v>-2.0499999999999998</v>
      </c>
      <c r="DC106" s="228">
        <v>-2.0499999999999998</v>
      </c>
      <c r="DD106" s="228">
        <v>36.159999999999997</v>
      </c>
      <c r="DE106" s="228">
        <v>36.14</v>
      </c>
      <c r="DF106" s="228">
        <v>-9.5299999999999994</v>
      </c>
      <c r="DG106" s="228">
        <v>0.02</v>
      </c>
      <c r="DH106" s="228">
        <v>26.51</v>
      </c>
      <c r="DI106" s="228">
        <v>28.89</v>
      </c>
      <c r="DJ106" s="228">
        <v>-2.38</v>
      </c>
      <c r="DK106" s="228">
        <v>-2.38</v>
      </c>
      <c r="DL106" s="228">
        <v>26.94</v>
      </c>
      <c r="DM106" s="228">
        <v>27.84</v>
      </c>
      <c r="DN106" s="228">
        <v>-0.9</v>
      </c>
      <c r="DO106" s="228">
        <v>-0.9</v>
      </c>
      <c r="DP106" s="228">
        <v>0.51</v>
      </c>
      <c r="DQ106" s="228">
        <v>0.45</v>
      </c>
      <c r="DR106" s="228">
        <v>0.06</v>
      </c>
      <c r="DS106" s="229">
        <v>0.1333</v>
      </c>
      <c r="DT106" s="231">
        <v>1100</v>
      </c>
      <c r="DU106" s="231">
        <v>1000</v>
      </c>
      <c r="DV106" s="228">
        <v>0.37</v>
      </c>
      <c r="DW106" s="228">
        <v>0.24</v>
      </c>
      <c r="DX106" s="228">
        <v>0.13</v>
      </c>
      <c r="DY106" s="229">
        <v>0.54169999999999996</v>
      </c>
      <c r="DZ106" s="229">
        <v>2.3099999999999999E-2</v>
      </c>
      <c r="EA106" s="230">
        <v>310000</v>
      </c>
      <c r="EB106" s="229">
        <v>6.0000000000000001E-3</v>
      </c>
      <c r="EC106" s="229">
        <v>2.3099999999999999E-2</v>
      </c>
      <c r="ED106" s="228">
        <v>5.99</v>
      </c>
      <c r="EE106" s="229">
        <v>5.8999999999999999E-3</v>
      </c>
      <c r="EF106" s="230">
        <v>550612</v>
      </c>
      <c r="EG106" s="230">
        <v>1041296</v>
      </c>
      <c r="EH106" s="229">
        <v>-0.47120000000000001</v>
      </c>
      <c r="EI106" s="229">
        <v>0.43559999999999999</v>
      </c>
      <c r="EJ106" s="231">
        <v>110908.98</v>
      </c>
      <c r="EK106" s="231">
        <v>38643.089999999997</v>
      </c>
      <c r="EL106" s="231">
        <v>30308.720000000001</v>
      </c>
      <c r="EM106" s="231">
        <v>4297</v>
      </c>
      <c r="EN106" s="231">
        <v>179860.79</v>
      </c>
      <c r="EO106" s="231">
        <v>121548.76</v>
      </c>
      <c r="EP106" s="231">
        <v>58312.03</v>
      </c>
      <c r="EQ106" s="229">
        <v>0.47970000000000002</v>
      </c>
      <c r="ER106" s="231">
        <v>88762</v>
      </c>
      <c r="ES106" s="231">
        <v>42172</v>
      </c>
      <c r="ET106" s="231">
        <v>146839</v>
      </c>
      <c r="EU106" s="231">
        <v>54776702</v>
      </c>
      <c r="EV106" s="231">
        <v>277773</v>
      </c>
      <c r="EW106" s="231">
        <v>289203</v>
      </c>
      <c r="EX106" s="231">
        <v>-11430</v>
      </c>
      <c r="EY106" s="229">
        <v>-3.95E-2</v>
      </c>
      <c r="EZ106" s="229">
        <v>0.4879</v>
      </c>
      <c r="FA106" s="227" t="s">
        <v>556</v>
      </c>
      <c r="FB106" s="161">
        <f t="shared" si="1"/>
        <v>330625</v>
      </c>
    </row>
    <row r="107" spans="1:158" ht="17.25" hidden="1" thickBot="1" x14ac:dyDescent="0.3">
      <c r="A107" s="226">
        <v>45946</v>
      </c>
      <c r="B107" s="227" t="s">
        <v>175</v>
      </c>
      <c r="C107" s="227" t="s">
        <v>570</v>
      </c>
      <c r="D107" s="228">
        <v>2350</v>
      </c>
      <c r="E107" s="228">
        <v>313.3</v>
      </c>
      <c r="F107" s="228">
        <v>313.95</v>
      </c>
      <c r="G107" s="228">
        <v>-0.65</v>
      </c>
      <c r="H107" s="229">
        <v>-2.0999999999999999E-3</v>
      </c>
      <c r="I107" s="228">
        <v>312.10000000000002</v>
      </c>
      <c r="J107" s="228">
        <v>312.64999999999998</v>
      </c>
      <c r="K107" s="228">
        <v>-0.55000000000000004</v>
      </c>
      <c r="L107" s="229">
        <v>-1.8E-3</v>
      </c>
      <c r="M107" s="228">
        <v>313.3</v>
      </c>
      <c r="N107" s="228">
        <v>313.95</v>
      </c>
      <c r="O107" s="228">
        <v>-0.65</v>
      </c>
      <c r="P107" s="229">
        <v>-2.0999999999999999E-3</v>
      </c>
      <c r="Q107" s="228">
        <v>315.05</v>
      </c>
      <c r="R107" s="228">
        <v>315.60000000000002</v>
      </c>
      <c r="S107" s="228">
        <v>-0.55000000000000004</v>
      </c>
      <c r="T107" s="229">
        <v>-1.6999999999999999E-3</v>
      </c>
      <c r="U107" s="228">
        <v>316.95</v>
      </c>
      <c r="V107" s="228">
        <v>317.55</v>
      </c>
      <c r="W107" s="228">
        <v>-0.6</v>
      </c>
      <c r="X107" s="229">
        <v>-1.9E-3</v>
      </c>
      <c r="Y107" s="228">
        <v>1.2</v>
      </c>
      <c r="Z107" s="228">
        <v>1.3</v>
      </c>
      <c r="AA107" s="228">
        <v>-0.1</v>
      </c>
      <c r="AB107" s="229">
        <v>3.8E-3</v>
      </c>
      <c r="AC107" s="228">
        <v>1.2</v>
      </c>
      <c r="AD107" s="228">
        <v>1.3</v>
      </c>
      <c r="AE107" s="228">
        <v>-0.1</v>
      </c>
      <c r="AF107" s="229">
        <v>3.8E-3</v>
      </c>
      <c r="AG107" s="228">
        <v>2.95</v>
      </c>
      <c r="AH107" s="228">
        <v>2.95</v>
      </c>
      <c r="AI107" s="228">
        <v>0</v>
      </c>
      <c r="AJ107" s="229">
        <v>9.4999999999999998E-3</v>
      </c>
      <c r="AK107" s="228">
        <v>4.8499999999999996</v>
      </c>
      <c r="AL107" s="228">
        <v>4.9000000000000004</v>
      </c>
      <c r="AM107" s="228">
        <v>-0.05</v>
      </c>
      <c r="AN107" s="229">
        <v>1.55E-2</v>
      </c>
      <c r="AO107" s="228">
        <v>313.49</v>
      </c>
      <c r="AP107" s="228">
        <v>315.07</v>
      </c>
      <c r="AQ107" s="228">
        <v>0</v>
      </c>
      <c r="AR107" s="230">
        <v>18391100</v>
      </c>
      <c r="AS107" s="230">
        <v>29379700</v>
      </c>
      <c r="AT107" s="230">
        <v>-10988600</v>
      </c>
      <c r="AU107" s="229">
        <v>-0.374</v>
      </c>
      <c r="AV107" s="230">
        <v>13298650</v>
      </c>
      <c r="AW107" s="230">
        <v>21956050</v>
      </c>
      <c r="AX107" s="230">
        <v>-8657400</v>
      </c>
      <c r="AY107" s="229">
        <v>-0.39429999999999998</v>
      </c>
      <c r="AZ107" s="230">
        <v>4657700</v>
      </c>
      <c r="BA107" s="230">
        <v>6847900</v>
      </c>
      <c r="BB107" s="230">
        <v>-2190200</v>
      </c>
      <c r="BC107" s="229">
        <v>-0.31979999999999997</v>
      </c>
      <c r="BD107" s="230">
        <v>434750</v>
      </c>
      <c r="BE107" s="230">
        <v>575750</v>
      </c>
      <c r="BF107" s="230">
        <v>-141000</v>
      </c>
      <c r="BG107" s="229">
        <v>-0.24490000000000001</v>
      </c>
      <c r="BH107" s="230">
        <v>78579300</v>
      </c>
      <c r="BI107" s="230">
        <v>111265450</v>
      </c>
      <c r="BJ107" s="230">
        <v>-32686150</v>
      </c>
      <c r="BK107" s="229">
        <v>-0.29380000000000001</v>
      </c>
      <c r="BL107" s="230">
        <v>34864600</v>
      </c>
      <c r="BM107" s="230">
        <v>40843000</v>
      </c>
      <c r="BN107" s="230">
        <v>-5978400</v>
      </c>
      <c r="BO107" s="229">
        <v>-0.1464</v>
      </c>
      <c r="BP107" s="230">
        <v>131835000</v>
      </c>
      <c r="BQ107" s="230">
        <v>181488150</v>
      </c>
      <c r="BR107" s="230">
        <v>-49653150</v>
      </c>
      <c r="BS107" s="229">
        <v>-0.27360000000000001</v>
      </c>
      <c r="BT107" s="230">
        <v>11314434</v>
      </c>
      <c r="BU107" s="230">
        <v>15704187</v>
      </c>
      <c r="BV107" s="230">
        <v>-4389753</v>
      </c>
      <c r="BW107" s="229">
        <v>-0.27950000000000003</v>
      </c>
      <c r="BX107" s="230">
        <v>141307850</v>
      </c>
      <c r="BY107" s="230">
        <v>138116550</v>
      </c>
      <c r="BZ107" s="230">
        <v>3191300</v>
      </c>
      <c r="CA107" s="229">
        <v>2.3099999999999999E-2</v>
      </c>
      <c r="CB107" s="230">
        <v>123116500</v>
      </c>
      <c r="CC107" s="230">
        <v>122568950</v>
      </c>
      <c r="CD107" s="230">
        <v>547550</v>
      </c>
      <c r="CE107" s="229">
        <v>4.4999999999999997E-3</v>
      </c>
      <c r="CF107" s="230">
        <v>16583950</v>
      </c>
      <c r="CG107" s="230">
        <v>14130550</v>
      </c>
      <c r="CH107" s="230">
        <v>2453400</v>
      </c>
      <c r="CI107" s="229">
        <v>0.1736</v>
      </c>
      <c r="CJ107" s="230">
        <v>1607400</v>
      </c>
      <c r="CK107" s="230">
        <v>1417050</v>
      </c>
      <c r="CL107" s="230">
        <v>190350</v>
      </c>
      <c r="CM107" s="229">
        <v>0.1343</v>
      </c>
      <c r="CN107" s="230">
        <v>73566750</v>
      </c>
      <c r="CO107" s="230">
        <v>63036400</v>
      </c>
      <c r="CP107" s="230">
        <v>10530350</v>
      </c>
      <c r="CQ107" s="229">
        <v>0.1671</v>
      </c>
      <c r="CR107" s="230">
        <v>43106050</v>
      </c>
      <c r="CS107" s="230">
        <v>39442400</v>
      </c>
      <c r="CT107" s="230">
        <v>3663650</v>
      </c>
      <c r="CU107" s="229">
        <v>9.2899999999999996E-2</v>
      </c>
      <c r="CV107" s="230">
        <v>257980650</v>
      </c>
      <c r="CW107" s="230">
        <v>240595350</v>
      </c>
      <c r="CX107" s="230">
        <v>17385300</v>
      </c>
      <c r="CY107" s="229">
        <v>7.2300000000000003E-2</v>
      </c>
      <c r="CZ107" s="228">
        <v>30.06</v>
      </c>
      <c r="DA107" s="228">
        <v>29.44</v>
      </c>
      <c r="DB107" s="228">
        <v>0.62</v>
      </c>
      <c r="DC107" s="228">
        <v>0.62</v>
      </c>
      <c r="DD107" s="228">
        <v>36.159999999999997</v>
      </c>
      <c r="DE107" s="228">
        <v>36.25</v>
      </c>
      <c r="DF107" s="228">
        <v>-6.1</v>
      </c>
      <c r="DG107" s="228">
        <v>-0.09</v>
      </c>
      <c r="DH107" s="228">
        <v>30.16</v>
      </c>
      <c r="DI107" s="228">
        <v>29.33</v>
      </c>
      <c r="DJ107" s="228">
        <v>0.83</v>
      </c>
      <c r="DK107" s="228">
        <v>0.83</v>
      </c>
      <c r="DL107" s="228">
        <v>29.85</v>
      </c>
      <c r="DM107" s="228">
        <v>29.73</v>
      </c>
      <c r="DN107" s="228">
        <v>0.12</v>
      </c>
      <c r="DO107" s="228">
        <v>0.12</v>
      </c>
      <c r="DP107" s="228">
        <v>0.59</v>
      </c>
      <c r="DQ107" s="228">
        <v>0.63</v>
      </c>
      <c r="DR107" s="228">
        <v>-0.04</v>
      </c>
      <c r="DS107" s="229">
        <v>-6.3500000000000001E-2</v>
      </c>
      <c r="DT107" s="228">
        <v>320</v>
      </c>
      <c r="DU107" s="228">
        <v>300</v>
      </c>
      <c r="DV107" s="228">
        <v>0.44</v>
      </c>
      <c r="DW107" s="228">
        <v>0.37</v>
      </c>
      <c r="DX107" s="228">
        <v>7.0000000000000007E-2</v>
      </c>
      <c r="DY107" s="229">
        <v>0.18920000000000001</v>
      </c>
      <c r="DZ107" s="229">
        <v>0.12870000000000001</v>
      </c>
      <c r="EA107" s="230">
        <v>15547600</v>
      </c>
      <c r="EB107" s="229">
        <v>5.5999999999999999E-3</v>
      </c>
      <c r="EC107" s="229">
        <v>0.12870000000000001</v>
      </c>
      <c r="ED107" s="228">
        <v>1.58</v>
      </c>
      <c r="EE107" s="229">
        <v>5.0000000000000001E-3</v>
      </c>
      <c r="EF107" s="230">
        <v>5869412</v>
      </c>
      <c r="EG107" s="230">
        <v>7651724</v>
      </c>
      <c r="EH107" s="229">
        <v>-0.2329</v>
      </c>
      <c r="EI107" s="229">
        <v>0.51880000000000004</v>
      </c>
      <c r="EJ107" s="231">
        <v>258237.19</v>
      </c>
      <c r="EK107" s="231">
        <v>107718.36</v>
      </c>
      <c r="EL107" s="231">
        <v>57743.79</v>
      </c>
      <c r="EM107" s="231">
        <v>7222</v>
      </c>
      <c r="EN107" s="231">
        <v>423699.34</v>
      </c>
      <c r="EO107" s="231">
        <v>582058.68000000005</v>
      </c>
      <c r="EP107" s="231">
        <v>-158359.34</v>
      </c>
      <c r="EQ107" s="229">
        <v>-0.27210000000000001</v>
      </c>
      <c r="ER107" s="231">
        <v>240131</v>
      </c>
      <c r="ES107" s="231">
        <v>132215</v>
      </c>
      <c r="ET107" s="231">
        <v>443066</v>
      </c>
      <c r="EU107" s="231">
        <v>446457456</v>
      </c>
      <c r="EV107" s="231">
        <v>815413</v>
      </c>
      <c r="EW107" s="231">
        <v>760283</v>
      </c>
      <c r="EX107" s="231">
        <v>55130</v>
      </c>
      <c r="EY107" s="229">
        <v>7.2499999999999995E-2</v>
      </c>
      <c r="EZ107" s="229">
        <v>0.57779999999999998</v>
      </c>
      <c r="FA107" s="227" t="s">
        <v>567</v>
      </c>
      <c r="FB107" s="161">
        <f t="shared" si="1"/>
        <v>18191350</v>
      </c>
    </row>
    <row r="108" spans="1:158" ht="17.25" hidden="1" thickBot="1" x14ac:dyDescent="0.3">
      <c r="A108" s="226">
        <v>45946</v>
      </c>
      <c r="B108" s="227" t="s">
        <v>161</v>
      </c>
      <c r="C108" s="227" t="s">
        <v>580</v>
      </c>
      <c r="D108" s="228">
        <v>1000</v>
      </c>
      <c r="E108" s="228">
        <v>549.35</v>
      </c>
      <c r="F108" s="228">
        <v>546.85</v>
      </c>
      <c r="G108" s="228">
        <v>2.5</v>
      </c>
      <c r="H108" s="229">
        <v>4.5999999999999999E-3</v>
      </c>
      <c r="I108" s="228">
        <v>548.6</v>
      </c>
      <c r="J108" s="228">
        <v>545.75</v>
      </c>
      <c r="K108" s="228">
        <v>2.85</v>
      </c>
      <c r="L108" s="229">
        <v>5.1999999999999998E-3</v>
      </c>
      <c r="M108" s="228">
        <v>549.35</v>
      </c>
      <c r="N108" s="228">
        <v>546.85</v>
      </c>
      <c r="O108" s="228">
        <v>2.5</v>
      </c>
      <c r="P108" s="229">
        <v>4.5999999999999999E-3</v>
      </c>
      <c r="Q108" s="228">
        <v>552.5</v>
      </c>
      <c r="R108" s="228">
        <v>549.9</v>
      </c>
      <c r="S108" s="228">
        <v>2.6</v>
      </c>
      <c r="T108" s="229">
        <v>4.7000000000000002E-3</v>
      </c>
      <c r="U108" s="228">
        <v>557.9</v>
      </c>
      <c r="V108" s="228">
        <v>552.5</v>
      </c>
      <c r="W108" s="228">
        <v>5.4</v>
      </c>
      <c r="X108" s="229">
        <v>9.7999999999999997E-3</v>
      </c>
      <c r="Y108" s="228">
        <v>0.75</v>
      </c>
      <c r="Z108" s="228">
        <v>1.1000000000000001</v>
      </c>
      <c r="AA108" s="228">
        <v>-0.35</v>
      </c>
      <c r="AB108" s="229">
        <v>1.4E-3</v>
      </c>
      <c r="AC108" s="228">
        <v>0.75</v>
      </c>
      <c r="AD108" s="228">
        <v>1.1000000000000001</v>
      </c>
      <c r="AE108" s="228">
        <v>-0.35</v>
      </c>
      <c r="AF108" s="229">
        <v>1.4E-3</v>
      </c>
      <c r="AG108" s="228">
        <v>3.9</v>
      </c>
      <c r="AH108" s="228">
        <v>4.1500000000000004</v>
      </c>
      <c r="AI108" s="228">
        <v>-0.25</v>
      </c>
      <c r="AJ108" s="229">
        <v>7.1000000000000004E-3</v>
      </c>
      <c r="AK108" s="228">
        <v>9.3000000000000007</v>
      </c>
      <c r="AL108" s="228">
        <v>6.75</v>
      </c>
      <c r="AM108" s="228">
        <v>2.5499999999999998</v>
      </c>
      <c r="AN108" s="229">
        <v>1.7000000000000001E-2</v>
      </c>
      <c r="AO108" s="228">
        <v>549.49</v>
      </c>
      <c r="AP108" s="228">
        <v>552.66999999999996</v>
      </c>
      <c r="AQ108" s="228">
        <v>0</v>
      </c>
      <c r="AR108" s="230">
        <v>3688000</v>
      </c>
      <c r="AS108" s="230">
        <v>2550000</v>
      </c>
      <c r="AT108" s="230">
        <v>1138000</v>
      </c>
      <c r="AU108" s="229">
        <v>0.44629999999999997</v>
      </c>
      <c r="AV108" s="230">
        <v>3320000</v>
      </c>
      <c r="AW108" s="230">
        <v>2248000</v>
      </c>
      <c r="AX108" s="230">
        <v>1072000</v>
      </c>
      <c r="AY108" s="229">
        <v>0.47689999999999999</v>
      </c>
      <c r="AZ108" s="230">
        <v>357000</v>
      </c>
      <c r="BA108" s="230">
        <v>295000</v>
      </c>
      <c r="BB108" s="230">
        <v>62000</v>
      </c>
      <c r="BC108" s="229">
        <v>0.2102</v>
      </c>
      <c r="BD108" s="230">
        <v>11000</v>
      </c>
      <c r="BE108" s="230">
        <v>7000</v>
      </c>
      <c r="BF108" s="230">
        <v>4000</v>
      </c>
      <c r="BG108" s="229">
        <v>0.57140000000000002</v>
      </c>
      <c r="BH108" s="230">
        <v>12439000</v>
      </c>
      <c r="BI108" s="230">
        <v>6757000</v>
      </c>
      <c r="BJ108" s="230">
        <v>5682000</v>
      </c>
      <c r="BK108" s="229">
        <v>0.84089999999999998</v>
      </c>
      <c r="BL108" s="230">
        <v>2814000</v>
      </c>
      <c r="BM108" s="230">
        <v>1550000</v>
      </c>
      <c r="BN108" s="230">
        <v>1264000</v>
      </c>
      <c r="BO108" s="229">
        <v>0.8155</v>
      </c>
      <c r="BP108" s="230">
        <v>18941000</v>
      </c>
      <c r="BQ108" s="230">
        <v>10857000</v>
      </c>
      <c r="BR108" s="230">
        <v>8084000</v>
      </c>
      <c r="BS108" s="229">
        <v>0.74460000000000004</v>
      </c>
      <c r="BT108" s="230">
        <v>2558099</v>
      </c>
      <c r="BU108" s="230">
        <v>1788199</v>
      </c>
      <c r="BV108" s="230">
        <v>769900</v>
      </c>
      <c r="BW108" s="229">
        <v>0.43049999999999999</v>
      </c>
      <c r="BX108" s="230">
        <v>36996000</v>
      </c>
      <c r="BY108" s="230">
        <v>37578000</v>
      </c>
      <c r="BZ108" s="230">
        <v>-582000</v>
      </c>
      <c r="CA108" s="229">
        <v>-1.55E-2</v>
      </c>
      <c r="CB108" s="230">
        <v>36350000</v>
      </c>
      <c r="CC108" s="230">
        <v>37026000</v>
      </c>
      <c r="CD108" s="230">
        <v>-676000</v>
      </c>
      <c r="CE108" s="229">
        <v>-1.83E-2</v>
      </c>
      <c r="CF108" s="230">
        <v>611000</v>
      </c>
      <c r="CG108" s="230">
        <v>519000</v>
      </c>
      <c r="CH108" s="230">
        <v>92000</v>
      </c>
      <c r="CI108" s="229">
        <v>0.17730000000000001</v>
      </c>
      <c r="CJ108" s="230">
        <v>35000</v>
      </c>
      <c r="CK108" s="230">
        <v>33000</v>
      </c>
      <c r="CL108" s="230">
        <v>2000</v>
      </c>
      <c r="CM108" s="229">
        <v>6.0600000000000001E-2</v>
      </c>
      <c r="CN108" s="230">
        <v>9454000</v>
      </c>
      <c r="CO108" s="230">
        <v>8747000</v>
      </c>
      <c r="CP108" s="230">
        <v>707000</v>
      </c>
      <c r="CQ108" s="229">
        <v>8.0799999999999997E-2</v>
      </c>
      <c r="CR108" s="230">
        <v>4204000</v>
      </c>
      <c r="CS108" s="230">
        <v>4037000</v>
      </c>
      <c r="CT108" s="230">
        <v>167000</v>
      </c>
      <c r="CU108" s="229">
        <v>4.1399999999999999E-2</v>
      </c>
      <c r="CV108" s="230">
        <v>50654000</v>
      </c>
      <c r="CW108" s="230">
        <v>50362000</v>
      </c>
      <c r="CX108" s="230">
        <v>292000</v>
      </c>
      <c r="CY108" s="229">
        <v>5.7999999999999996E-3</v>
      </c>
      <c r="CZ108" s="228">
        <v>36.700000000000003</v>
      </c>
      <c r="DA108" s="228">
        <v>34.86</v>
      </c>
      <c r="DB108" s="228">
        <v>1.84</v>
      </c>
      <c r="DC108" s="228">
        <v>1.84</v>
      </c>
      <c r="DD108" s="228">
        <v>45.27</v>
      </c>
      <c r="DE108" s="228">
        <v>45.38</v>
      </c>
      <c r="DF108" s="228">
        <v>-8.57</v>
      </c>
      <c r="DG108" s="228">
        <v>-0.11</v>
      </c>
      <c r="DH108" s="228">
        <v>36.86</v>
      </c>
      <c r="DI108" s="228">
        <v>35.020000000000003</v>
      </c>
      <c r="DJ108" s="228">
        <v>1.84</v>
      </c>
      <c r="DK108" s="228">
        <v>1.84</v>
      </c>
      <c r="DL108" s="228">
        <v>36.01</v>
      </c>
      <c r="DM108" s="228">
        <v>34.159999999999997</v>
      </c>
      <c r="DN108" s="228">
        <v>1.85</v>
      </c>
      <c r="DO108" s="228">
        <v>1.85</v>
      </c>
      <c r="DP108" s="228">
        <v>0.44</v>
      </c>
      <c r="DQ108" s="228">
        <v>0.46</v>
      </c>
      <c r="DR108" s="228">
        <v>-0.02</v>
      </c>
      <c r="DS108" s="229">
        <v>-4.3499999999999997E-2</v>
      </c>
      <c r="DT108" s="228">
        <v>560</v>
      </c>
      <c r="DU108" s="228">
        <v>530</v>
      </c>
      <c r="DV108" s="228">
        <v>0.23</v>
      </c>
      <c r="DW108" s="228">
        <v>0.23</v>
      </c>
      <c r="DX108" s="228">
        <v>0</v>
      </c>
      <c r="DY108" s="229">
        <v>0</v>
      </c>
      <c r="DZ108" s="229">
        <v>1.7500000000000002E-2</v>
      </c>
      <c r="EA108" s="230">
        <v>552000</v>
      </c>
      <c r="EB108" s="229">
        <v>5.7000000000000002E-3</v>
      </c>
      <c r="EC108" s="229">
        <v>1.7500000000000002E-2</v>
      </c>
      <c r="ED108" s="228">
        <v>3.18</v>
      </c>
      <c r="EE108" s="229">
        <v>5.7999999999999996E-3</v>
      </c>
      <c r="EF108" s="230">
        <v>1468620</v>
      </c>
      <c r="EG108" s="230">
        <v>1102228</v>
      </c>
      <c r="EH108" s="229">
        <v>0.33239999999999997</v>
      </c>
      <c r="EI108" s="229">
        <v>0.57410000000000005</v>
      </c>
      <c r="EJ108" s="231">
        <v>71199.13</v>
      </c>
      <c r="EK108" s="231">
        <v>15513.5</v>
      </c>
      <c r="EL108" s="231">
        <v>20277.27</v>
      </c>
      <c r="EM108" s="231">
        <v>2848</v>
      </c>
      <c r="EN108" s="231">
        <v>106989.9</v>
      </c>
      <c r="EO108" s="231">
        <v>60914.65</v>
      </c>
      <c r="EP108" s="231">
        <v>46075.25</v>
      </c>
      <c r="EQ108" s="229">
        <v>0.75639999999999996</v>
      </c>
      <c r="ER108" s="231">
        <v>53075</v>
      </c>
      <c r="ES108" s="231">
        <v>22319</v>
      </c>
      <c r="ET108" s="231">
        <v>203260</v>
      </c>
      <c r="EU108" s="231">
        <v>80203755</v>
      </c>
      <c r="EV108" s="231">
        <v>278654</v>
      </c>
      <c r="EW108" s="231">
        <v>275984</v>
      </c>
      <c r="EX108" s="231">
        <v>2670</v>
      </c>
      <c r="EY108" s="229">
        <v>9.7000000000000003E-3</v>
      </c>
      <c r="EZ108" s="229">
        <v>0.63160000000000005</v>
      </c>
      <c r="FA108" s="227" t="s">
        <v>556</v>
      </c>
      <c r="FB108" s="161">
        <f t="shared" si="1"/>
        <v>646000</v>
      </c>
    </row>
    <row r="109" spans="1:158" ht="17.25" hidden="1" thickBot="1" x14ac:dyDescent="0.3">
      <c r="A109" s="226">
        <v>45946</v>
      </c>
      <c r="B109" s="227" t="s">
        <v>227</v>
      </c>
      <c r="C109" s="227" t="s">
        <v>244</v>
      </c>
      <c r="D109" s="228">
        <v>675</v>
      </c>
      <c r="E109" s="231">
        <v>1173.5999999999999</v>
      </c>
      <c r="F109" s="231">
        <v>1165.5</v>
      </c>
      <c r="G109" s="228">
        <v>8.1</v>
      </c>
      <c r="H109" s="229">
        <v>6.8999999999999999E-3</v>
      </c>
      <c r="I109" s="231">
        <v>1172.0999999999999</v>
      </c>
      <c r="J109" s="231">
        <v>1160.8</v>
      </c>
      <c r="K109" s="228">
        <v>11.3</v>
      </c>
      <c r="L109" s="229">
        <v>9.7000000000000003E-3</v>
      </c>
      <c r="M109" s="231">
        <v>1173.5999999999999</v>
      </c>
      <c r="N109" s="231">
        <v>1165.5</v>
      </c>
      <c r="O109" s="228">
        <v>8.1</v>
      </c>
      <c r="P109" s="229">
        <v>6.8999999999999999E-3</v>
      </c>
      <c r="Q109" s="231">
        <v>1180.2</v>
      </c>
      <c r="R109" s="231">
        <v>1172</v>
      </c>
      <c r="S109" s="228">
        <v>8.1999999999999993</v>
      </c>
      <c r="T109" s="229">
        <v>7.0000000000000001E-3</v>
      </c>
      <c r="U109" s="231">
        <v>1186.2</v>
      </c>
      <c r="V109" s="231">
        <v>1178.4000000000001</v>
      </c>
      <c r="W109" s="228">
        <v>7.8</v>
      </c>
      <c r="X109" s="229">
        <v>6.6E-3</v>
      </c>
      <c r="Y109" s="228">
        <v>1.5</v>
      </c>
      <c r="Z109" s="228">
        <v>4.7</v>
      </c>
      <c r="AA109" s="228">
        <v>-3.2</v>
      </c>
      <c r="AB109" s="229">
        <v>1.2999999999999999E-3</v>
      </c>
      <c r="AC109" s="228">
        <v>1.5</v>
      </c>
      <c r="AD109" s="228">
        <v>4.7</v>
      </c>
      <c r="AE109" s="228">
        <v>-3.2</v>
      </c>
      <c r="AF109" s="229">
        <v>1.2999999999999999E-3</v>
      </c>
      <c r="AG109" s="228">
        <v>8.1</v>
      </c>
      <c r="AH109" s="228">
        <v>11.2</v>
      </c>
      <c r="AI109" s="228">
        <v>-3.1</v>
      </c>
      <c r="AJ109" s="229">
        <v>6.8999999999999999E-3</v>
      </c>
      <c r="AK109" s="228">
        <v>14.1</v>
      </c>
      <c r="AL109" s="228">
        <v>17.600000000000001</v>
      </c>
      <c r="AM109" s="228">
        <v>-3.5</v>
      </c>
      <c r="AN109" s="229">
        <v>1.2E-2</v>
      </c>
      <c r="AO109" s="231">
        <v>1171.6600000000001</v>
      </c>
      <c r="AP109" s="231">
        <v>1177.78</v>
      </c>
      <c r="AQ109" s="228">
        <v>0</v>
      </c>
      <c r="AR109" s="230">
        <v>2158650</v>
      </c>
      <c r="AS109" s="230">
        <v>1924425</v>
      </c>
      <c r="AT109" s="230">
        <v>234225</v>
      </c>
      <c r="AU109" s="229">
        <v>0.1217</v>
      </c>
      <c r="AV109" s="230">
        <v>1964250</v>
      </c>
      <c r="AW109" s="230">
        <v>1690875</v>
      </c>
      <c r="AX109" s="230">
        <v>273375</v>
      </c>
      <c r="AY109" s="229">
        <v>0.16170000000000001</v>
      </c>
      <c r="AZ109" s="230">
        <v>174825</v>
      </c>
      <c r="BA109" s="230">
        <v>218025</v>
      </c>
      <c r="BB109" s="230">
        <v>-43200</v>
      </c>
      <c r="BC109" s="229">
        <v>-0.1981</v>
      </c>
      <c r="BD109" s="230">
        <v>19575</v>
      </c>
      <c r="BE109" s="230">
        <v>15525</v>
      </c>
      <c r="BF109" s="230">
        <v>4050</v>
      </c>
      <c r="BG109" s="229">
        <v>0.26090000000000002</v>
      </c>
      <c r="BH109" s="230">
        <v>5061150</v>
      </c>
      <c r="BI109" s="230">
        <v>4172175</v>
      </c>
      <c r="BJ109" s="230">
        <v>888975</v>
      </c>
      <c r="BK109" s="229">
        <v>0.21310000000000001</v>
      </c>
      <c r="BL109" s="230">
        <v>2420550</v>
      </c>
      <c r="BM109" s="230">
        <v>1964925</v>
      </c>
      <c r="BN109" s="230">
        <v>455625</v>
      </c>
      <c r="BO109" s="229">
        <v>0.2319</v>
      </c>
      <c r="BP109" s="230">
        <v>9640350</v>
      </c>
      <c r="BQ109" s="230">
        <v>8061525</v>
      </c>
      <c r="BR109" s="230">
        <v>1578825</v>
      </c>
      <c r="BS109" s="229">
        <v>0.1958</v>
      </c>
      <c r="BT109" s="230">
        <v>743187</v>
      </c>
      <c r="BU109" s="230">
        <v>1299409</v>
      </c>
      <c r="BV109" s="230">
        <v>-556222</v>
      </c>
      <c r="BW109" s="229">
        <v>-0.42809999999999998</v>
      </c>
      <c r="BX109" s="230">
        <v>45105525</v>
      </c>
      <c r="BY109" s="230">
        <v>45100800</v>
      </c>
      <c r="BZ109" s="230">
        <v>4725</v>
      </c>
      <c r="CA109" s="229">
        <v>1E-4</v>
      </c>
      <c r="CB109" s="230">
        <v>44496000</v>
      </c>
      <c r="CC109" s="230">
        <v>44520975</v>
      </c>
      <c r="CD109" s="230">
        <v>-24975</v>
      </c>
      <c r="CE109" s="229">
        <v>-5.9999999999999995E-4</v>
      </c>
      <c r="CF109" s="230">
        <v>560925</v>
      </c>
      <c r="CG109" s="230">
        <v>529875</v>
      </c>
      <c r="CH109" s="230">
        <v>31050</v>
      </c>
      <c r="CI109" s="229">
        <v>5.8599999999999999E-2</v>
      </c>
      <c r="CJ109" s="230">
        <v>48600</v>
      </c>
      <c r="CK109" s="230">
        <v>49950</v>
      </c>
      <c r="CL109" s="230">
        <v>-1350</v>
      </c>
      <c r="CM109" s="229">
        <v>-2.7E-2</v>
      </c>
      <c r="CN109" s="230">
        <v>6222150</v>
      </c>
      <c r="CO109" s="230">
        <v>6220125</v>
      </c>
      <c r="CP109" s="230">
        <v>2025</v>
      </c>
      <c r="CQ109" s="229">
        <v>2.9999999999999997E-4</v>
      </c>
      <c r="CR109" s="230">
        <v>4274775</v>
      </c>
      <c r="CS109" s="230">
        <v>4033800</v>
      </c>
      <c r="CT109" s="230">
        <v>240975</v>
      </c>
      <c r="CU109" s="229">
        <v>5.9700000000000003E-2</v>
      </c>
      <c r="CV109" s="230">
        <v>55602450</v>
      </c>
      <c r="CW109" s="230">
        <v>55354725</v>
      </c>
      <c r="CX109" s="230">
        <v>247725</v>
      </c>
      <c r="CY109" s="229">
        <v>4.4999999999999997E-3</v>
      </c>
      <c r="CZ109" s="228">
        <v>25.73</v>
      </c>
      <c r="DA109" s="228">
        <v>26.36</v>
      </c>
      <c r="DB109" s="228">
        <v>-0.63</v>
      </c>
      <c r="DC109" s="228">
        <v>-0.63</v>
      </c>
      <c r="DD109" s="228">
        <v>29.52</v>
      </c>
      <c r="DE109" s="228">
        <v>29.58</v>
      </c>
      <c r="DF109" s="228">
        <v>-3.79</v>
      </c>
      <c r="DG109" s="228">
        <v>-0.06</v>
      </c>
      <c r="DH109" s="228">
        <v>25.54</v>
      </c>
      <c r="DI109" s="228">
        <v>26.17</v>
      </c>
      <c r="DJ109" s="228">
        <v>-0.63</v>
      </c>
      <c r="DK109" s="228">
        <v>-0.63</v>
      </c>
      <c r="DL109" s="228">
        <v>26.13</v>
      </c>
      <c r="DM109" s="228">
        <v>26.78</v>
      </c>
      <c r="DN109" s="228">
        <v>-0.65</v>
      </c>
      <c r="DO109" s="228">
        <v>-0.65</v>
      </c>
      <c r="DP109" s="228">
        <v>0.69</v>
      </c>
      <c r="DQ109" s="228">
        <v>0.65</v>
      </c>
      <c r="DR109" s="228">
        <v>0.04</v>
      </c>
      <c r="DS109" s="229">
        <v>6.1499999999999999E-2</v>
      </c>
      <c r="DT109" s="231">
        <v>1300</v>
      </c>
      <c r="DU109" s="231">
        <v>1100</v>
      </c>
      <c r="DV109" s="228">
        <v>0.48</v>
      </c>
      <c r="DW109" s="228">
        <v>0.47</v>
      </c>
      <c r="DX109" s="228">
        <v>0.01</v>
      </c>
      <c r="DY109" s="229">
        <v>2.1299999999999999E-2</v>
      </c>
      <c r="DZ109" s="229">
        <v>1.35E-2</v>
      </c>
      <c r="EA109" s="230">
        <v>579825</v>
      </c>
      <c r="EB109" s="229">
        <v>5.5999999999999999E-3</v>
      </c>
      <c r="EC109" s="229">
        <v>1.35E-2</v>
      </c>
      <c r="ED109" s="228">
        <v>6.12</v>
      </c>
      <c r="EE109" s="229">
        <v>5.1999999999999998E-3</v>
      </c>
      <c r="EF109" s="230">
        <v>405453</v>
      </c>
      <c r="EG109" s="230">
        <v>841878</v>
      </c>
      <c r="EH109" s="229">
        <v>-0.51839999999999997</v>
      </c>
      <c r="EI109" s="229">
        <v>0.54559999999999997</v>
      </c>
      <c r="EJ109" s="231">
        <v>60966.26</v>
      </c>
      <c r="EK109" s="231">
        <v>27898.59</v>
      </c>
      <c r="EL109" s="231">
        <v>25304.93</v>
      </c>
      <c r="EM109" s="231">
        <v>4200</v>
      </c>
      <c r="EN109" s="231">
        <v>114169.78</v>
      </c>
      <c r="EO109" s="231">
        <v>95129.07</v>
      </c>
      <c r="EP109" s="231">
        <v>19040.71</v>
      </c>
      <c r="EQ109" s="229">
        <v>0.20019999999999999</v>
      </c>
      <c r="ER109" s="231">
        <v>75222</v>
      </c>
      <c r="ES109" s="231">
        <v>47074</v>
      </c>
      <c r="ET109" s="231">
        <v>529402</v>
      </c>
      <c r="EU109" s="231">
        <v>133166619</v>
      </c>
      <c r="EV109" s="231">
        <v>651697</v>
      </c>
      <c r="EW109" s="231">
        <v>645133</v>
      </c>
      <c r="EX109" s="231">
        <v>6564</v>
      </c>
      <c r="EY109" s="229">
        <v>1.0200000000000001E-2</v>
      </c>
      <c r="EZ109" s="229">
        <v>0.41749999999999998</v>
      </c>
      <c r="FA109" s="227" t="s">
        <v>555</v>
      </c>
      <c r="FB109" s="161">
        <f t="shared" si="1"/>
        <v>609525</v>
      </c>
    </row>
    <row r="110" spans="1:158" ht="17.25" hidden="1" thickBot="1" x14ac:dyDescent="0.3">
      <c r="A110" s="226">
        <v>45946</v>
      </c>
      <c r="B110" s="227" t="s">
        <v>168</v>
      </c>
      <c r="C110" s="227" t="s">
        <v>245</v>
      </c>
      <c r="D110" s="228">
        <v>1250</v>
      </c>
      <c r="E110" s="228">
        <v>596.5</v>
      </c>
      <c r="F110" s="228">
        <v>587.25</v>
      </c>
      <c r="G110" s="228">
        <v>9.25</v>
      </c>
      <c r="H110" s="229">
        <v>1.5800000000000002E-2</v>
      </c>
      <c r="I110" s="228">
        <v>595.29999999999995</v>
      </c>
      <c r="J110" s="228">
        <v>584.70000000000005</v>
      </c>
      <c r="K110" s="228">
        <v>10.6</v>
      </c>
      <c r="L110" s="229">
        <v>1.8100000000000002E-2</v>
      </c>
      <c r="M110" s="228">
        <v>596.5</v>
      </c>
      <c r="N110" s="228">
        <v>587.25</v>
      </c>
      <c r="O110" s="228">
        <v>9.25</v>
      </c>
      <c r="P110" s="229">
        <v>1.5800000000000002E-2</v>
      </c>
      <c r="Q110" s="228">
        <v>600.1</v>
      </c>
      <c r="R110" s="228">
        <v>590.29999999999995</v>
      </c>
      <c r="S110" s="228">
        <v>9.8000000000000007</v>
      </c>
      <c r="T110" s="229">
        <v>1.66E-2</v>
      </c>
      <c r="U110" s="228">
        <v>603.1</v>
      </c>
      <c r="V110" s="228">
        <v>594.75</v>
      </c>
      <c r="W110" s="228">
        <v>8.35</v>
      </c>
      <c r="X110" s="229">
        <v>1.4E-2</v>
      </c>
      <c r="Y110" s="228">
        <v>1.2</v>
      </c>
      <c r="Z110" s="228">
        <v>2.5499999999999998</v>
      </c>
      <c r="AA110" s="228">
        <v>-1.35</v>
      </c>
      <c r="AB110" s="229">
        <v>2E-3</v>
      </c>
      <c r="AC110" s="228">
        <v>1.2</v>
      </c>
      <c r="AD110" s="228">
        <v>2.5499999999999998</v>
      </c>
      <c r="AE110" s="228">
        <v>-1.35</v>
      </c>
      <c r="AF110" s="229">
        <v>2E-3</v>
      </c>
      <c r="AG110" s="228">
        <v>4.8</v>
      </c>
      <c r="AH110" s="228">
        <v>5.6</v>
      </c>
      <c r="AI110" s="228">
        <v>-0.8</v>
      </c>
      <c r="AJ110" s="229">
        <v>8.0999999999999996E-3</v>
      </c>
      <c r="AK110" s="228">
        <v>7.8</v>
      </c>
      <c r="AL110" s="228">
        <v>10.050000000000001</v>
      </c>
      <c r="AM110" s="228">
        <v>-2.25</v>
      </c>
      <c r="AN110" s="229">
        <v>1.3100000000000001E-2</v>
      </c>
      <c r="AO110" s="228">
        <v>593.6</v>
      </c>
      <c r="AP110" s="228">
        <v>595.44000000000005</v>
      </c>
      <c r="AQ110" s="228">
        <v>0</v>
      </c>
      <c r="AR110" s="230">
        <v>3251250</v>
      </c>
      <c r="AS110" s="230">
        <v>2211250</v>
      </c>
      <c r="AT110" s="230">
        <v>1040000</v>
      </c>
      <c r="AU110" s="229">
        <v>0.4703</v>
      </c>
      <c r="AV110" s="230">
        <v>2782500</v>
      </c>
      <c r="AW110" s="230">
        <v>1906250</v>
      </c>
      <c r="AX110" s="230">
        <v>876250</v>
      </c>
      <c r="AY110" s="229">
        <v>0.4597</v>
      </c>
      <c r="AZ110" s="230">
        <v>442500</v>
      </c>
      <c r="BA110" s="230">
        <v>265000</v>
      </c>
      <c r="BB110" s="230">
        <v>177500</v>
      </c>
      <c r="BC110" s="229">
        <v>0.66979999999999995</v>
      </c>
      <c r="BD110" s="230">
        <v>26250</v>
      </c>
      <c r="BE110" s="230">
        <v>40000</v>
      </c>
      <c r="BF110" s="230">
        <v>-13750</v>
      </c>
      <c r="BG110" s="229">
        <v>-0.34379999999999999</v>
      </c>
      <c r="BH110" s="230">
        <v>11300000</v>
      </c>
      <c r="BI110" s="230">
        <v>9232500</v>
      </c>
      <c r="BJ110" s="230">
        <v>2067500</v>
      </c>
      <c r="BK110" s="229">
        <v>0.22389999999999999</v>
      </c>
      <c r="BL110" s="230">
        <v>2991250</v>
      </c>
      <c r="BM110" s="230">
        <v>2237500</v>
      </c>
      <c r="BN110" s="230">
        <v>753750</v>
      </c>
      <c r="BO110" s="229">
        <v>0.33689999999999998</v>
      </c>
      <c r="BP110" s="230">
        <v>17542500</v>
      </c>
      <c r="BQ110" s="230">
        <v>13681250</v>
      </c>
      <c r="BR110" s="230">
        <v>3861250</v>
      </c>
      <c r="BS110" s="229">
        <v>0.28220000000000001</v>
      </c>
      <c r="BT110" s="230">
        <v>1306948</v>
      </c>
      <c r="BU110" s="230">
        <v>909052</v>
      </c>
      <c r="BV110" s="230">
        <v>397896</v>
      </c>
      <c r="BW110" s="229">
        <v>0.43769999999999998</v>
      </c>
      <c r="BX110" s="230">
        <v>22287500</v>
      </c>
      <c r="BY110" s="230">
        <v>22516250</v>
      </c>
      <c r="BZ110" s="230">
        <v>-228750</v>
      </c>
      <c r="CA110" s="229">
        <v>-1.0200000000000001E-2</v>
      </c>
      <c r="CB110" s="230">
        <v>21118750</v>
      </c>
      <c r="CC110" s="230">
        <v>21436250</v>
      </c>
      <c r="CD110" s="230">
        <v>-317500</v>
      </c>
      <c r="CE110" s="229">
        <v>-1.4800000000000001E-2</v>
      </c>
      <c r="CF110" s="230">
        <v>986250</v>
      </c>
      <c r="CG110" s="230">
        <v>891250</v>
      </c>
      <c r="CH110" s="230">
        <v>95000</v>
      </c>
      <c r="CI110" s="229">
        <v>0.1066</v>
      </c>
      <c r="CJ110" s="230">
        <v>182500</v>
      </c>
      <c r="CK110" s="230">
        <v>188750</v>
      </c>
      <c r="CL110" s="230">
        <v>-6250</v>
      </c>
      <c r="CM110" s="229">
        <v>-3.3099999999999997E-2</v>
      </c>
      <c r="CN110" s="230">
        <v>11652500</v>
      </c>
      <c r="CO110" s="230">
        <v>12891250</v>
      </c>
      <c r="CP110" s="230">
        <v>-1238750</v>
      </c>
      <c r="CQ110" s="229">
        <v>-9.6100000000000005E-2</v>
      </c>
      <c r="CR110" s="230">
        <v>5015000</v>
      </c>
      <c r="CS110" s="230">
        <v>5407500</v>
      </c>
      <c r="CT110" s="230">
        <v>-392500</v>
      </c>
      <c r="CU110" s="229">
        <v>-7.2599999999999998E-2</v>
      </c>
      <c r="CV110" s="230">
        <v>38955000</v>
      </c>
      <c r="CW110" s="230">
        <v>40815000</v>
      </c>
      <c r="CX110" s="230">
        <v>-1860000</v>
      </c>
      <c r="CY110" s="229">
        <v>-4.5600000000000002E-2</v>
      </c>
      <c r="CZ110" s="228">
        <v>26.81</v>
      </c>
      <c r="DA110" s="228">
        <v>28.42</v>
      </c>
      <c r="DB110" s="228">
        <v>-1.61</v>
      </c>
      <c r="DC110" s="228">
        <v>-1.61</v>
      </c>
      <c r="DD110" s="228">
        <v>34.01</v>
      </c>
      <c r="DE110" s="228">
        <v>34.01</v>
      </c>
      <c r="DF110" s="228">
        <v>-7.2</v>
      </c>
      <c r="DG110" s="228">
        <v>0</v>
      </c>
      <c r="DH110" s="228">
        <v>27.13</v>
      </c>
      <c r="DI110" s="228">
        <v>28.7</v>
      </c>
      <c r="DJ110" s="228">
        <v>-1.57</v>
      </c>
      <c r="DK110" s="228">
        <v>-1.57</v>
      </c>
      <c r="DL110" s="228">
        <v>25.59</v>
      </c>
      <c r="DM110" s="228">
        <v>27.26</v>
      </c>
      <c r="DN110" s="228">
        <v>-1.67</v>
      </c>
      <c r="DO110" s="228">
        <v>-1.67</v>
      </c>
      <c r="DP110" s="228">
        <v>0.43</v>
      </c>
      <c r="DQ110" s="228">
        <v>0.42</v>
      </c>
      <c r="DR110" s="228">
        <v>0.01</v>
      </c>
      <c r="DS110" s="229">
        <v>2.3800000000000002E-2</v>
      </c>
      <c r="DT110" s="228">
        <v>650</v>
      </c>
      <c r="DU110" s="228">
        <v>550</v>
      </c>
      <c r="DV110" s="228">
        <v>0.26</v>
      </c>
      <c r="DW110" s="228">
        <v>0.24</v>
      </c>
      <c r="DX110" s="228">
        <v>0.02</v>
      </c>
      <c r="DY110" s="229">
        <v>8.3299999999999999E-2</v>
      </c>
      <c r="DZ110" s="229">
        <v>5.2400000000000002E-2</v>
      </c>
      <c r="EA110" s="230">
        <v>1080000</v>
      </c>
      <c r="EB110" s="229">
        <v>6.0000000000000001E-3</v>
      </c>
      <c r="EC110" s="229">
        <v>5.2400000000000002E-2</v>
      </c>
      <c r="ED110" s="228">
        <v>1.84</v>
      </c>
      <c r="EE110" s="229">
        <v>3.0999999999999999E-3</v>
      </c>
      <c r="EF110" s="230">
        <v>752055</v>
      </c>
      <c r="EG110" s="230">
        <v>533095</v>
      </c>
      <c r="EH110" s="229">
        <v>0.41070000000000001</v>
      </c>
      <c r="EI110" s="229">
        <v>0.57540000000000002</v>
      </c>
      <c r="EJ110" s="231">
        <v>70173.75</v>
      </c>
      <c r="EK110" s="231">
        <v>17479.61</v>
      </c>
      <c r="EL110" s="231">
        <v>19309.04</v>
      </c>
      <c r="EM110" s="231">
        <v>2201</v>
      </c>
      <c r="EN110" s="231">
        <v>106962.4</v>
      </c>
      <c r="EO110" s="231">
        <v>83273.84</v>
      </c>
      <c r="EP110" s="231">
        <v>23688.560000000001</v>
      </c>
      <c r="EQ110" s="229">
        <v>0.28449999999999998</v>
      </c>
      <c r="ER110" s="231">
        <v>74333</v>
      </c>
      <c r="ES110" s="231">
        <v>29724</v>
      </c>
      <c r="ET110" s="231">
        <v>132992</v>
      </c>
      <c r="EU110" s="231">
        <v>48884739</v>
      </c>
      <c r="EV110" s="231">
        <v>237050</v>
      </c>
      <c r="EW110" s="231">
        <v>246053</v>
      </c>
      <c r="EX110" s="231">
        <v>-9003</v>
      </c>
      <c r="EY110" s="229">
        <v>-3.6600000000000001E-2</v>
      </c>
      <c r="EZ110" s="229">
        <v>0.79690000000000005</v>
      </c>
      <c r="FA110" s="227" t="s">
        <v>556</v>
      </c>
      <c r="FB110" s="161">
        <f t="shared" si="1"/>
        <v>1168750</v>
      </c>
    </row>
    <row r="111" spans="1:158" ht="17.25" hidden="1" thickBot="1" x14ac:dyDescent="0.3">
      <c r="A111" s="226">
        <v>45946</v>
      </c>
      <c r="B111" s="227" t="s">
        <v>168</v>
      </c>
      <c r="C111" s="227" t="s">
        <v>582</v>
      </c>
      <c r="D111" s="228">
        <v>1175</v>
      </c>
      <c r="E111" s="228">
        <v>488.45</v>
      </c>
      <c r="F111" s="228">
        <v>478.7</v>
      </c>
      <c r="G111" s="228">
        <v>9.75</v>
      </c>
      <c r="H111" s="229">
        <v>2.0400000000000001E-2</v>
      </c>
      <c r="I111" s="228">
        <v>487.15</v>
      </c>
      <c r="J111" s="228">
        <v>477</v>
      </c>
      <c r="K111" s="228">
        <v>10.15</v>
      </c>
      <c r="L111" s="229">
        <v>2.1299999999999999E-2</v>
      </c>
      <c r="M111" s="228">
        <v>488.45</v>
      </c>
      <c r="N111" s="228">
        <v>478.7</v>
      </c>
      <c r="O111" s="228">
        <v>9.75</v>
      </c>
      <c r="P111" s="229">
        <v>2.0400000000000001E-2</v>
      </c>
      <c r="Q111" s="228">
        <v>491.3</v>
      </c>
      <c r="R111" s="228">
        <v>481.5</v>
      </c>
      <c r="S111" s="228">
        <v>9.8000000000000007</v>
      </c>
      <c r="T111" s="229">
        <v>2.0400000000000001E-2</v>
      </c>
      <c r="U111" s="228">
        <v>494.65</v>
      </c>
      <c r="V111" s="228">
        <v>484.65</v>
      </c>
      <c r="W111" s="228">
        <v>10</v>
      </c>
      <c r="X111" s="229">
        <v>2.06E-2</v>
      </c>
      <c r="Y111" s="228">
        <v>1.3</v>
      </c>
      <c r="Z111" s="228">
        <v>1.7</v>
      </c>
      <c r="AA111" s="228">
        <v>-0.4</v>
      </c>
      <c r="AB111" s="229">
        <v>2.7000000000000001E-3</v>
      </c>
      <c r="AC111" s="228">
        <v>1.3</v>
      </c>
      <c r="AD111" s="228">
        <v>1.7</v>
      </c>
      <c r="AE111" s="228">
        <v>-0.4</v>
      </c>
      <c r="AF111" s="229">
        <v>2.7000000000000001E-3</v>
      </c>
      <c r="AG111" s="228">
        <v>4.1500000000000004</v>
      </c>
      <c r="AH111" s="228">
        <v>4.5</v>
      </c>
      <c r="AI111" s="228">
        <v>-0.35</v>
      </c>
      <c r="AJ111" s="229">
        <v>8.5000000000000006E-3</v>
      </c>
      <c r="AK111" s="228">
        <v>7.5</v>
      </c>
      <c r="AL111" s="228">
        <v>7.65</v>
      </c>
      <c r="AM111" s="228">
        <v>-0.15</v>
      </c>
      <c r="AN111" s="229">
        <v>1.54E-2</v>
      </c>
      <c r="AO111" s="228">
        <v>488.02</v>
      </c>
      <c r="AP111" s="228">
        <v>490.9</v>
      </c>
      <c r="AQ111" s="228">
        <v>0</v>
      </c>
      <c r="AR111" s="230">
        <v>5615325</v>
      </c>
      <c r="AS111" s="230">
        <v>3121975</v>
      </c>
      <c r="AT111" s="230">
        <v>2493350</v>
      </c>
      <c r="AU111" s="229">
        <v>0.79859999999999998</v>
      </c>
      <c r="AV111" s="230">
        <v>4846875</v>
      </c>
      <c r="AW111" s="230">
        <v>2822350</v>
      </c>
      <c r="AX111" s="230">
        <v>2024525</v>
      </c>
      <c r="AY111" s="229">
        <v>0.71730000000000005</v>
      </c>
      <c r="AZ111" s="230">
        <v>733200</v>
      </c>
      <c r="BA111" s="230">
        <v>269075</v>
      </c>
      <c r="BB111" s="230">
        <v>464125</v>
      </c>
      <c r="BC111" s="229">
        <v>1.7249000000000001</v>
      </c>
      <c r="BD111" s="230">
        <v>35250</v>
      </c>
      <c r="BE111" s="230">
        <v>30550</v>
      </c>
      <c r="BF111" s="230">
        <v>4700</v>
      </c>
      <c r="BG111" s="229">
        <v>0.15379999999999999</v>
      </c>
      <c r="BH111" s="230">
        <v>30376100</v>
      </c>
      <c r="BI111" s="230">
        <v>12252900</v>
      </c>
      <c r="BJ111" s="230">
        <v>18123200</v>
      </c>
      <c r="BK111" s="229">
        <v>1.4791000000000001</v>
      </c>
      <c r="BL111" s="230">
        <v>11366950</v>
      </c>
      <c r="BM111" s="230">
        <v>3973850</v>
      </c>
      <c r="BN111" s="230">
        <v>7393100</v>
      </c>
      <c r="BO111" s="229">
        <v>1.8604000000000001</v>
      </c>
      <c r="BP111" s="230">
        <v>47358375</v>
      </c>
      <c r="BQ111" s="230">
        <v>19348725</v>
      </c>
      <c r="BR111" s="230">
        <v>28009650</v>
      </c>
      <c r="BS111" s="229">
        <v>1.4476</v>
      </c>
      <c r="BT111" s="230">
        <v>4711212</v>
      </c>
      <c r="BU111" s="230">
        <v>1618362</v>
      </c>
      <c r="BV111" s="230">
        <v>3092850</v>
      </c>
      <c r="BW111" s="229">
        <v>1.9111</v>
      </c>
      <c r="BX111" s="230">
        <v>30499475</v>
      </c>
      <c r="BY111" s="230">
        <v>31399525</v>
      </c>
      <c r="BZ111" s="230">
        <v>-900050</v>
      </c>
      <c r="CA111" s="229">
        <v>-2.87E-2</v>
      </c>
      <c r="CB111" s="230">
        <v>29062450</v>
      </c>
      <c r="CC111" s="230">
        <v>30016550</v>
      </c>
      <c r="CD111" s="230">
        <v>-954100</v>
      </c>
      <c r="CE111" s="229">
        <v>-3.1800000000000002E-2</v>
      </c>
      <c r="CF111" s="230">
        <v>1304250</v>
      </c>
      <c r="CG111" s="230">
        <v>1252550</v>
      </c>
      <c r="CH111" s="230">
        <v>51700</v>
      </c>
      <c r="CI111" s="229">
        <v>4.1300000000000003E-2</v>
      </c>
      <c r="CJ111" s="230">
        <v>132775</v>
      </c>
      <c r="CK111" s="230">
        <v>130425</v>
      </c>
      <c r="CL111" s="230">
        <v>2350</v>
      </c>
      <c r="CM111" s="229">
        <v>1.7999999999999999E-2</v>
      </c>
      <c r="CN111" s="230">
        <v>16398300</v>
      </c>
      <c r="CO111" s="230">
        <v>16938800</v>
      </c>
      <c r="CP111" s="230">
        <v>-540500</v>
      </c>
      <c r="CQ111" s="229">
        <v>-3.1899999999999998E-2</v>
      </c>
      <c r="CR111" s="230">
        <v>8028775</v>
      </c>
      <c r="CS111" s="230">
        <v>8249675</v>
      </c>
      <c r="CT111" s="230">
        <v>-220900</v>
      </c>
      <c r="CU111" s="229">
        <v>-2.6800000000000001E-2</v>
      </c>
      <c r="CV111" s="230">
        <v>54926550</v>
      </c>
      <c r="CW111" s="230">
        <v>56588000</v>
      </c>
      <c r="CX111" s="230">
        <v>-1661450</v>
      </c>
      <c r="CY111" s="229">
        <v>-2.9399999999999999E-2</v>
      </c>
      <c r="CZ111" s="228">
        <v>33.369999999999997</v>
      </c>
      <c r="DA111" s="228">
        <v>34.130000000000003</v>
      </c>
      <c r="DB111" s="228">
        <v>-0.76</v>
      </c>
      <c r="DC111" s="228">
        <v>-0.76</v>
      </c>
      <c r="DD111" s="228">
        <v>51.78</v>
      </c>
      <c r="DE111" s="228">
        <v>51.83</v>
      </c>
      <c r="DF111" s="228">
        <v>-18.41</v>
      </c>
      <c r="DG111" s="228">
        <v>-0.05</v>
      </c>
      <c r="DH111" s="228">
        <v>33.75</v>
      </c>
      <c r="DI111" s="228">
        <v>34.69</v>
      </c>
      <c r="DJ111" s="228">
        <v>-0.94</v>
      </c>
      <c r="DK111" s="228">
        <v>-0.94</v>
      </c>
      <c r="DL111" s="228">
        <v>32.36</v>
      </c>
      <c r="DM111" s="228">
        <v>32.39</v>
      </c>
      <c r="DN111" s="228">
        <v>-0.03</v>
      </c>
      <c r="DO111" s="228">
        <v>-0.03</v>
      </c>
      <c r="DP111" s="228">
        <v>0.49</v>
      </c>
      <c r="DQ111" s="228">
        <v>0.49</v>
      </c>
      <c r="DR111" s="228">
        <v>0</v>
      </c>
      <c r="DS111" s="229">
        <v>0</v>
      </c>
      <c r="DT111" s="228">
        <v>500</v>
      </c>
      <c r="DU111" s="228">
        <v>480</v>
      </c>
      <c r="DV111" s="228">
        <v>0.37</v>
      </c>
      <c r="DW111" s="228">
        <v>0.32</v>
      </c>
      <c r="DX111" s="228">
        <v>0.05</v>
      </c>
      <c r="DY111" s="229">
        <v>0.15620000000000001</v>
      </c>
      <c r="DZ111" s="229">
        <v>4.7100000000000003E-2</v>
      </c>
      <c r="EA111" s="230">
        <v>1382975</v>
      </c>
      <c r="EB111" s="229">
        <v>5.7999999999999996E-3</v>
      </c>
      <c r="EC111" s="229">
        <v>4.7100000000000003E-2</v>
      </c>
      <c r="ED111" s="228">
        <v>2.88</v>
      </c>
      <c r="EE111" s="229">
        <v>5.8999999999999999E-3</v>
      </c>
      <c r="EF111" s="230">
        <v>1532617</v>
      </c>
      <c r="EG111" s="230">
        <v>469516</v>
      </c>
      <c r="EH111" s="229">
        <v>2.2642000000000002</v>
      </c>
      <c r="EI111" s="229">
        <v>0.32529999999999998</v>
      </c>
      <c r="EJ111" s="231">
        <v>155074.41</v>
      </c>
      <c r="EK111" s="231">
        <v>54333.23</v>
      </c>
      <c r="EL111" s="231">
        <v>27427.360000000001</v>
      </c>
      <c r="EM111" s="231">
        <v>2298</v>
      </c>
      <c r="EN111" s="231">
        <v>236835</v>
      </c>
      <c r="EO111" s="231">
        <v>95387.76</v>
      </c>
      <c r="EP111" s="231">
        <v>141447.24</v>
      </c>
      <c r="EQ111" s="229">
        <v>1.4829000000000001</v>
      </c>
      <c r="ER111" s="231">
        <v>84341</v>
      </c>
      <c r="ES111" s="231">
        <v>37578</v>
      </c>
      <c r="ET111" s="231">
        <v>149020</v>
      </c>
      <c r="EU111" s="231">
        <v>57552009</v>
      </c>
      <c r="EV111" s="231">
        <v>270938</v>
      </c>
      <c r="EW111" s="231">
        <v>275490</v>
      </c>
      <c r="EX111" s="231">
        <v>-4552</v>
      </c>
      <c r="EY111" s="229">
        <v>-1.6500000000000001E-2</v>
      </c>
      <c r="EZ111" s="229">
        <v>0.95440000000000003</v>
      </c>
      <c r="FA111" s="227" t="s">
        <v>556</v>
      </c>
      <c r="FB111" s="161">
        <f t="shared" si="1"/>
        <v>1437025</v>
      </c>
    </row>
    <row r="112" spans="1:158" ht="17.25" hidden="1" thickBot="1" x14ac:dyDescent="0.3">
      <c r="A112" s="226">
        <v>45946</v>
      </c>
      <c r="B112" s="227" t="s">
        <v>184</v>
      </c>
      <c r="C112" s="227" t="s">
        <v>677</v>
      </c>
      <c r="D112" s="228">
        <v>100</v>
      </c>
      <c r="E112" s="231">
        <v>6999</v>
      </c>
      <c r="F112" s="231">
        <v>6970.5</v>
      </c>
      <c r="G112" s="228">
        <v>28.5</v>
      </c>
      <c r="H112" s="229">
        <v>4.1000000000000003E-3</v>
      </c>
      <c r="I112" s="231">
        <v>6991.5</v>
      </c>
      <c r="J112" s="231">
        <v>6958.5</v>
      </c>
      <c r="K112" s="228">
        <v>33</v>
      </c>
      <c r="L112" s="229">
        <v>4.7000000000000002E-3</v>
      </c>
      <c r="M112" s="231">
        <v>6999</v>
      </c>
      <c r="N112" s="231">
        <v>6970.5</v>
      </c>
      <c r="O112" s="228">
        <v>28.5</v>
      </c>
      <c r="P112" s="229">
        <v>4.1000000000000003E-3</v>
      </c>
      <c r="Q112" s="231">
        <v>7036</v>
      </c>
      <c r="R112" s="231">
        <v>7008.5</v>
      </c>
      <c r="S112" s="228">
        <v>27.5</v>
      </c>
      <c r="T112" s="229">
        <v>3.8999999999999998E-3</v>
      </c>
      <c r="U112" s="231">
        <v>7082</v>
      </c>
      <c r="V112" s="231">
        <v>7045</v>
      </c>
      <c r="W112" s="228">
        <v>37</v>
      </c>
      <c r="X112" s="229">
        <v>5.3E-3</v>
      </c>
      <c r="Y112" s="228">
        <v>7.5</v>
      </c>
      <c r="Z112" s="228">
        <v>12</v>
      </c>
      <c r="AA112" s="228">
        <v>-4.5</v>
      </c>
      <c r="AB112" s="229">
        <v>1.1000000000000001E-3</v>
      </c>
      <c r="AC112" s="228">
        <v>7.5</v>
      </c>
      <c r="AD112" s="228">
        <v>12</v>
      </c>
      <c r="AE112" s="228">
        <v>-4.5</v>
      </c>
      <c r="AF112" s="229">
        <v>1.1000000000000001E-3</v>
      </c>
      <c r="AG112" s="228">
        <v>44.5</v>
      </c>
      <c r="AH112" s="228">
        <v>50</v>
      </c>
      <c r="AI112" s="228">
        <v>-5.5</v>
      </c>
      <c r="AJ112" s="229">
        <v>6.4000000000000003E-3</v>
      </c>
      <c r="AK112" s="228">
        <v>90.5</v>
      </c>
      <c r="AL112" s="228">
        <v>86.5</v>
      </c>
      <c r="AM112" s="228">
        <v>4</v>
      </c>
      <c r="AN112" s="229">
        <v>1.29E-2</v>
      </c>
      <c r="AO112" s="231">
        <v>7048.59</v>
      </c>
      <c r="AP112" s="231">
        <v>7076.99</v>
      </c>
      <c r="AQ112" s="228">
        <v>0</v>
      </c>
      <c r="AR112" s="230">
        <v>558500</v>
      </c>
      <c r="AS112" s="230">
        <v>285000</v>
      </c>
      <c r="AT112" s="230">
        <v>273500</v>
      </c>
      <c r="AU112" s="229">
        <v>0.95960000000000001</v>
      </c>
      <c r="AV112" s="230">
        <v>476900</v>
      </c>
      <c r="AW112" s="230">
        <v>262600</v>
      </c>
      <c r="AX112" s="230">
        <v>214300</v>
      </c>
      <c r="AY112" s="229">
        <v>0.81610000000000005</v>
      </c>
      <c r="AZ112" s="230">
        <v>77300</v>
      </c>
      <c r="BA112" s="230">
        <v>21500</v>
      </c>
      <c r="BB112" s="230">
        <v>55800</v>
      </c>
      <c r="BC112" s="229">
        <v>2.5952999999999999</v>
      </c>
      <c r="BD112" s="230">
        <v>4300</v>
      </c>
      <c r="BE112" s="228">
        <v>900</v>
      </c>
      <c r="BF112" s="230">
        <v>3400</v>
      </c>
      <c r="BG112" s="229">
        <v>3.7778</v>
      </c>
      <c r="BH112" s="230">
        <v>3736200</v>
      </c>
      <c r="BI112" s="230">
        <v>1890100</v>
      </c>
      <c r="BJ112" s="230">
        <v>1846100</v>
      </c>
      <c r="BK112" s="229">
        <v>0.97670000000000001</v>
      </c>
      <c r="BL112" s="230">
        <v>1028400</v>
      </c>
      <c r="BM112" s="230">
        <v>703900</v>
      </c>
      <c r="BN112" s="230">
        <v>324500</v>
      </c>
      <c r="BO112" s="229">
        <v>0.46100000000000002</v>
      </c>
      <c r="BP112" s="230">
        <v>5323100</v>
      </c>
      <c r="BQ112" s="230">
        <v>2879000</v>
      </c>
      <c r="BR112" s="230">
        <v>2444100</v>
      </c>
      <c r="BS112" s="229">
        <v>0.84889999999999999</v>
      </c>
      <c r="BT112" s="230">
        <v>663608</v>
      </c>
      <c r="BU112" s="230">
        <v>265902</v>
      </c>
      <c r="BV112" s="230">
        <v>397706</v>
      </c>
      <c r="BW112" s="229">
        <v>1.4957</v>
      </c>
      <c r="BX112" s="230">
        <v>1502100</v>
      </c>
      <c r="BY112" s="230">
        <v>1436700</v>
      </c>
      <c r="BZ112" s="230">
        <v>65400</v>
      </c>
      <c r="CA112" s="229">
        <v>4.5499999999999999E-2</v>
      </c>
      <c r="CB112" s="230">
        <v>1377200</v>
      </c>
      <c r="CC112" s="230">
        <v>1340800</v>
      </c>
      <c r="CD112" s="230">
        <v>36400</v>
      </c>
      <c r="CE112" s="229">
        <v>2.7099999999999999E-2</v>
      </c>
      <c r="CF112" s="230">
        <v>109700</v>
      </c>
      <c r="CG112" s="230">
        <v>82000</v>
      </c>
      <c r="CH112" s="230">
        <v>27700</v>
      </c>
      <c r="CI112" s="229">
        <v>0.33779999999999999</v>
      </c>
      <c r="CJ112" s="230">
        <v>15200</v>
      </c>
      <c r="CK112" s="230">
        <v>13900</v>
      </c>
      <c r="CL112" s="230">
        <v>1300</v>
      </c>
      <c r="CM112" s="229">
        <v>9.35E-2</v>
      </c>
      <c r="CN112" s="230">
        <v>2319900</v>
      </c>
      <c r="CO112" s="230">
        <v>2212500</v>
      </c>
      <c r="CP112" s="230">
        <v>107400</v>
      </c>
      <c r="CQ112" s="229">
        <v>4.8500000000000001E-2</v>
      </c>
      <c r="CR112" s="230">
        <v>983600</v>
      </c>
      <c r="CS112" s="230">
        <v>969800</v>
      </c>
      <c r="CT112" s="230">
        <v>13800</v>
      </c>
      <c r="CU112" s="229">
        <v>1.4200000000000001E-2</v>
      </c>
      <c r="CV112" s="230">
        <v>4805600</v>
      </c>
      <c r="CW112" s="230">
        <v>4619000</v>
      </c>
      <c r="CX112" s="230">
        <v>186600</v>
      </c>
      <c r="CY112" s="229">
        <v>4.0399999999999998E-2</v>
      </c>
      <c r="CZ112" s="228">
        <v>41.15</v>
      </c>
      <c r="DA112" s="228">
        <v>40.71</v>
      </c>
      <c r="DB112" s="228">
        <v>0.44</v>
      </c>
      <c r="DC112" s="228">
        <v>0.44</v>
      </c>
      <c r="DD112" s="228">
        <v>55.71</v>
      </c>
      <c r="DE112" s="228">
        <v>55.85</v>
      </c>
      <c r="DF112" s="228">
        <v>-14.56</v>
      </c>
      <c r="DG112" s="228">
        <v>-0.14000000000000001</v>
      </c>
      <c r="DH112" s="228">
        <v>41.33</v>
      </c>
      <c r="DI112" s="228">
        <v>40.71</v>
      </c>
      <c r="DJ112" s="228">
        <v>0.62</v>
      </c>
      <c r="DK112" s="228">
        <v>0.62</v>
      </c>
      <c r="DL112" s="228">
        <v>40.520000000000003</v>
      </c>
      <c r="DM112" s="228">
        <v>40.72</v>
      </c>
      <c r="DN112" s="228">
        <v>-0.2</v>
      </c>
      <c r="DO112" s="228">
        <v>-0.2</v>
      </c>
      <c r="DP112" s="228">
        <v>0.42</v>
      </c>
      <c r="DQ112" s="228">
        <v>0.44</v>
      </c>
      <c r="DR112" s="228">
        <v>-0.02</v>
      </c>
      <c r="DS112" s="229">
        <v>-4.5499999999999999E-2</v>
      </c>
      <c r="DT112" s="231">
        <v>7000</v>
      </c>
      <c r="DU112" s="231">
        <v>7000</v>
      </c>
      <c r="DV112" s="228">
        <v>0.28000000000000003</v>
      </c>
      <c r="DW112" s="228">
        <v>0.37</v>
      </c>
      <c r="DX112" s="228">
        <v>-0.09</v>
      </c>
      <c r="DY112" s="229">
        <v>-0.2432</v>
      </c>
      <c r="DZ112" s="229">
        <v>8.3199999999999996E-2</v>
      </c>
      <c r="EA112" s="230">
        <v>95900</v>
      </c>
      <c r="EB112" s="229">
        <v>5.3E-3</v>
      </c>
      <c r="EC112" s="229">
        <v>8.3199999999999996E-2</v>
      </c>
      <c r="ED112" s="228">
        <v>28.4</v>
      </c>
      <c r="EE112" s="229">
        <v>4.0000000000000001E-3</v>
      </c>
      <c r="EF112" s="230">
        <v>213564</v>
      </c>
      <c r="EG112" s="230">
        <v>98948</v>
      </c>
      <c r="EH112" s="229">
        <v>1.1583000000000001</v>
      </c>
      <c r="EI112" s="229">
        <v>0.32179999999999997</v>
      </c>
      <c r="EJ112" s="231">
        <v>280192.27</v>
      </c>
      <c r="EK112" s="231">
        <v>69639.199999999997</v>
      </c>
      <c r="EL112" s="231">
        <v>39392.1</v>
      </c>
      <c r="EM112" s="231">
        <v>5854</v>
      </c>
      <c r="EN112" s="231">
        <v>389223.57</v>
      </c>
      <c r="EO112" s="231">
        <v>208154.98</v>
      </c>
      <c r="EP112" s="231">
        <v>181068.59</v>
      </c>
      <c r="EQ112" s="229">
        <v>0.86990000000000001</v>
      </c>
      <c r="ER112" s="231">
        <v>173660</v>
      </c>
      <c r="ES112" s="231">
        <v>66829</v>
      </c>
      <c r="ET112" s="231">
        <v>105185</v>
      </c>
      <c r="EU112" s="231">
        <v>4667784</v>
      </c>
      <c r="EV112" s="231">
        <v>345674</v>
      </c>
      <c r="EW112" s="231">
        <v>331676</v>
      </c>
      <c r="EX112" s="231">
        <v>13998</v>
      </c>
      <c r="EY112" s="229">
        <v>4.2200000000000001E-2</v>
      </c>
      <c r="EZ112" s="229">
        <v>1.0295000000000001</v>
      </c>
      <c r="FA112" s="227" t="s">
        <v>555</v>
      </c>
      <c r="FB112" s="161">
        <f t="shared" si="1"/>
        <v>124900</v>
      </c>
    </row>
    <row r="113" spans="1:158" ht="17.25" hidden="1" thickBot="1" x14ac:dyDescent="0.3">
      <c r="A113" s="226">
        <v>45946</v>
      </c>
      <c r="B113" s="227" t="s">
        <v>161</v>
      </c>
      <c r="C113" s="227" t="s">
        <v>610</v>
      </c>
      <c r="D113" s="228">
        <v>175</v>
      </c>
      <c r="E113" s="231">
        <v>4171.5</v>
      </c>
      <c r="F113" s="231">
        <v>4436.2</v>
      </c>
      <c r="G113" s="228">
        <v>-264.7</v>
      </c>
      <c r="H113" s="229">
        <v>-5.9700000000000003E-2</v>
      </c>
      <c r="I113" s="231">
        <v>4172.6000000000004</v>
      </c>
      <c r="J113" s="231">
        <v>4420.6000000000004</v>
      </c>
      <c r="K113" s="228">
        <v>-248</v>
      </c>
      <c r="L113" s="229">
        <v>-5.6099999999999997E-2</v>
      </c>
      <c r="M113" s="231">
        <v>4171.5</v>
      </c>
      <c r="N113" s="231">
        <v>4436.2</v>
      </c>
      <c r="O113" s="228">
        <v>-264.7</v>
      </c>
      <c r="P113" s="229">
        <v>-5.9700000000000003E-2</v>
      </c>
      <c r="Q113" s="231">
        <v>4177.5</v>
      </c>
      <c r="R113" s="231">
        <v>4467.6000000000004</v>
      </c>
      <c r="S113" s="228">
        <v>-290.10000000000002</v>
      </c>
      <c r="T113" s="229">
        <v>-6.4899999999999999E-2</v>
      </c>
      <c r="U113" s="231">
        <v>4192.3</v>
      </c>
      <c r="V113" s="231">
        <v>4504</v>
      </c>
      <c r="W113" s="228">
        <v>-311.7</v>
      </c>
      <c r="X113" s="229">
        <v>-6.9199999999999998E-2</v>
      </c>
      <c r="Y113" s="228">
        <v>-1.1000000000000001</v>
      </c>
      <c r="Z113" s="228">
        <v>15.6</v>
      </c>
      <c r="AA113" s="228">
        <v>-16.7</v>
      </c>
      <c r="AB113" s="229">
        <v>-2.9999999999999997E-4</v>
      </c>
      <c r="AC113" s="228">
        <v>-1.1000000000000001</v>
      </c>
      <c r="AD113" s="228">
        <v>15.6</v>
      </c>
      <c r="AE113" s="228">
        <v>-16.7</v>
      </c>
      <c r="AF113" s="229">
        <v>-2.9999999999999997E-4</v>
      </c>
      <c r="AG113" s="228">
        <v>4.9000000000000004</v>
      </c>
      <c r="AH113" s="228">
        <v>47</v>
      </c>
      <c r="AI113" s="228">
        <v>-42.1</v>
      </c>
      <c r="AJ113" s="229">
        <v>1.1999999999999999E-3</v>
      </c>
      <c r="AK113" s="228">
        <v>19.7</v>
      </c>
      <c r="AL113" s="228">
        <v>83.4</v>
      </c>
      <c r="AM113" s="228">
        <v>-63.7</v>
      </c>
      <c r="AN113" s="229">
        <v>4.7000000000000002E-3</v>
      </c>
      <c r="AO113" s="231">
        <v>4164.0600000000004</v>
      </c>
      <c r="AP113" s="231">
        <v>4180.8</v>
      </c>
      <c r="AQ113" s="228">
        <v>0</v>
      </c>
      <c r="AR113" s="230">
        <v>3364200</v>
      </c>
      <c r="AS113" s="230">
        <v>839475</v>
      </c>
      <c r="AT113" s="230">
        <v>2524725</v>
      </c>
      <c r="AU113" s="229">
        <v>3.0074999999999998</v>
      </c>
      <c r="AV113" s="230">
        <v>2977100</v>
      </c>
      <c r="AW113" s="230">
        <v>811650</v>
      </c>
      <c r="AX113" s="230">
        <v>2165450</v>
      </c>
      <c r="AY113" s="229">
        <v>2.6680000000000001</v>
      </c>
      <c r="AZ113" s="230">
        <v>362775</v>
      </c>
      <c r="BA113" s="230">
        <v>27125</v>
      </c>
      <c r="BB113" s="230">
        <v>335650</v>
      </c>
      <c r="BC113" s="229">
        <v>12.3742</v>
      </c>
      <c r="BD113" s="230">
        <v>24325</v>
      </c>
      <c r="BE113" s="228">
        <v>700</v>
      </c>
      <c r="BF113" s="230">
        <v>23625</v>
      </c>
      <c r="BG113" s="229">
        <v>33.75</v>
      </c>
      <c r="BH113" s="230">
        <v>11732000</v>
      </c>
      <c r="BI113" s="230">
        <v>3360175</v>
      </c>
      <c r="BJ113" s="230">
        <v>8371825</v>
      </c>
      <c r="BK113" s="229">
        <v>2.4914999999999998</v>
      </c>
      <c r="BL113" s="230">
        <v>4797975</v>
      </c>
      <c r="BM113" s="230">
        <v>1220450</v>
      </c>
      <c r="BN113" s="230">
        <v>3577525</v>
      </c>
      <c r="BO113" s="229">
        <v>2.9312999999999998</v>
      </c>
      <c r="BP113" s="230">
        <v>19894175</v>
      </c>
      <c r="BQ113" s="230">
        <v>5420100</v>
      </c>
      <c r="BR113" s="230">
        <v>14474075</v>
      </c>
      <c r="BS113" s="229">
        <v>2.6703999999999999</v>
      </c>
      <c r="BT113" s="230">
        <v>2314896</v>
      </c>
      <c r="BU113" s="230">
        <v>351214</v>
      </c>
      <c r="BV113" s="230">
        <v>1963682</v>
      </c>
      <c r="BW113" s="229">
        <v>5.5911</v>
      </c>
      <c r="BX113" s="230">
        <v>1571500</v>
      </c>
      <c r="BY113" s="230">
        <v>1397900</v>
      </c>
      <c r="BZ113" s="230">
        <v>173600</v>
      </c>
      <c r="CA113" s="229">
        <v>0.1242</v>
      </c>
      <c r="CB113" s="230">
        <v>1415225</v>
      </c>
      <c r="CC113" s="230">
        <v>1376200</v>
      </c>
      <c r="CD113" s="230">
        <v>39025</v>
      </c>
      <c r="CE113" s="229">
        <v>2.8400000000000002E-2</v>
      </c>
      <c r="CF113" s="230">
        <v>142625</v>
      </c>
      <c r="CG113" s="230">
        <v>18900</v>
      </c>
      <c r="CH113" s="230">
        <v>123725</v>
      </c>
      <c r="CI113" s="229">
        <v>6.5462999999999996</v>
      </c>
      <c r="CJ113" s="230">
        <v>13650</v>
      </c>
      <c r="CK113" s="230">
        <v>2800</v>
      </c>
      <c r="CL113" s="230">
        <v>10850</v>
      </c>
      <c r="CM113" s="229">
        <v>3.875</v>
      </c>
      <c r="CN113" s="230">
        <v>1947050</v>
      </c>
      <c r="CO113" s="230">
        <v>751800</v>
      </c>
      <c r="CP113" s="230">
        <v>1195250</v>
      </c>
      <c r="CQ113" s="229">
        <v>1.5899000000000001</v>
      </c>
      <c r="CR113" s="230">
        <v>739200</v>
      </c>
      <c r="CS113" s="230">
        <v>500500</v>
      </c>
      <c r="CT113" s="230">
        <v>238700</v>
      </c>
      <c r="CU113" s="229">
        <v>0.47689999999999999</v>
      </c>
      <c r="CV113" s="230">
        <v>4257750</v>
      </c>
      <c r="CW113" s="230">
        <v>2650200</v>
      </c>
      <c r="CX113" s="230">
        <v>1607550</v>
      </c>
      <c r="CY113" s="229">
        <v>0.60660000000000003</v>
      </c>
      <c r="CZ113" s="228">
        <v>34.15</v>
      </c>
      <c r="DA113" s="228">
        <v>37.22</v>
      </c>
      <c r="DB113" s="228">
        <v>-3.07</v>
      </c>
      <c r="DC113" s="228">
        <v>-3.07</v>
      </c>
      <c r="DD113" s="228">
        <v>48.88</v>
      </c>
      <c r="DE113" s="228">
        <v>48.29</v>
      </c>
      <c r="DF113" s="228">
        <v>-14.73</v>
      </c>
      <c r="DG113" s="228">
        <v>0.59</v>
      </c>
      <c r="DH113" s="228">
        <v>34.39</v>
      </c>
      <c r="DI113" s="228">
        <v>36.82</v>
      </c>
      <c r="DJ113" s="228">
        <v>-2.4300000000000002</v>
      </c>
      <c r="DK113" s="228">
        <v>-2.4300000000000002</v>
      </c>
      <c r="DL113" s="228">
        <v>33.549999999999997</v>
      </c>
      <c r="DM113" s="228">
        <v>38.299999999999997</v>
      </c>
      <c r="DN113" s="228">
        <v>-4.75</v>
      </c>
      <c r="DO113" s="228">
        <v>-4.75</v>
      </c>
      <c r="DP113" s="228">
        <v>0.38</v>
      </c>
      <c r="DQ113" s="228">
        <v>0.67</v>
      </c>
      <c r="DR113" s="228">
        <v>-0.28999999999999998</v>
      </c>
      <c r="DS113" s="229">
        <v>-0.43280000000000002</v>
      </c>
      <c r="DT113" s="231">
        <v>4500</v>
      </c>
      <c r="DU113" s="231">
        <v>4200</v>
      </c>
      <c r="DV113" s="228">
        <v>0.41</v>
      </c>
      <c r="DW113" s="228">
        <v>0.36</v>
      </c>
      <c r="DX113" s="228">
        <v>0.05</v>
      </c>
      <c r="DY113" s="229">
        <v>0.1389</v>
      </c>
      <c r="DZ113" s="229">
        <v>9.9400000000000002E-2</v>
      </c>
      <c r="EA113" s="230">
        <v>21700</v>
      </c>
      <c r="EB113" s="229">
        <v>1.4E-3</v>
      </c>
      <c r="EC113" s="229">
        <v>9.9400000000000002E-2</v>
      </c>
      <c r="ED113" s="228">
        <v>16.739999999999998</v>
      </c>
      <c r="EE113" s="229">
        <v>4.0000000000000001E-3</v>
      </c>
      <c r="EF113" s="230">
        <v>949569</v>
      </c>
      <c r="EG113" s="230">
        <v>150398</v>
      </c>
      <c r="EH113" s="229">
        <v>5.3136999999999999</v>
      </c>
      <c r="EI113" s="229">
        <v>0.41020000000000001</v>
      </c>
      <c r="EJ113" s="231">
        <v>520037.31</v>
      </c>
      <c r="EK113" s="231">
        <v>199839.33</v>
      </c>
      <c r="EL113" s="231">
        <v>140157.06</v>
      </c>
      <c r="EM113" s="231">
        <v>2920</v>
      </c>
      <c r="EN113" s="231">
        <v>860033.7</v>
      </c>
      <c r="EO113" s="231">
        <v>244955.91</v>
      </c>
      <c r="EP113" s="231">
        <v>615077.79</v>
      </c>
      <c r="EQ113" s="229">
        <v>2.5110000000000001</v>
      </c>
      <c r="ER113" s="231">
        <v>86216</v>
      </c>
      <c r="ES113" s="231">
        <v>30339</v>
      </c>
      <c r="ET113" s="231">
        <v>65567</v>
      </c>
      <c r="EU113" s="231">
        <v>9313740</v>
      </c>
      <c r="EV113" s="231">
        <v>182121</v>
      </c>
      <c r="EW113" s="231">
        <v>116991</v>
      </c>
      <c r="EX113" s="231">
        <v>65130</v>
      </c>
      <c r="EY113" s="229">
        <v>0.55669999999999997</v>
      </c>
      <c r="EZ113" s="229">
        <v>0.45710000000000001</v>
      </c>
      <c r="FA113" s="227" t="s">
        <v>567</v>
      </c>
      <c r="FB113" s="161">
        <f t="shared" si="1"/>
        <v>156275</v>
      </c>
    </row>
    <row r="114" spans="1:158" ht="17.25" hidden="1" thickBot="1" x14ac:dyDescent="0.3">
      <c r="A114" s="226">
        <v>45946</v>
      </c>
      <c r="B114" s="227" t="s">
        <v>175</v>
      </c>
      <c r="C114" s="227" t="s">
        <v>684</v>
      </c>
      <c r="D114" s="228">
        <v>450</v>
      </c>
      <c r="E114" s="231">
        <v>1127.5999999999999</v>
      </c>
      <c r="F114" s="231">
        <v>1131.5</v>
      </c>
      <c r="G114" s="228">
        <v>-3.9</v>
      </c>
      <c r="H114" s="229">
        <v>-3.3999999999999998E-3</v>
      </c>
      <c r="I114" s="231">
        <v>1123.9000000000001</v>
      </c>
      <c r="J114" s="231">
        <v>1127.8</v>
      </c>
      <c r="K114" s="228">
        <v>-3.9</v>
      </c>
      <c r="L114" s="229">
        <v>-3.5000000000000001E-3</v>
      </c>
      <c r="M114" s="231">
        <v>1127.5999999999999</v>
      </c>
      <c r="N114" s="231">
        <v>1131.5</v>
      </c>
      <c r="O114" s="228">
        <v>-3.9</v>
      </c>
      <c r="P114" s="229">
        <v>-3.3999999999999998E-3</v>
      </c>
      <c r="Q114" s="231">
        <v>1122.9000000000001</v>
      </c>
      <c r="R114" s="231">
        <v>1125.5999999999999</v>
      </c>
      <c r="S114" s="228">
        <v>-2.7</v>
      </c>
      <c r="T114" s="229">
        <v>-2.3999999999999998E-3</v>
      </c>
      <c r="U114" s="231">
        <v>1122.5999999999999</v>
      </c>
      <c r="V114" s="231">
        <v>1125</v>
      </c>
      <c r="W114" s="228">
        <v>-2.4</v>
      </c>
      <c r="X114" s="229">
        <v>-2.0999999999999999E-3</v>
      </c>
      <c r="Y114" s="228">
        <v>3.7</v>
      </c>
      <c r="Z114" s="228">
        <v>3.7</v>
      </c>
      <c r="AA114" s="228">
        <v>0</v>
      </c>
      <c r="AB114" s="229">
        <v>3.3E-3</v>
      </c>
      <c r="AC114" s="228">
        <v>3.7</v>
      </c>
      <c r="AD114" s="228">
        <v>3.7</v>
      </c>
      <c r="AE114" s="228">
        <v>0</v>
      </c>
      <c r="AF114" s="229">
        <v>3.3E-3</v>
      </c>
      <c r="AG114" s="228">
        <v>-1</v>
      </c>
      <c r="AH114" s="228">
        <v>-2.2000000000000002</v>
      </c>
      <c r="AI114" s="228">
        <v>1.2</v>
      </c>
      <c r="AJ114" s="229">
        <v>-8.9999999999999998E-4</v>
      </c>
      <c r="AK114" s="228">
        <v>-1.3</v>
      </c>
      <c r="AL114" s="228">
        <v>-2.8</v>
      </c>
      <c r="AM114" s="228">
        <v>1.5</v>
      </c>
      <c r="AN114" s="229">
        <v>-1.1999999999999999E-3</v>
      </c>
      <c r="AO114" s="231">
        <v>1127.9100000000001</v>
      </c>
      <c r="AP114" s="231">
        <v>1121.75</v>
      </c>
      <c r="AQ114" s="228">
        <v>0</v>
      </c>
      <c r="AR114" s="230">
        <v>684450</v>
      </c>
      <c r="AS114" s="230">
        <v>1110150</v>
      </c>
      <c r="AT114" s="230">
        <v>-425700</v>
      </c>
      <c r="AU114" s="229">
        <v>-0.38350000000000001</v>
      </c>
      <c r="AV114" s="230">
        <v>602550</v>
      </c>
      <c r="AW114" s="230">
        <v>992250</v>
      </c>
      <c r="AX114" s="230">
        <v>-389700</v>
      </c>
      <c r="AY114" s="229">
        <v>-0.39269999999999999</v>
      </c>
      <c r="AZ114" s="230">
        <v>75600</v>
      </c>
      <c r="BA114" s="230">
        <v>109350</v>
      </c>
      <c r="BB114" s="230">
        <v>-33750</v>
      </c>
      <c r="BC114" s="229">
        <v>-0.30859999999999999</v>
      </c>
      <c r="BD114" s="230">
        <v>6300</v>
      </c>
      <c r="BE114" s="230">
        <v>8550</v>
      </c>
      <c r="BF114" s="230">
        <v>-2250</v>
      </c>
      <c r="BG114" s="229">
        <v>-0.26319999999999999</v>
      </c>
      <c r="BH114" s="230">
        <v>1326150</v>
      </c>
      <c r="BI114" s="230">
        <v>2234700</v>
      </c>
      <c r="BJ114" s="230">
        <v>-908550</v>
      </c>
      <c r="BK114" s="229">
        <v>-0.40660000000000002</v>
      </c>
      <c r="BL114" s="230">
        <v>677700</v>
      </c>
      <c r="BM114" s="230">
        <v>837000</v>
      </c>
      <c r="BN114" s="230">
        <v>-159300</v>
      </c>
      <c r="BO114" s="229">
        <v>-0.1903</v>
      </c>
      <c r="BP114" s="230">
        <v>2688300</v>
      </c>
      <c r="BQ114" s="230">
        <v>4181850</v>
      </c>
      <c r="BR114" s="230">
        <v>-1493550</v>
      </c>
      <c r="BS114" s="229">
        <v>-0.35720000000000002</v>
      </c>
      <c r="BT114" s="230">
        <v>533560</v>
      </c>
      <c r="BU114" s="230">
        <v>668189</v>
      </c>
      <c r="BV114" s="230">
        <v>-134629</v>
      </c>
      <c r="BW114" s="229">
        <v>-0.20150000000000001</v>
      </c>
      <c r="BX114" s="230">
        <v>2380950</v>
      </c>
      <c r="BY114" s="230">
        <v>2360700</v>
      </c>
      <c r="BZ114" s="230">
        <v>20250</v>
      </c>
      <c r="CA114" s="229">
        <v>8.6E-3</v>
      </c>
      <c r="CB114" s="230">
        <v>2155050</v>
      </c>
      <c r="CC114" s="230">
        <v>2143800</v>
      </c>
      <c r="CD114" s="230">
        <v>11250</v>
      </c>
      <c r="CE114" s="229">
        <v>5.1999999999999998E-3</v>
      </c>
      <c r="CF114" s="230">
        <v>195750</v>
      </c>
      <c r="CG114" s="230">
        <v>189900</v>
      </c>
      <c r="CH114" s="230">
        <v>5850</v>
      </c>
      <c r="CI114" s="229">
        <v>3.0800000000000001E-2</v>
      </c>
      <c r="CJ114" s="230">
        <v>30150</v>
      </c>
      <c r="CK114" s="230">
        <v>27000</v>
      </c>
      <c r="CL114" s="230">
        <v>3150</v>
      </c>
      <c r="CM114" s="229">
        <v>0.1167</v>
      </c>
      <c r="CN114" s="230">
        <v>1901250</v>
      </c>
      <c r="CO114" s="230">
        <v>1908900</v>
      </c>
      <c r="CP114" s="230">
        <v>-7650</v>
      </c>
      <c r="CQ114" s="229">
        <v>-4.0000000000000001E-3</v>
      </c>
      <c r="CR114" s="230">
        <v>1056150</v>
      </c>
      <c r="CS114" s="230">
        <v>1029150</v>
      </c>
      <c r="CT114" s="230">
        <v>27000</v>
      </c>
      <c r="CU114" s="229">
        <v>2.6200000000000001E-2</v>
      </c>
      <c r="CV114" s="230">
        <v>5338350</v>
      </c>
      <c r="CW114" s="230">
        <v>5298750</v>
      </c>
      <c r="CX114" s="230">
        <v>39600</v>
      </c>
      <c r="CY114" s="229">
        <v>7.4999999999999997E-3</v>
      </c>
      <c r="CZ114" s="228">
        <v>35.58</v>
      </c>
      <c r="DA114" s="228">
        <v>36.85</v>
      </c>
      <c r="DB114" s="228">
        <v>-1.27</v>
      </c>
      <c r="DC114" s="228">
        <v>-1.27</v>
      </c>
      <c r="DD114" s="228">
        <v>56.15</v>
      </c>
      <c r="DE114" s="228">
        <v>56.28</v>
      </c>
      <c r="DF114" s="228">
        <v>-20.57</v>
      </c>
      <c r="DG114" s="228">
        <v>-0.13</v>
      </c>
      <c r="DH114" s="228">
        <v>35.32</v>
      </c>
      <c r="DI114" s="228">
        <v>36.880000000000003</v>
      </c>
      <c r="DJ114" s="228">
        <v>-1.56</v>
      </c>
      <c r="DK114" s="228">
        <v>-1.56</v>
      </c>
      <c r="DL114" s="228">
        <v>36.11</v>
      </c>
      <c r="DM114" s="228">
        <v>36.76</v>
      </c>
      <c r="DN114" s="228">
        <v>-0.65</v>
      </c>
      <c r="DO114" s="228">
        <v>-0.65</v>
      </c>
      <c r="DP114" s="228">
        <v>0.56000000000000005</v>
      </c>
      <c r="DQ114" s="228">
        <v>0.54</v>
      </c>
      <c r="DR114" s="228">
        <v>0.02</v>
      </c>
      <c r="DS114" s="229">
        <v>3.6999999999999998E-2</v>
      </c>
      <c r="DT114" s="231">
        <v>1200</v>
      </c>
      <c r="DU114" s="231">
        <v>1100</v>
      </c>
      <c r="DV114" s="228">
        <v>0.51</v>
      </c>
      <c r="DW114" s="228">
        <v>0.37</v>
      </c>
      <c r="DX114" s="228">
        <v>0.14000000000000001</v>
      </c>
      <c r="DY114" s="229">
        <v>0.37840000000000001</v>
      </c>
      <c r="DZ114" s="229">
        <v>9.4899999999999998E-2</v>
      </c>
      <c r="EA114" s="230">
        <v>216900</v>
      </c>
      <c r="EB114" s="229">
        <v>-4.1999999999999997E-3</v>
      </c>
      <c r="EC114" s="229">
        <v>9.4899999999999998E-2</v>
      </c>
      <c r="ED114" s="228">
        <v>-6.16</v>
      </c>
      <c r="EE114" s="229">
        <v>-5.4999999999999997E-3</v>
      </c>
      <c r="EF114" s="230">
        <v>259073</v>
      </c>
      <c r="EG114" s="230">
        <v>243751</v>
      </c>
      <c r="EH114" s="229">
        <v>6.2899999999999998E-2</v>
      </c>
      <c r="EI114" s="229">
        <v>0.48559999999999998</v>
      </c>
      <c r="EJ114" s="231">
        <v>15636.57</v>
      </c>
      <c r="EK114" s="231">
        <v>7468.91</v>
      </c>
      <c r="EL114" s="231">
        <v>7714.89</v>
      </c>
      <c r="EM114" s="231">
        <v>3905</v>
      </c>
      <c r="EN114" s="231">
        <v>30820.37</v>
      </c>
      <c r="EO114" s="231">
        <v>48064.08</v>
      </c>
      <c r="EP114" s="231">
        <v>-17243.71</v>
      </c>
      <c r="EQ114" s="229">
        <v>-0.35880000000000001</v>
      </c>
      <c r="ER114" s="231">
        <v>22156</v>
      </c>
      <c r="ES114" s="231">
        <v>11257</v>
      </c>
      <c r="ET114" s="231">
        <v>26837</v>
      </c>
      <c r="EU114" s="231">
        <v>19911179</v>
      </c>
      <c r="EV114" s="231">
        <v>60250</v>
      </c>
      <c r="EW114" s="231">
        <v>59934</v>
      </c>
      <c r="EX114" s="228">
        <v>316</v>
      </c>
      <c r="EY114" s="229">
        <v>5.3E-3</v>
      </c>
      <c r="EZ114" s="229">
        <v>0.2681</v>
      </c>
      <c r="FA114" s="227" t="s">
        <v>567</v>
      </c>
      <c r="FB114" s="161">
        <f t="shared" si="1"/>
        <v>225900</v>
      </c>
    </row>
    <row r="115" spans="1:158" ht="17.25" hidden="1" thickBot="1" x14ac:dyDescent="0.3">
      <c r="A115" s="226">
        <v>45946</v>
      </c>
      <c r="B115" s="227" t="s">
        <v>172</v>
      </c>
      <c r="C115" s="227" t="s">
        <v>246</v>
      </c>
      <c r="D115" s="228">
        <v>400</v>
      </c>
      <c r="E115" s="231">
        <v>2208</v>
      </c>
      <c r="F115" s="231">
        <v>2153</v>
      </c>
      <c r="G115" s="228">
        <v>55</v>
      </c>
      <c r="H115" s="229">
        <v>2.5499999999999998E-2</v>
      </c>
      <c r="I115" s="231">
        <v>2205.4</v>
      </c>
      <c r="J115" s="231">
        <v>2149.6</v>
      </c>
      <c r="K115" s="228">
        <v>55.8</v>
      </c>
      <c r="L115" s="229">
        <v>2.5999999999999999E-2</v>
      </c>
      <c r="M115" s="231">
        <v>2208</v>
      </c>
      <c r="N115" s="231">
        <v>2153</v>
      </c>
      <c r="O115" s="228">
        <v>55</v>
      </c>
      <c r="P115" s="229">
        <v>2.5499999999999998E-2</v>
      </c>
      <c r="Q115" s="231">
        <v>2218.6</v>
      </c>
      <c r="R115" s="231">
        <v>2165.6999999999998</v>
      </c>
      <c r="S115" s="228">
        <v>52.9</v>
      </c>
      <c r="T115" s="229">
        <v>2.4400000000000002E-2</v>
      </c>
      <c r="U115" s="231">
        <v>2233</v>
      </c>
      <c r="V115" s="231">
        <v>2178.5</v>
      </c>
      <c r="W115" s="228">
        <v>54.5</v>
      </c>
      <c r="X115" s="229">
        <v>2.5000000000000001E-2</v>
      </c>
      <c r="Y115" s="228">
        <v>2.6</v>
      </c>
      <c r="Z115" s="228">
        <v>3.4</v>
      </c>
      <c r="AA115" s="228">
        <v>-0.8</v>
      </c>
      <c r="AB115" s="229">
        <v>1.1999999999999999E-3</v>
      </c>
      <c r="AC115" s="228">
        <v>2.6</v>
      </c>
      <c r="AD115" s="228">
        <v>3.4</v>
      </c>
      <c r="AE115" s="228">
        <v>-0.8</v>
      </c>
      <c r="AF115" s="229">
        <v>1.1999999999999999E-3</v>
      </c>
      <c r="AG115" s="228">
        <v>13.2</v>
      </c>
      <c r="AH115" s="228">
        <v>16.100000000000001</v>
      </c>
      <c r="AI115" s="228">
        <v>-2.9</v>
      </c>
      <c r="AJ115" s="229">
        <v>6.0000000000000001E-3</v>
      </c>
      <c r="AK115" s="228">
        <v>27.6</v>
      </c>
      <c r="AL115" s="228">
        <v>28.9</v>
      </c>
      <c r="AM115" s="228">
        <v>-1.3</v>
      </c>
      <c r="AN115" s="229">
        <v>1.2500000000000001E-2</v>
      </c>
      <c r="AO115" s="231">
        <v>2194.96</v>
      </c>
      <c r="AP115" s="231">
        <v>2204.1</v>
      </c>
      <c r="AQ115" s="228">
        <v>0</v>
      </c>
      <c r="AR115" s="230">
        <v>9054400</v>
      </c>
      <c r="AS115" s="230">
        <v>2697200</v>
      </c>
      <c r="AT115" s="230">
        <v>6357200</v>
      </c>
      <c r="AU115" s="229">
        <v>2.3570000000000002</v>
      </c>
      <c r="AV115" s="230">
        <v>8224400</v>
      </c>
      <c r="AW115" s="230">
        <v>2385200</v>
      </c>
      <c r="AX115" s="230">
        <v>5839200</v>
      </c>
      <c r="AY115" s="229">
        <v>2.4481000000000002</v>
      </c>
      <c r="AZ115" s="230">
        <v>780800</v>
      </c>
      <c r="BA115" s="230">
        <v>302000</v>
      </c>
      <c r="BB115" s="230">
        <v>478800</v>
      </c>
      <c r="BC115" s="229">
        <v>1.5853999999999999</v>
      </c>
      <c r="BD115" s="230">
        <v>49200</v>
      </c>
      <c r="BE115" s="230">
        <v>10000</v>
      </c>
      <c r="BF115" s="230">
        <v>39200</v>
      </c>
      <c r="BG115" s="229">
        <v>3.92</v>
      </c>
      <c r="BH115" s="230">
        <v>28159600</v>
      </c>
      <c r="BI115" s="230">
        <v>7191600</v>
      </c>
      <c r="BJ115" s="230">
        <v>20968000</v>
      </c>
      <c r="BK115" s="229">
        <v>2.9156</v>
      </c>
      <c r="BL115" s="230">
        <v>18537600</v>
      </c>
      <c r="BM115" s="230">
        <v>4806400</v>
      </c>
      <c r="BN115" s="230">
        <v>13731200</v>
      </c>
      <c r="BO115" s="229">
        <v>2.8569</v>
      </c>
      <c r="BP115" s="230">
        <v>55751600</v>
      </c>
      <c r="BQ115" s="230">
        <v>14695200</v>
      </c>
      <c r="BR115" s="230">
        <v>41056400</v>
      </c>
      <c r="BS115" s="229">
        <v>2.7938999999999998</v>
      </c>
      <c r="BT115" s="230">
        <v>7163163</v>
      </c>
      <c r="BU115" s="230">
        <v>2362248</v>
      </c>
      <c r="BV115" s="230">
        <v>4800915</v>
      </c>
      <c r="BW115" s="229">
        <v>2.0324</v>
      </c>
      <c r="BX115" s="230">
        <v>33785200</v>
      </c>
      <c r="BY115" s="230">
        <v>33386400</v>
      </c>
      <c r="BZ115" s="230">
        <v>398800</v>
      </c>
      <c r="CA115" s="229">
        <v>1.1900000000000001E-2</v>
      </c>
      <c r="CB115" s="230">
        <v>31769600</v>
      </c>
      <c r="CC115" s="230">
        <v>31705200</v>
      </c>
      <c r="CD115" s="230">
        <v>64400</v>
      </c>
      <c r="CE115" s="229">
        <v>2E-3</v>
      </c>
      <c r="CF115" s="230">
        <v>1263200</v>
      </c>
      <c r="CG115" s="230">
        <v>933200</v>
      </c>
      <c r="CH115" s="230">
        <v>330000</v>
      </c>
      <c r="CI115" s="229">
        <v>0.35360000000000003</v>
      </c>
      <c r="CJ115" s="230">
        <v>752400</v>
      </c>
      <c r="CK115" s="230">
        <v>748000</v>
      </c>
      <c r="CL115" s="230">
        <v>4400</v>
      </c>
      <c r="CM115" s="229">
        <v>5.8999999999999999E-3</v>
      </c>
      <c r="CN115" s="230">
        <v>8724800</v>
      </c>
      <c r="CO115" s="230">
        <v>8568800</v>
      </c>
      <c r="CP115" s="230">
        <v>156000</v>
      </c>
      <c r="CQ115" s="229">
        <v>1.8200000000000001E-2</v>
      </c>
      <c r="CR115" s="230">
        <v>9495200</v>
      </c>
      <c r="CS115" s="230">
        <v>8682400</v>
      </c>
      <c r="CT115" s="230">
        <v>812800</v>
      </c>
      <c r="CU115" s="229">
        <v>9.3600000000000003E-2</v>
      </c>
      <c r="CV115" s="230">
        <v>52005200</v>
      </c>
      <c r="CW115" s="230">
        <v>50637600</v>
      </c>
      <c r="CX115" s="230">
        <v>1367600</v>
      </c>
      <c r="CY115" s="229">
        <v>2.7E-2</v>
      </c>
      <c r="CZ115" s="228">
        <v>24.81</v>
      </c>
      <c r="DA115" s="228">
        <v>23.05</v>
      </c>
      <c r="DB115" s="228">
        <v>1.76</v>
      </c>
      <c r="DC115" s="228">
        <v>1.76</v>
      </c>
      <c r="DD115" s="228">
        <v>27.62</v>
      </c>
      <c r="DE115" s="228">
        <v>27.47</v>
      </c>
      <c r="DF115" s="228">
        <v>-2.81</v>
      </c>
      <c r="DG115" s="228">
        <v>0.15</v>
      </c>
      <c r="DH115" s="228">
        <v>22.94</v>
      </c>
      <c r="DI115" s="228">
        <v>22.61</v>
      </c>
      <c r="DJ115" s="228">
        <v>0.33</v>
      </c>
      <c r="DK115" s="228">
        <v>0.33</v>
      </c>
      <c r="DL115" s="228">
        <v>27.67</v>
      </c>
      <c r="DM115" s="228">
        <v>23.72</v>
      </c>
      <c r="DN115" s="228">
        <v>3.95</v>
      </c>
      <c r="DO115" s="228">
        <v>3.95</v>
      </c>
      <c r="DP115" s="228">
        <v>1.0900000000000001</v>
      </c>
      <c r="DQ115" s="228">
        <v>1.01</v>
      </c>
      <c r="DR115" s="228">
        <v>0.08</v>
      </c>
      <c r="DS115" s="229">
        <v>7.9200000000000007E-2</v>
      </c>
      <c r="DT115" s="231">
        <v>2200</v>
      </c>
      <c r="DU115" s="231">
        <v>2100</v>
      </c>
      <c r="DV115" s="228">
        <v>0.66</v>
      </c>
      <c r="DW115" s="228">
        <v>0.67</v>
      </c>
      <c r="DX115" s="228">
        <v>-0.01</v>
      </c>
      <c r="DY115" s="229">
        <v>-1.49E-2</v>
      </c>
      <c r="DZ115" s="229">
        <v>5.9700000000000003E-2</v>
      </c>
      <c r="EA115" s="230">
        <v>1681200</v>
      </c>
      <c r="EB115" s="229">
        <v>4.7999999999999996E-3</v>
      </c>
      <c r="EC115" s="229">
        <v>5.9700000000000003E-2</v>
      </c>
      <c r="ED115" s="228">
        <v>9.14</v>
      </c>
      <c r="EE115" s="229">
        <v>4.1999999999999997E-3</v>
      </c>
      <c r="EF115" s="230">
        <v>4577329</v>
      </c>
      <c r="EG115" s="230">
        <v>1697493</v>
      </c>
      <c r="EH115" s="229">
        <v>1.6964999999999999</v>
      </c>
      <c r="EI115" s="229">
        <v>0.63900000000000001</v>
      </c>
      <c r="EJ115" s="231">
        <v>634466.57999999996</v>
      </c>
      <c r="EK115" s="231">
        <v>395428.01</v>
      </c>
      <c r="EL115" s="231">
        <v>198824.7</v>
      </c>
      <c r="EM115" s="231">
        <v>7523</v>
      </c>
      <c r="EN115" s="231">
        <v>1228719.29</v>
      </c>
      <c r="EO115" s="231">
        <v>319907.28000000003</v>
      </c>
      <c r="EP115" s="231">
        <v>908812.01</v>
      </c>
      <c r="EQ115" s="229">
        <v>2.8409</v>
      </c>
      <c r="ER115" s="231">
        <v>190265</v>
      </c>
      <c r="ES115" s="231">
        <v>196506</v>
      </c>
      <c r="ET115" s="231">
        <v>746299</v>
      </c>
      <c r="EU115" s="231">
        <v>215751979</v>
      </c>
      <c r="EV115" s="231">
        <v>1133070</v>
      </c>
      <c r="EW115" s="231">
        <v>1083050</v>
      </c>
      <c r="EX115" s="231">
        <v>50020</v>
      </c>
      <c r="EY115" s="229">
        <v>4.6199999999999998E-2</v>
      </c>
      <c r="EZ115" s="229">
        <v>0.24099999999999999</v>
      </c>
      <c r="FA115" s="227" t="s">
        <v>555</v>
      </c>
      <c r="FB115" s="161">
        <f t="shared" si="1"/>
        <v>2015600</v>
      </c>
    </row>
    <row r="116" spans="1:158" ht="17.25" hidden="1" thickBot="1" x14ac:dyDescent="0.3">
      <c r="A116" s="226">
        <v>45946</v>
      </c>
      <c r="B116" s="227" t="s">
        <v>221</v>
      </c>
      <c r="C116" s="227" t="s">
        <v>577</v>
      </c>
      <c r="D116" s="228">
        <v>400</v>
      </c>
      <c r="E116" s="231">
        <v>1163.0999999999999</v>
      </c>
      <c r="F116" s="231">
        <v>1162</v>
      </c>
      <c r="G116" s="228">
        <v>1.1000000000000001</v>
      </c>
      <c r="H116" s="229">
        <v>8.9999999999999998E-4</v>
      </c>
      <c r="I116" s="231">
        <v>1161.9000000000001</v>
      </c>
      <c r="J116" s="231">
        <v>1165.8</v>
      </c>
      <c r="K116" s="228">
        <v>-3.9</v>
      </c>
      <c r="L116" s="229">
        <v>-3.3E-3</v>
      </c>
      <c r="M116" s="231">
        <v>1163.0999999999999</v>
      </c>
      <c r="N116" s="231">
        <v>1162</v>
      </c>
      <c r="O116" s="228">
        <v>1.1000000000000001</v>
      </c>
      <c r="P116" s="229">
        <v>8.9999999999999998E-4</v>
      </c>
      <c r="Q116" s="231">
        <v>1155.7</v>
      </c>
      <c r="R116" s="231">
        <v>1154.4000000000001</v>
      </c>
      <c r="S116" s="228">
        <v>1.3</v>
      </c>
      <c r="T116" s="229">
        <v>1.1000000000000001E-3</v>
      </c>
      <c r="U116" s="231">
        <v>1152.3</v>
      </c>
      <c r="V116" s="231">
        <v>1153.7</v>
      </c>
      <c r="W116" s="228">
        <v>-1.4</v>
      </c>
      <c r="X116" s="229">
        <v>-1.1999999999999999E-3</v>
      </c>
      <c r="Y116" s="228">
        <v>1.2</v>
      </c>
      <c r="Z116" s="228">
        <v>-3.8</v>
      </c>
      <c r="AA116" s="228">
        <v>5</v>
      </c>
      <c r="AB116" s="229">
        <v>1E-3</v>
      </c>
      <c r="AC116" s="228">
        <v>1.2</v>
      </c>
      <c r="AD116" s="228">
        <v>-3.8</v>
      </c>
      <c r="AE116" s="228">
        <v>5</v>
      </c>
      <c r="AF116" s="229">
        <v>1E-3</v>
      </c>
      <c r="AG116" s="228">
        <v>-6.2</v>
      </c>
      <c r="AH116" s="228">
        <v>-11.4</v>
      </c>
      <c r="AI116" s="228">
        <v>5.2</v>
      </c>
      <c r="AJ116" s="229">
        <v>-5.3E-3</v>
      </c>
      <c r="AK116" s="228">
        <v>-9.6</v>
      </c>
      <c r="AL116" s="228">
        <v>-12.1</v>
      </c>
      <c r="AM116" s="228">
        <v>2.5</v>
      </c>
      <c r="AN116" s="229">
        <v>-8.3000000000000001E-3</v>
      </c>
      <c r="AO116" s="231">
        <v>1157.77</v>
      </c>
      <c r="AP116" s="231">
        <v>1148.6099999999999</v>
      </c>
      <c r="AQ116" s="228">
        <v>0</v>
      </c>
      <c r="AR116" s="230">
        <v>1035600</v>
      </c>
      <c r="AS116" s="230">
        <v>755200</v>
      </c>
      <c r="AT116" s="230">
        <v>280400</v>
      </c>
      <c r="AU116" s="229">
        <v>0.37130000000000002</v>
      </c>
      <c r="AV116" s="230">
        <v>882000</v>
      </c>
      <c r="AW116" s="230">
        <v>606800</v>
      </c>
      <c r="AX116" s="230">
        <v>275200</v>
      </c>
      <c r="AY116" s="229">
        <v>0.45350000000000001</v>
      </c>
      <c r="AZ116" s="230">
        <v>145600</v>
      </c>
      <c r="BA116" s="230">
        <v>143200</v>
      </c>
      <c r="BB116" s="230">
        <v>2400</v>
      </c>
      <c r="BC116" s="229">
        <v>1.6799999999999999E-2</v>
      </c>
      <c r="BD116" s="230">
        <v>8000</v>
      </c>
      <c r="BE116" s="230">
        <v>5200</v>
      </c>
      <c r="BF116" s="230">
        <v>2800</v>
      </c>
      <c r="BG116" s="229">
        <v>0.53849999999999998</v>
      </c>
      <c r="BH116" s="230">
        <v>1266800</v>
      </c>
      <c r="BI116" s="230">
        <v>1797600</v>
      </c>
      <c r="BJ116" s="230">
        <v>-530800</v>
      </c>
      <c r="BK116" s="229">
        <v>-0.29530000000000001</v>
      </c>
      <c r="BL116" s="230">
        <v>564800</v>
      </c>
      <c r="BM116" s="230">
        <v>600800</v>
      </c>
      <c r="BN116" s="230">
        <v>-36000</v>
      </c>
      <c r="BO116" s="229">
        <v>-5.9900000000000002E-2</v>
      </c>
      <c r="BP116" s="230">
        <v>2867200</v>
      </c>
      <c r="BQ116" s="230">
        <v>3153600</v>
      </c>
      <c r="BR116" s="230">
        <v>-286400</v>
      </c>
      <c r="BS116" s="229">
        <v>-9.0800000000000006E-2</v>
      </c>
      <c r="BT116" s="230">
        <v>719021</v>
      </c>
      <c r="BU116" s="230">
        <v>442293</v>
      </c>
      <c r="BV116" s="230">
        <v>276728</v>
      </c>
      <c r="BW116" s="229">
        <v>0.62570000000000003</v>
      </c>
      <c r="BX116" s="230">
        <v>4863200</v>
      </c>
      <c r="BY116" s="230">
        <v>5150800</v>
      </c>
      <c r="BZ116" s="230">
        <v>-287600</v>
      </c>
      <c r="CA116" s="229">
        <v>-5.5800000000000002E-2</v>
      </c>
      <c r="CB116" s="230">
        <v>4286800</v>
      </c>
      <c r="CC116" s="230">
        <v>4639200</v>
      </c>
      <c r="CD116" s="230">
        <v>-352400</v>
      </c>
      <c r="CE116" s="229">
        <v>-7.5999999999999998E-2</v>
      </c>
      <c r="CF116" s="230">
        <v>522800</v>
      </c>
      <c r="CG116" s="230">
        <v>464400</v>
      </c>
      <c r="CH116" s="230">
        <v>58400</v>
      </c>
      <c r="CI116" s="229">
        <v>0.1258</v>
      </c>
      <c r="CJ116" s="230">
        <v>53600</v>
      </c>
      <c r="CK116" s="230">
        <v>47200</v>
      </c>
      <c r="CL116" s="230">
        <v>6400</v>
      </c>
      <c r="CM116" s="229">
        <v>0.1356</v>
      </c>
      <c r="CN116" s="230">
        <v>3355600</v>
      </c>
      <c r="CO116" s="230">
        <v>3415200</v>
      </c>
      <c r="CP116" s="230">
        <v>-59600</v>
      </c>
      <c r="CQ116" s="229">
        <v>-1.7500000000000002E-2</v>
      </c>
      <c r="CR116" s="230">
        <v>2312000</v>
      </c>
      <c r="CS116" s="230">
        <v>2289200</v>
      </c>
      <c r="CT116" s="230">
        <v>22800</v>
      </c>
      <c r="CU116" s="229">
        <v>0.01</v>
      </c>
      <c r="CV116" s="230">
        <v>10530800</v>
      </c>
      <c r="CW116" s="230">
        <v>10855200</v>
      </c>
      <c r="CX116" s="230">
        <v>-324400</v>
      </c>
      <c r="CY116" s="229">
        <v>-2.9899999999999999E-2</v>
      </c>
      <c r="CZ116" s="228">
        <v>33.229999999999997</v>
      </c>
      <c r="DA116" s="228">
        <v>33.07</v>
      </c>
      <c r="DB116" s="228">
        <v>0.16</v>
      </c>
      <c r="DC116" s="228">
        <v>0.16</v>
      </c>
      <c r="DD116" s="228">
        <v>44.88</v>
      </c>
      <c r="DE116" s="228">
        <v>44.99</v>
      </c>
      <c r="DF116" s="228">
        <v>-11.65</v>
      </c>
      <c r="DG116" s="228">
        <v>-0.11</v>
      </c>
      <c r="DH116" s="228">
        <v>33</v>
      </c>
      <c r="DI116" s="228">
        <v>32.549999999999997</v>
      </c>
      <c r="DJ116" s="228">
        <v>0.45</v>
      </c>
      <c r="DK116" s="228">
        <v>0.45</v>
      </c>
      <c r="DL116" s="228">
        <v>33.76</v>
      </c>
      <c r="DM116" s="228">
        <v>34.630000000000003</v>
      </c>
      <c r="DN116" s="228">
        <v>-0.87</v>
      </c>
      <c r="DO116" s="228">
        <v>-0.87</v>
      </c>
      <c r="DP116" s="228">
        <v>0.69</v>
      </c>
      <c r="DQ116" s="228">
        <v>0.67</v>
      </c>
      <c r="DR116" s="228">
        <v>0.02</v>
      </c>
      <c r="DS116" s="229">
        <v>2.9899999999999999E-2</v>
      </c>
      <c r="DT116" s="231">
        <v>1200</v>
      </c>
      <c r="DU116" s="231">
        <v>1060</v>
      </c>
      <c r="DV116" s="228">
        <v>0.45</v>
      </c>
      <c r="DW116" s="228">
        <v>0.33</v>
      </c>
      <c r="DX116" s="228">
        <v>0.12</v>
      </c>
      <c r="DY116" s="229">
        <v>0.36359999999999998</v>
      </c>
      <c r="DZ116" s="229">
        <v>0.11849999999999999</v>
      </c>
      <c r="EA116" s="230">
        <v>511600</v>
      </c>
      <c r="EB116" s="229">
        <v>-6.4000000000000003E-3</v>
      </c>
      <c r="EC116" s="229">
        <v>0.11849999999999999</v>
      </c>
      <c r="ED116" s="228">
        <v>-9.16</v>
      </c>
      <c r="EE116" s="229">
        <v>-7.9000000000000008E-3</v>
      </c>
      <c r="EF116" s="230">
        <v>357755</v>
      </c>
      <c r="EG116" s="230">
        <v>163782</v>
      </c>
      <c r="EH116" s="229">
        <v>1.1842999999999999</v>
      </c>
      <c r="EI116" s="229">
        <v>0.49759999999999999</v>
      </c>
      <c r="EJ116" s="231">
        <v>15419.85</v>
      </c>
      <c r="EK116" s="231">
        <v>6499.19</v>
      </c>
      <c r="EL116" s="231">
        <v>11975.51</v>
      </c>
      <c r="EM116" s="231">
        <v>1841</v>
      </c>
      <c r="EN116" s="231">
        <v>33894.550000000003</v>
      </c>
      <c r="EO116" s="231">
        <v>37427.47</v>
      </c>
      <c r="EP116" s="231">
        <v>-3532.92</v>
      </c>
      <c r="EQ116" s="229">
        <v>-9.4399999999999998E-2</v>
      </c>
      <c r="ER116" s="231">
        <v>41551</v>
      </c>
      <c r="ES116" s="231">
        <v>25667</v>
      </c>
      <c r="ET116" s="231">
        <v>56519</v>
      </c>
      <c r="EU116" s="231">
        <v>24568295</v>
      </c>
      <c r="EV116" s="231">
        <v>123738</v>
      </c>
      <c r="EW116" s="231">
        <v>127522</v>
      </c>
      <c r="EX116" s="231">
        <v>-3784</v>
      </c>
      <c r="EY116" s="229">
        <v>-2.9700000000000001E-2</v>
      </c>
      <c r="EZ116" s="229">
        <v>0.42859999999999998</v>
      </c>
      <c r="FA116" s="227" t="s">
        <v>556</v>
      </c>
      <c r="FB116" s="161">
        <f t="shared" si="1"/>
        <v>576400</v>
      </c>
    </row>
    <row r="117" spans="1:158" ht="17.25" hidden="1" thickBot="1" x14ac:dyDescent="0.3">
      <c r="A117" s="226">
        <v>45946</v>
      </c>
      <c r="B117" s="227" t="s">
        <v>170</v>
      </c>
      <c r="C117" s="227" t="s">
        <v>535</v>
      </c>
      <c r="D117" s="228">
        <v>1700</v>
      </c>
      <c r="E117" s="228">
        <v>876.6</v>
      </c>
      <c r="F117" s="228">
        <v>879.35</v>
      </c>
      <c r="G117" s="228">
        <v>-2.75</v>
      </c>
      <c r="H117" s="229">
        <v>-3.0999999999999999E-3</v>
      </c>
      <c r="I117" s="228">
        <v>872.85</v>
      </c>
      <c r="J117" s="228">
        <v>875.3</v>
      </c>
      <c r="K117" s="228">
        <v>-2.4500000000000002</v>
      </c>
      <c r="L117" s="229">
        <v>-2.8E-3</v>
      </c>
      <c r="M117" s="228">
        <v>876.6</v>
      </c>
      <c r="N117" s="228">
        <v>879.35</v>
      </c>
      <c r="O117" s="228">
        <v>-2.75</v>
      </c>
      <c r="P117" s="229">
        <v>-3.0999999999999999E-3</v>
      </c>
      <c r="Q117" s="228">
        <v>880.5</v>
      </c>
      <c r="R117" s="228">
        <v>883.05</v>
      </c>
      <c r="S117" s="228">
        <v>-2.5499999999999998</v>
      </c>
      <c r="T117" s="229">
        <v>-2.8999999999999998E-3</v>
      </c>
      <c r="U117" s="228">
        <v>885.5</v>
      </c>
      <c r="V117" s="228">
        <v>888.7</v>
      </c>
      <c r="W117" s="228">
        <v>-3.2</v>
      </c>
      <c r="X117" s="229">
        <v>-3.5999999999999999E-3</v>
      </c>
      <c r="Y117" s="228">
        <v>3.75</v>
      </c>
      <c r="Z117" s="228">
        <v>4.05</v>
      </c>
      <c r="AA117" s="228">
        <v>-0.3</v>
      </c>
      <c r="AB117" s="229">
        <v>4.3E-3</v>
      </c>
      <c r="AC117" s="228">
        <v>3.75</v>
      </c>
      <c r="AD117" s="228">
        <v>4.05</v>
      </c>
      <c r="AE117" s="228">
        <v>-0.3</v>
      </c>
      <c r="AF117" s="229">
        <v>4.3E-3</v>
      </c>
      <c r="AG117" s="228">
        <v>7.65</v>
      </c>
      <c r="AH117" s="228">
        <v>7.75</v>
      </c>
      <c r="AI117" s="228">
        <v>-0.1</v>
      </c>
      <c r="AJ117" s="229">
        <v>8.8000000000000005E-3</v>
      </c>
      <c r="AK117" s="228">
        <v>12.65</v>
      </c>
      <c r="AL117" s="228">
        <v>13.4</v>
      </c>
      <c r="AM117" s="228">
        <v>-0.75</v>
      </c>
      <c r="AN117" s="229">
        <v>1.4500000000000001E-2</v>
      </c>
      <c r="AO117" s="228">
        <v>881.64</v>
      </c>
      <c r="AP117" s="228">
        <v>885.59</v>
      </c>
      <c r="AQ117" s="228">
        <v>0</v>
      </c>
      <c r="AR117" s="230">
        <v>4102100</v>
      </c>
      <c r="AS117" s="230">
        <v>3294600</v>
      </c>
      <c r="AT117" s="230">
        <v>807500</v>
      </c>
      <c r="AU117" s="229">
        <v>0.24510000000000001</v>
      </c>
      <c r="AV117" s="230">
        <v>3520700</v>
      </c>
      <c r="AW117" s="230">
        <v>2679200</v>
      </c>
      <c r="AX117" s="230">
        <v>841500</v>
      </c>
      <c r="AY117" s="229">
        <v>0.31409999999999999</v>
      </c>
      <c r="AZ117" s="230">
        <v>552500</v>
      </c>
      <c r="BA117" s="230">
        <v>605200</v>
      </c>
      <c r="BB117" s="230">
        <v>-52700</v>
      </c>
      <c r="BC117" s="229">
        <v>-8.7099999999999997E-2</v>
      </c>
      <c r="BD117" s="230">
        <v>28900</v>
      </c>
      <c r="BE117" s="230">
        <v>10200</v>
      </c>
      <c r="BF117" s="230">
        <v>18700</v>
      </c>
      <c r="BG117" s="229">
        <v>1.8332999999999999</v>
      </c>
      <c r="BH117" s="230">
        <v>9581200</v>
      </c>
      <c r="BI117" s="230">
        <v>6772800</v>
      </c>
      <c r="BJ117" s="230">
        <v>2808400</v>
      </c>
      <c r="BK117" s="229">
        <v>0.41470000000000001</v>
      </c>
      <c r="BL117" s="230">
        <v>3670300</v>
      </c>
      <c r="BM117" s="230">
        <v>3063400</v>
      </c>
      <c r="BN117" s="230">
        <v>606900</v>
      </c>
      <c r="BO117" s="229">
        <v>0.1981</v>
      </c>
      <c r="BP117" s="230">
        <v>17353600</v>
      </c>
      <c r="BQ117" s="230">
        <v>13130800</v>
      </c>
      <c r="BR117" s="230">
        <v>4222800</v>
      </c>
      <c r="BS117" s="229">
        <v>0.3216</v>
      </c>
      <c r="BT117" s="230">
        <v>1071706</v>
      </c>
      <c r="BU117" s="230">
        <v>800531</v>
      </c>
      <c r="BV117" s="230">
        <v>271175</v>
      </c>
      <c r="BW117" s="229">
        <v>0.3387</v>
      </c>
      <c r="BX117" s="230">
        <v>24723100</v>
      </c>
      <c r="BY117" s="230">
        <v>23902000</v>
      </c>
      <c r="BZ117" s="230">
        <v>821100</v>
      </c>
      <c r="CA117" s="229">
        <v>3.44E-2</v>
      </c>
      <c r="CB117" s="230">
        <v>22475700</v>
      </c>
      <c r="CC117" s="230">
        <v>21896000</v>
      </c>
      <c r="CD117" s="230">
        <v>579700</v>
      </c>
      <c r="CE117" s="229">
        <v>2.6499999999999999E-2</v>
      </c>
      <c r="CF117" s="230">
        <v>2164100</v>
      </c>
      <c r="CG117" s="230">
        <v>1927800</v>
      </c>
      <c r="CH117" s="230">
        <v>236300</v>
      </c>
      <c r="CI117" s="229">
        <v>0.1226</v>
      </c>
      <c r="CJ117" s="230">
        <v>83300</v>
      </c>
      <c r="CK117" s="230">
        <v>78200</v>
      </c>
      <c r="CL117" s="230">
        <v>5100</v>
      </c>
      <c r="CM117" s="229">
        <v>6.5199999999999994E-2</v>
      </c>
      <c r="CN117" s="230">
        <v>15612800</v>
      </c>
      <c r="CO117" s="230">
        <v>15196300</v>
      </c>
      <c r="CP117" s="230">
        <v>416500</v>
      </c>
      <c r="CQ117" s="229">
        <v>2.7400000000000001E-2</v>
      </c>
      <c r="CR117" s="230">
        <v>8406500</v>
      </c>
      <c r="CS117" s="230">
        <v>8279000</v>
      </c>
      <c r="CT117" s="230">
        <v>127500</v>
      </c>
      <c r="CU117" s="229">
        <v>1.54E-2</v>
      </c>
      <c r="CV117" s="230">
        <v>48742400</v>
      </c>
      <c r="CW117" s="230">
        <v>47377300</v>
      </c>
      <c r="CX117" s="230">
        <v>1365100</v>
      </c>
      <c r="CY117" s="229">
        <v>2.8799999999999999E-2</v>
      </c>
      <c r="CZ117" s="228">
        <v>39.11</v>
      </c>
      <c r="DA117" s="228">
        <v>39.33</v>
      </c>
      <c r="DB117" s="228">
        <v>-0.22</v>
      </c>
      <c r="DC117" s="228">
        <v>-0.22</v>
      </c>
      <c r="DD117" s="228">
        <v>40.81</v>
      </c>
      <c r="DE117" s="228">
        <v>40.909999999999997</v>
      </c>
      <c r="DF117" s="228">
        <v>-1.7</v>
      </c>
      <c r="DG117" s="228">
        <v>-0.1</v>
      </c>
      <c r="DH117" s="228">
        <v>39.549999999999997</v>
      </c>
      <c r="DI117" s="228">
        <v>39.61</v>
      </c>
      <c r="DJ117" s="228">
        <v>-0.06</v>
      </c>
      <c r="DK117" s="228">
        <v>-0.06</v>
      </c>
      <c r="DL117" s="228">
        <v>37.97</v>
      </c>
      <c r="DM117" s="228">
        <v>38.71</v>
      </c>
      <c r="DN117" s="228">
        <v>-0.74</v>
      </c>
      <c r="DO117" s="228">
        <v>-0.74</v>
      </c>
      <c r="DP117" s="228">
        <v>0.54</v>
      </c>
      <c r="DQ117" s="228">
        <v>0.54</v>
      </c>
      <c r="DR117" s="228">
        <v>0</v>
      </c>
      <c r="DS117" s="229">
        <v>0</v>
      </c>
      <c r="DT117" s="228">
        <v>900</v>
      </c>
      <c r="DU117" s="228">
        <v>880</v>
      </c>
      <c r="DV117" s="228">
        <v>0.38</v>
      </c>
      <c r="DW117" s="228">
        <v>0.45</v>
      </c>
      <c r="DX117" s="228">
        <v>-7.0000000000000007E-2</v>
      </c>
      <c r="DY117" s="229">
        <v>-0.15559999999999999</v>
      </c>
      <c r="DZ117" s="229">
        <v>9.0899999999999995E-2</v>
      </c>
      <c r="EA117" s="230">
        <v>2006000</v>
      </c>
      <c r="EB117" s="229">
        <v>4.4000000000000003E-3</v>
      </c>
      <c r="EC117" s="229">
        <v>9.0899999999999995E-2</v>
      </c>
      <c r="ED117" s="228">
        <v>3.95</v>
      </c>
      <c r="EE117" s="229">
        <v>4.4999999999999997E-3</v>
      </c>
      <c r="EF117" s="230">
        <v>604953</v>
      </c>
      <c r="EG117" s="230">
        <v>446047</v>
      </c>
      <c r="EH117" s="229">
        <v>0.35630000000000001</v>
      </c>
      <c r="EI117" s="229">
        <v>0.5645</v>
      </c>
      <c r="EJ117" s="231">
        <v>88725.04</v>
      </c>
      <c r="EK117" s="231">
        <v>31812.26</v>
      </c>
      <c r="EL117" s="231">
        <v>36189.629999999997</v>
      </c>
      <c r="EM117" s="231">
        <v>4681</v>
      </c>
      <c r="EN117" s="231">
        <v>156726.93</v>
      </c>
      <c r="EO117" s="231">
        <v>118074.12</v>
      </c>
      <c r="EP117" s="231">
        <v>38652.81</v>
      </c>
      <c r="EQ117" s="229">
        <v>0.32740000000000002</v>
      </c>
      <c r="ER117" s="231">
        <v>144222</v>
      </c>
      <c r="ES117" s="231">
        <v>70625</v>
      </c>
      <c r="ET117" s="231">
        <v>216815</v>
      </c>
      <c r="EU117" s="231">
        <v>58629477</v>
      </c>
      <c r="EV117" s="231">
        <v>431661</v>
      </c>
      <c r="EW117" s="231">
        <v>420175</v>
      </c>
      <c r="EX117" s="231">
        <v>11486</v>
      </c>
      <c r="EY117" s="229">
        <v>2.7300000000000001E-2</v>
      </c>
      <c r="EZ117" s="229">
        <v>0.83140000000000003</v>
      </c>
      <c r="FA117" s="227" t="s">
        <v>567</v>
      </c>
      <c r="FB117" s="161">
        <f t="shared" si="1"/>
        <v>2247400</v>
      </c>
    </row>
    <row r="118" spans="1:158" ht="17.25" hidden="1" thickBot="1" x14ac:dyDescent="0.3">
      <c r="A118" s="226">
        <v>45946</v>
      </c>
      <c r="B118" s="227" t="s">
        <v>175</v>
      </c>
      <c r="C118" s="227" t="s">
        <v>248</v>
      </c>
      <c r="D118" s="228">
        <v>1000</v>
      </c>
      <c r="E118" s="228">
        <v>570.25</v>
      </c>
      <c r="F118" s="228">
        <v>571.6</v>
      </c>
      <c r="G118" s="228">
        <v>-1.35</v>
      </c>
      <c r="H118" s="229">
        <v>-2.3999999999999998E-3</v>
      </c>
      <c r="I118" s="228">
        <v>569.29999999999995</v>
      </c>
      <c r="J118" s="228">
        <v>569.1</v>
      </c>
      <c r="K118" s="228">
        <v>0.2</v>
      </c>
      <c r="L118" s="229">
        <v>4.0000000000000002E-4</v>
      </c>
      <c r="M118" s="228">
        <v>570.25</v>
      </c>
      <c r="N118" s="228">
        <v>571.6</v>
      </c>
      <c r="O118" s="228">
        <v>-1.35</v>
      </c>
      <c r="P118" s="229">
        <v>-2.3999999999999998E-3</v>
      </c>
      <c r="Q118" s="228">
        <v>573.5</v>
      </c>
      <c r="R118" s="228">
        <v>574.54999999999995</v>
      </c>
      <c r="S118" s="228">
        <v>-1.05</v>
      </c>
      <c r="T118" s="229">
        <v>-1.8E-3</v>
      </c>
      <c r="U118" s="228">
        <v>577.35</v>
      </c>
      <c r="V118" s="228">
        <v>578.29999999999995</v>
      </c>
      <c r="W118" s="228">
        <v>-0.95</v>
      </c>
      <c r="X118" s="229">
        <v>-1.6000000000000001E-3</v>
      </c>
      <c r="Y118" s="228">
        <v>0.95</v>
      </c>
      <c r="Z118" s="228">
        <v>2.5</v>
      </c>
      <c r="AA118" s="228">
        <v>-1.55</v>
      </c>
      <c r="AB118" s="229">
        <v>1.6999999999999999E-3</v>
      </c>
      <c r="AC118" s="228">
        <v>0.95</v>
      </c>
      <c r="AD118" s="228">
        <v>2.5</v>
      </c>
      <c r="AE118" s="228">
        <v>-1.55</v>
      </c>
      <c r="AF118" s="229">
        <v>1.6999999999999999E-3</v>
      </c>
      <c r="AG118" s="228">
        <v>4.2</v>
      </c>
      <c r="AH118" s="228">
        <v>5.45</v>
      </c>
      <c r="AI118" s="228">
        <v>-1.25</v>
      </c>
      <c r="AJ118" s="229">
        <v>7.4000000000000003E-3</v>
      </c>
      <c r="AK118" s="228">
        <v>8.0500000000000007</v>
      </c>
      <c r="AL118" s="228">
        <v>9.1999999999999993</v>
      </c>
      <c r="AM118" s="228">
        <v>-1.1499999999999999</v>
      </c>
      <c r="AN118" s="229">
        <v>1.41E-2</v>
      </c>
      <c r="AO118" s="228">
        <v>570</v>
      </c>
      <c r="AP118" s="228">
        <v>572.78</v>
      </c>
      <c r="AQ118" s="228">
        <v>0</v>
      </c>
      <c r="AR118" s="230">
        <v>2596000</v>
      </c>
      <c r="AS118" s="230">
        <v>2371000</v>
      </c>
      <c r="AT118" s="230">
        <v>225000</v>
      </c>
      <c r="AU118" s="229">
        <v>9.4899999999999998E-2</v>
      </c>
      <c r="AV118" s="230">
        <v>2013000</v>
      </c>
      <c r="AW118" s="230">
        <v>2065000</v>
      </c>
      <c r="AX118" s="230">
        <v>-52000</v>
      </c>
      <c r="AY118" s="229">
        <v>-2.52E-2</v>
      </c>
      <c r="AZ118" s="230">
        <v>573000</v>
      </c>
      <c r="BA118" s="230">
        <v>286000</v>
      </c>
      <c r="BB118" s="230">
        <v>287000</v>
      </c>
      <c r="BC118" s="229">
        <v>1.0035000000000001</v>
      </c>
      <c r="BD118" s="230">
        <v>10000</v>
      </c>
      <c r="BE118" s="230">
        <v>20000</v>
      </c>
      <c r="BF118" s="230">
        <v>-10000</v>
      </c>
      <c r="BG118" s="229">
        <v>-0.5</v>
      </c>
      <c r="BH118" s="230">
        <v>4649000</v>
      </c>
      <c r="BI118" s="230">
        <v>4614000</v>
      </c>
      <c r="BJ118" s="230">
        <v>35000</v>
      </c>
      <c r="BK118" s="229">
        <v>7.6E-3</v>
      </c>
      <c r="BL118" s="230">
        <v>1659000</v>
      </c>
      <c r="BM118" s="230">
        <v>1979000</v>
      </c>
      <c r="BN118" s="230">
        <v>-320000</v>
      </c>
      <c r="BO118" s="229">
        <v>-0.16170000000000001</v>
      </c>
      <c r="BP118" s="230">
        <v>8904000</v>
      </c>
      <c r="BQ118" s="230">
        <v>8964000</v>
      </c>
      <c r="BR118" s="230">
        <v>-60000</v>
      </c>
      <c r="BS118" s="229">
        <v>-6.7000000000000002E-3</v>
      </c>
      <c r="BT118" s="230">
        <v>601388</v>
      </c>
      <c r="BU118" s="230">
        <v>1079718</v>
      </c>
      <c r="BV118" s="230">
        <v>-478330</v>
      </c>
      <c r="BW118" s="229">
        <v>-0.443</v>
      </c>
      <c r="BX118" s="230">
        <v>32185000</v>
      </c>
      <c r="BY118" s="230">
        <v>31749000</v>
      </c>
      <c r="BZ118" s="230">
        <v>436000</v>
      </c>
      <c r="CA118" s="229">
        <v>1.37E-2</v>
      </c>
      <c r="CB118" s="230">
        <v>30191000</v>
      </c>
      <c r="CC118" s="230">
        <v>30129000</v>
      </c>
      <c r="CD118" s="230">
        <v>62000</v>
      </c>
      <c r="CE118" s="229">
        <v>2.0999999999999999E-3</v>
      </c>
      <c r="CF118" s="230">
        <v>1937000</v>
      </c>
      <c r="CG118" s="230">
        <v>1570000</v>
      </c>
      <c r="CH118" s="230">
        <v>367000</v>
      </c>
      <c r="CI118" s="229">
        <v>0.23380000000000001</v>
      </c>
      <c r="CJ118" s="230">
        <v>57000</v>
      </c>
      <c r="CK118" s="230">
        <v>50000</v>
      </c>
      <c r="CL118" s="230">
        <v>7000</v>
      </c>
      <c r="CM118" s="229">
        <v>0.14000000000000001</v>
      </c>
      <c r="CN118" s="230">
        <v>9827000</v>
      </c>
      <c r="CO118" s="230">
        <v>9490000</v>
      </c>
      <c r="CP118" s="230">
        <v>337000</v>
      </c>
      <c r="CQ118" s="229">
        <v>3.5499999999999997E-2</v>
      </c>
      <c r="CR118" s="230">
        <v>6988000</v>
      </c>
      <c r="CS118" s="230">
        <v>6984000</v>
      </c>
      <c r="CT118" s="230">
        <v>4000</v>
      </c>
      <c r="CU118" s="229">
        <v>5.9999999999999995E-4</v>
      </c>
      <c r="CV118" s="230">
        <v>49000000</v>
      </c>
      <c r="CW118" s="230">
        <v>48223000</v>
      </c>
      <c r="CX118" s="230">
        <v>777000</v>
      </c>
      <c r="CY118" s="229">
        <v>1.61E-2</v>
      </c>
      <c r="CZ118" s="228">
        <v>20.61</v>
      </c>
      <c r="DA118" s="228">
        <v>20.99</v>
      </c>
      <c r="DB118" s="228">
        <v>-0.38</v>
      </c>
      <c r="DC118" s="228">
        <v>-0.38</v>
      </c>
      <c r="DD118" s="228">
        <v>34.58</v>
      </c>
      <c r="DE118" s="228">
        <v>34.67</v>
      </c>
      <c r="DF118" s="228">
        <v>-13.97</v>
      </c>
      <c r="DG118" s="228">
        <v>-0.09</v>
      </c>
      <c r="DH118" s="228">
        <v>20.94</v>
      </c>
      <c r="DI118" s="228">
        <v>21.11</v>
      </c>
      <c r="DJ118" s="228">
        <v>-0.17</v>
      </c>
      <c r="DK118" s="228">
        <v>-0.17</v>
      </c>
      <c r="DL118" s="228">
        <v>19.71</v>
      </c>
      <c r="DM118" s="228">
        <v>20.71</v>
      </c>
      <c r="DN118" s="228">
        <v>-1</v>
      </c>
      <c r="DO118" s="228">
        <v>-1</v>
      </c>
      <c r="DP118" s="228">
        <v>0.71</v>
      </c>
      <c r="DQ118" s="228">
        <v>0.74</v>
      </c>
      <c r="DR118" s="228">
        <v>-0.03</v>
      </c>
      <c r="DS118" s="229">
        <v>-4.0500000000000001E-2</v>
      </c>
      <c r="DT118" s="228">
        <v>600</v>
      </c>
      <c r="DU118" s="228">
        <v>580</v>
      </c>
      <c r="DV118" s="228">
        <v>0.36</v>
      </c>
      <c r="DW118" s="228">
        <v>0.43</v>
      </c>
      <c r="DX118" s="228">
        <v>-7.0000000000000007E-2</v>
      </c>
      <c r="DY118" s="229">
        <v>-0.1628</v>
      </c>
      <c r="DZ118" s="229">
        <v>6.2E-2</v>
      </c>
      <c r="EA118" s="230">
        <v>1620000</v>
      </c>
      <c r="EB118" s="229">
        <v>5.7000000000000002E-3</v>
      </c>
      <c r="EC118" s="229">
        <v>6.2E-2</v>
      </c>
      <c r="ED118" s="228">
        <v>2.78</v>
      </c>
      <c r="EE118" s="229">
        <v>4.8999999999999998E-3</v>
      </c>
      <c r="EF118" s="230">
        <v>321590</v>
      </c>
      <c r="EG118" s="230">
        <v>645457</v>
      </c>
      <c r="EH118" s="229">
        <v>-0.50180000000000002</v>
      </c>
      <c r="EI118" s="229">
        <v>0.53469999999999995</v>
      </c>
      <c r="EJ118" s="231">
        <v>27307.43</v>
      </c>
      <c r="EK118" s="231">
        <v>9425.67</v>
      </c>
      <c r="EL118" s="231">
        <v>14813.74</v>
      </c>
      <c r="EM118" s="231">
        <v>2900</v>
      </c>
      <c r="EN118" s="231">
        <v>51546.84</v>
      </c>
      <c r="EO118" s="231">
        <v>52033.63</v>
      </c>
      <c r="EP118" s="228">
        <v>-486.79</v>
      </c>
      <c r="EQ118" s="229">
        <v>-9.4000000000000004E-3</v>
      </c>
      <c r="ER118" s="231">
        <v>58287</v>
      </c>
      <c r="ES118" s="231">
        <v>40142</v>
      </c>
      <c r="ET118" s="231">
        <v>183602</v>
      </c>
      <c r="EU118" s="231">
        <v>45183075</v>
      </c>
      <c r="EV118" s="231">
        <v>282030</v>
      </c>
      <c r="EW118" s="231">
        <v>277946</v>
      </c>
      <c r="EX118" s="231">
        <v>4084</v>
      </c>
      <c r="EY118" s="229">
        <v>1.47E-2</v>
      </c>
      <c r="EZ118" s="229">
        <v>1.0845</v>
      </c>
      <c r="FA118" s="227" t="s">
        <v>567</v>
      </c>
      <c r="FB118" s="161">
        <f t="shared" si="1"/>
        <v>1994000</v>
      </c>
    </row>
    <row r="119" spans="1:158" ht="17.25" hidden="1" thickBot="1" x14ac:dyDescent="0.3">
      <c r="A119" s="226">
        <v>45946</v>
      </c>
      <c r="B119" s="227" t="s">
        <v>175</v>
      </c>
      <c r="C119" s="227" t="s">
        <v>607</v>
      </c>
      <c r="D119" s="228">
        <v>700</v>
      </c>
      <c r="E119" s="228">
        <v>894.85</v>
      </c>
      <c r="F119" s="228">
        <v>902.7</v>
      </c>
      <c r="G119" s="228">
        <v>-7.85</v>
      </c>
      <c r="H119" s="229">
        <v>-8.6999999999999994E-3</v>
      </c>
      <c r="I119" s="228">
        <v>894.15</v>
      </c>
      <c r="J119" s="228">
        <v>898.95</v>
      </c>
      <c r="K119" s="228">
        <v>-4.8</v>
      </c>
      <c r="L119" s="229">
        <v>-5.3E-3</v>
      </c>
      <c r="M119" s="228">
        <v>894.85</v>
      </c>
      <c r="N119" s="228">
        <v>902.7</v>
      </c>
      <c r="O119" s="228">
        <v>-7.85</v>
      </c>
      <c r="P119" s="229">
        <v>-8.6999999999999994E-3</v>
      </c>
      <c r="Q119" s="228">
        <v>897.9</v>
      </c>
      <c r="R119" s="228">
        <v>905.55</v>
      </c>
      <c r="S119" s="228">
        <v>-7.65</v>
      </c>
      <c r="T119" s="229">
        <v>-8.3999999999999995E-3</v>
      </c>
      <c r="U119" s="228">
        <v>902.2</v>
      </c>
      <c r="V119" s="228">
        <v>909.1</v>
      </c>
      <c r="W119" s="228">
        <v>-6.9</v>
      </c>
      <c r="X119" s="229">
        <v>-7.6E-3</v>
      </c>
      <c r="Y119" s="228">
        <v>0.7</v>
      </c>
      <c r="Z119" s="228">
        <v>3.75</v>
      </c>
      <c r="AA119" s="228">
        <v>-3.05</v>
      </c>
      <c r="AB119" s="229">
        <v>8.0000000000000004E-4</v>
      </c>
      <c r="AC119" s="228">
        <v>0.7</v>
      </c>
      <c r="AD119" s="228">
        <v>3.75</v>
      </c>
      <c r="AE119" s="228">
        <v>-3.05</v>
      </c>
      <c r="AF119" s="229">
        <v>8.0000000000000004E-4</v>
      </c>
      <c r="AG119" s="228">
        <v>3.75</v>
      </c>
      <c r="AH119" s="228">
        <v>6.6</v>
      </c>
      <c r="AI119" s="228">
        <v>-2.85</v>
      </c>
      <c r="AJ119" s="229">
        <v>4.1999999999999997E-3</v>
      </c>
      <c r="AK119" s="228">
        <v>8.0500000000000007</v>
      </c>
      <c r="AL119" s="228">
        <v>10.15</v>
      </c>
      <c r="AM119" s="228">
        <v>-2.1</v>
      </c>
      <c r="AN119" s="229">
        <v>8.9999999999999993E-3</v>
      </c>
      <c r="AO119" s="228">
        <v>897.76</v>
      </c>
      <c r="AP119" s="228">
        <v>900.02</v>
      </c>
      <c r="AQ119" s="228">
        <v>0</v>
      </c>
      <c r="AR119" s="230">
        <v>2171400</v>
      </c>
      <c r="AS119" s="230">
        <v>1138200</v>
      </c>
      <c r="AT119" s="230">
        <v>1033200</v>
      </c>
      <c r="AU119" s="229">
        <v>0.90769999999999995</v>
      </c>
      <c r="AV119" s="230">
        <v>1773800</v>
      </c>
      <c r="AW119" s="230">
        <v>971600</v>
      </c>
      <c r="AX119" s="230">
        <v>802200</v>
      </c>
      <c r="AY119" s="229">
        <v>0.8256</v>
      </c>
      <c r="AZ119" s="230">
        <v>371000</v>
      </c>
      <c r="BA119" s="230">
        <v>148400</v>
      </c>
      <c r="BB119" s="230">
        <v>222600</v>
      </c>
      <c r="BC119" s="229">
        <v>1.5</v>
      </c>
      <c r="BD119" s="230">
        <v>26600</v>
      </c>
      <c r="BE119" s="230">
        <v>18200</v>
      </c>
      <c r="BF119" s="230">
        <v>8400</v>
      </c>
      <c r="BG119" s="229">
        <v>0.46150000000000002</v>
      </c>
      <c r="BH119" s="230">
        <v>4474400</v>
      </c>
      <c r="BI119" s="230">
        <v>3096800</v>
      </c>
      <c r="BJ119" s="230">
        <v>1377600</v>
      </c>
      <c r="BK119" s="229">
        <v>0.44479999999999997</v>
      </c>
      <c r="BL119" s="230">
        <v>2009000</v>
      </c>
      <c r="BM119" s="230">
        <v>980000</v>
      </c>
      <c r="BN119" s="230">
        <v>1029000</v>
      </c>
      <c r="BO119" s="229">
        <v>1.05</v>
      </c>
      <c r="BP119" s="230">
        <v>8654800</v>
      </c>
      <c r="BQ119" s="230">
        <v>5215000</v>
      </c>
      <c r="BR119" s="230">
        <v>3439800</v>
      </c>
      <c r="BS119" s="229">
        <v>0.65959999999999996</v>
      </c>
      <c r="BT119" s="230">
        <v>858603</v>
      </c>
      <c r="BU119" s="230">
        <v>590950</v>
      </c>
      <c r="BV119" s="230">
        <v>267653</v>
      </c>
      <c r="BW119" s="229">
        <v>0.45290000000000002</v>
      </c>
      <c r="BX119" s="230">
        <v>8361500</v>
      </c>
      <c r="BY119" s="230">
        <v>8153600</v>
      </c>
      <c r="BZ119" s="230">
        <v>207900</v>
      </c>
      <c r="CA119" s="229">
        <v>2.5499999999999998E-2</v>
      </c>
      <c r="CB119" s="230">
        <v>7502600</v>
      </c>
      <c r="CC119" s="230">
        <v>7473200</v>
      </c>
      <c r="CD119" s="230">
        <v>29400</v>
      </c>
      <c r="CE119" s="229">
        <v>3.8999999999999998E-3</v>
      </c>
      <c r="CF119" s="230">
        <v>800100</v>
      </c>
      <c r="CG119" s="230">
        <v>630700</v>
      </c>
      <c r="CH119" s="230">
        <v>169400</v>
      </c>
      <c r="CI119" s="229">
        <v>0.26860000000000001</v>
      </c>
      <c r="CJ119" s="230">
        <v>58800</v>
      </c>
      <c r="CK119" s="230">
        <v>49700</v>
      </c>
      <c r="CL119" s="230">
        <v>9100</v>
      </c>
      <c r="CM119" s="229">
        <v>0.18310000000000001</v>
      </c>
      <c r="CN119" s="230">
        <v>5206600</v>
      </c>
      <c r="CO119" s="230">
        <v>5046300</v>
      </c>
      <c r="CP119" s="230">
        <v>160300</v>
      </c>
      <c r="CQ119" s="229">
        <v>3.1800000000000002E-2</v>
      </c>
      <c r="CR119" s="230">
        <v>2297400</v>
      </c>
      <c r="CS119" s="230">
        <v>2149700</v>
      </c>
      <c r="CT119" s="230">
        <v>147700</v>
      </c>
      <c r="CU119" s="229">
        <v>6.8699999999999997E-2</v>
      </c>
      <c r="CV119" s="230">
        <v>15865500</v>
      </c>
      <c r="CW119" s="230">
        <v>15349600</v>
      </c>
      <c r="CX119" s="230">
        <v>515900</v>
      </c>
      <c r="CY119" s="229">
        <v>3.3599999999999998E-2</v>
      </c>
      <c r="CZ119" s="228">
        <v>22.9</v>
      </c>
      <c r="DA119" s="228">
        <v>23.01</v>
      </c>
      <c r="DB119" s="228">
        <v>-0.11</v>
      </c>
      <c r="DC119" s="228">
        <v>-0.11</v>
      </c>
      <c r="DD119" s="228">
        <v>32.17</v>
      </c>
      <c r="DE119" s="228">
        <v>32.229999999999997</v>
      </c>
      <c r="DF119" s="228">
        <v>-9.27</v>
      </c>
      <c r="DG119" s="228">
        <v>-0.06</v>
      </c>
      <c r="DH119" s="228">
        <v>23.42</v>
      </c>
      <c r="DI119" s="228">
        <v>22.79</v>
      </c>
      <c r="DJ119" s="228">
        <v>0.63</v>
      </c>
      <c r="DK119" s="228">
        <v>0.63</v>
      </c>
      <c r="DL119" s="228">
        <v>21.74</v>
      </c>
      <c r="DM119" s="228">
        <v>23.69</v>
      </c>
      <c r="DN119" s="228">
        <v>-1.95</v>
      </c>
      <c r="DO119" s="228">
        <v>-1.95</v>
      </c>
      <c r="DP119" s="228">
        <v>0.44</v>
      </c>
      <c r="DQ119" s="228">
        <v>0.43</v>
      </c>
      <c r="DR119" s="228">
        <v>0.01</v>
      </c>
      <c r="DS119" s="229">
        <v>2.3300000000000001E-2</v>
      </c>
      <c r="DT119" s="228">
        <v>900</v>
      </c>
      <c r="DU119" s="228">
        <v>900</v>
      </c>
      <c r="DV119" s="228">
        <v>0.45</v>
      </c>
      <c r="DW119" s="228">
        <v>0.32</v>
      </c>
      <c r="DX119" s="228">
        <v>0.13</v>
      </c>
      <c r="DY119" s="229">
        <v>0.40629999999999999</v>
      </c>
      <c r="DZ119" s="229">
        <v>0.1027</v>
      </c>
      <c r="EA119" s="230">
        <v>680400</v>
      </c>
      <c r="EB119" s="229">
        <v>3.3999999999999998E-3</v>
      </c>
      <c r="EC119" s="229">
        <v>0.1027</v>
      </c>
      <c r="ED119" s="228">
        <v>2.2599999999999998</v>
      </c>
      <c r="EE119" s="229">
        <v>2.5000000000000001E-3</v>
      </c>
      <c r="EF119" s="230">
        <v>353723</v>
      </c>
      <c r="EG119" s="230">
        <v>283678</v>
      </c>
      <c r="EH119" s="229">
        <v>0.24690000000000001</v>
      </c>
      <c r="EI119" s="229">
        <v>0.41199999999999998</v>
      </c>
      <c r="EJ119" s="231">
        <v>41575.58</v>
      </c>
      <c r="EK119" s="231">
        <v>18267.34</v>
      </c>
      <c r="EL119" s="231">
        <v>19503.88</v>
      </c>
      <c r="EM119" s="231">
        <v>1676</v>
      </c>
      <c r="EN119" s="231">
        <v>79346.8</v>
      </c>
      <c r="EO119" s="231">
        <v>48016.5</v>
      </c>
      <c r="EP119" s="231">
        <v>31330.3</v>
      </c>
      <c r="EQ119" s="229">
        <v>0.65249999999999997</v>
      </c>
      <c r="ER119" s="231">
        <v>48776</v>
      </c>
      <c r="ES119" s="231">
        <v>20218</v>
      </c>
      <c r="ET119" s="231">
        <v>74852</v>
      </c>
      <c r="EU119" s="231">
        <v>32057152</v>
      </c>
      <c r="EV119" s="231">
        <v>143845</v>
      </c>
      <c r="EW119" s="231">
        <v>139833</v>
      </c>
      <c r="EX119" s="231">
        <v>4012</v>
      </c>
      <c r="EY119" s="229">
        <v>2.87E-2</v>
      </c>
      <c r="EZ119" s="229">
        <v>0.49490000000000001</v>
      </c>
      <c r="FA119" s="227" t="s">
        <v>567</v>
      </c>
      <c r="FB119" s="161">
        <f t="shared" si="1"/>
        <v>858900</v>
      </c>
    </row>
    <row r="120" spans="1:158" ht="17.25" hidden="1" thickBot="1" x14ac:dyDescent="0.3">
      <c r="A120" s="226">
        <v>45946</v>
      </c>
      <c r="B120" s="227" t="s">
        <v>206</v>
      </c>
      <c r="C120" s="227" t="s">
        <v>588</v>
      </c>
      <c r="D120" s="228">
        <v>450</v>
      </c>
      <c r="E120" s="231">
        <v>1196</v>
      </c>
      <c r="F120" s="231">
        <v>1174.5</v>
      </c>
      <c r="G120" s="228">
        <v>21.5</v>
      </c>
      <c r="H120" s="229">
        <v>1.83E-2</v>
      </c>
      <c r="I120" s="231">
        <v>1194.8</v>
      </c>
      <c r="J120" s="231">
        <v>1172</v>
      </c>
      <c r="K120" s="228">
        <v>22.8</v>
      </c>
      <c r="L120" s="229">
        <v>1.95E-2</v>
      </c>
      <c r="M120" s="231">
        <v>1196</v>
      </c>
      <c r="N120" s="231">
        <v>1174.5</v>
      </c>
      <c r="O120" s="228">
        <v>21.5</v>
      </c>
      <c r="P120" s="229">
        <v>1.83E-2</v>
      </c>
      <c r="Q120" s="231">
        <v>1202.5999999999999</v>
      </c>
      <c r="R120" s="231">
        <v>1180.5999999999999</v>
      </c>
      <c r="S120" s="228">
        <v>22</v>
      </c>
      <c r="T120" s="229">
        <v>1.8599999999999998E-2</v>
      </c>
      <c r="U120" s="231">
        <v>1208.4000000000001</v>
      </c>
      <c r="V120" s="231">
        <v>1188.9000000000001</v>
      </c>
      <c r="W120" s="228">
        <v>19.5</v>
      </c>
      <c r="X120" s="229">
        <v>1.6400000000000001E-2</v>
      </c>
      <c r="Y120" s="228">
        <v>1.2</v>
      </c>
      <c r="Z120" s="228">
        <v>2.5</v>
      </c>
      <c r="AA120" s="228">
        <v>-1.3</v>
      </c>
      <c r="AB120" s="229">
        <v>1E-3</v>
      </c>
      <c r="AC120" s="228">
        <v>1.2</v>
      </c>
      <c r="AD120" s="228">
        <v>2.5</v>
      </c>
      <c r="AE120" s="228">
        <v>-1.3</v>
      </c>
      <c r="AF120" s="229">
        <v>1E-3</v>
      </c>
      <c r="AG120" s="228">
        <v>7.8</v>
      </c>
      <c r="AH120" s="228">
        <v>8.6</v>
      </c>
      <c r="AI120" s="228">
        <v>-0.8</v>
      </c>
      <c r="AJ120" s="229">
        <v>6.4999999999999997E-3</v>
      </c>
      <c r="AK120" s="228">
        <v>13.6</v>
      </c>
      <c r="AL120" s="228">
        <v>16.899999999999999</v>
      </c>
      <c r="AM120" s="228">
        <v>-3.3</v>
      </c>
      <c r="AN120" s="229">
        <v>1.14E-2</v>
      </c>
      <c r="AO120" s="231">
        <v>1190.74</v>
      </c>
      <c r="AP120" s="231">
        <v>1197.42</v>
      </c>
      <c r="AQ120" s="228">
        <v>0</v>
      </c>
      <c r="AR120" s="230">
        <v>2670750</v>
      </c>
      <c r="AS120" s="230">
        <v>2656800</v>
      </c>
      <c r="AT120" s="230">
        <v>13950</v>
      </c>
      <c r="AU120" s="229">
        <v>5.3E-3</v>
      </c>
      <c r="AV120" s="230">
        <v>2419650</v>
      </c>
      <c r="AW120" s="230">
        <v>2436750</v>
      </c>
      <c r="AX120" s="230">
        <v>-17100</v>
      </c>
      <c r="AY120" s="229">
        <v>-7.0000000000000001E-3</v>
      </c>
      <c r="AZ120" s="230">
        <v>237150</v>
      </c>
      <c r="BA120" s="230">
        <v>193500</v>
      </c>
      <c r="BB120" s="230">
        <v>43650</v>
      </c>
      <c r="BC120" s="229">
        <v>0.22559999999999999</v>
      </c>
      <c r="BD120" s="230">
        <v>13950</v>
      </c>
      <c r="BE120" s="230">
        <v>26550</v>
      </c>
      <c r="BF120" s="230">
        <v>-12600</v>
      </c>
      <c r="BG120" s="229">
        <v>-0.47460000000000002</v>
      </c>
      <c r="BH120" s="230">
        <v>9859500</v>
      </c>
      <c r="BI120" s="230">
        <v>12874050</v>
      </c>
      <c r="BJ120" s="230">
        <v>-3014550</v>
      </c>
      <c r="BK120" s="229">
        <v>-0.23419999999999999</v>
      </c>
      <c r="BL120" s="230">
        <v>2384100</v>
      </c>
      <c r="BM120" s="230">
        <v>3451950</v>
      </c>
      <c r="BN120" s="230">
        <v>-1067850</v>
      </c>
      <c r="BO120" s="229">
        <v>-0.30930000000000002</v>
      </c>
      <c r="BP120" s="230">
        <v>14914350</v>
      </c>
      <c r="BQ120" s="230">
        <v>18982800</v>
      </c>
      <c r="BR120" s="230">
        <v>-4068450</v>
      </c>
      <c r="BS120" s="229">
        <v>-0.21429999999999999</v>
      </c>
      <c r="BT120" s="230">
        <v>2356398</v>
      </c>
      <c r="BU120" s="230">
        <v>1623539</v>
      </c>
      <c r="BV120" s="230">
        <v>732859</v>
      </c>
      <c r="BW120" s="229">
        <v>0.45140000000000002</v>
      </c>
      <c r="BX120" s="230">
        <v>11639250</v>
      </c>
      <c r="BY120" s="230">
        <v>12327300</v>
      </c>
      <c r="BZ120" s="230">
        <v>-688050</v>
      </c>
      <c r="CA120" s="229">
        <v>-5.5800000000000002E-2</v>
      </c>
      <c r="CB120" s="230">
        <v>11160900</v>
      </c>
      <c r="CC120" s="230">
        <v>11886300</v>
      </c>
      <c r="CD120" s="230">
        <v>-725400</v>
      </c>
      <c r="CE120" s="229">
        <v>-6.0999999999999999E-2</v>
      </c>
      <c r="CF120" s="230">
        <v>442800</v>
      </c>
      <c r="CG120" s="230">
        <v>404550</v>
      </c>
      <c r="CH120" s="230">
        <v>38250</v>
      </c>
      <c r="CI120" s="229">
        <v>9.4500000000000001E-2</v>
      </c>
      <c r="CJ120" s="230">
        <v>35550</v>
      </c>
      <c r="CK120" s="230">
        <v>36450</v>
      </c>
      <c r="CL120" s="228">
        <v>-900</v>
      </c>
      <c r="CM120" s="229">
        <v>-2.47E-2</v>
      </c>
      <c r="CN120" s="230">
        <v>3040200</v>
      </c>
      <c r="CO120" s="230">
        <v>3678750</v>
      </c>
      <c r="CP120" s="230">
        <v>-638550</v>
      </c>
      <c r="CQ120" s="229">
        <v>-0.1736</v>
      </c>
      <c r="CR120" s="230">
        <v>2038950</v>
      </c>
      <c r="CS120" s="230">
        <v>2180250</v>
      </c>
      <c r="CT120" s="230">
        <v>-141300</v>
      </c>
      <c r="CU120" s="229">
        <v>-6.4799999999999996E-2</v>
      </c>
      <c r="CV120" s="230">
        <v>16718400</v>
      </c>
      <c r="CW120" s="230">
        <v>18186300</v>
      </c>
      <c r="CX120" s="230">
        <v>-1467900</v>
      </c>
      <c r="CY120" s="229">
        <v>-8.0699999999999994E-2</v>
      </c>
      <c r="CZ120" s="228">
        <v>29.63</v>
      </c>
      <c r="DA120" s="228">
        <v>33.6</v>
      </c>
      <c r="DB120" s="228">
        <v>-3.97</v>
      </c>
      <c r="DC120" s="228">
        <v>-3.97</v>
      </c>
      <c r="DD120" s="228">
        <v>47.58</v>
      </c>
      <c r="DE120" s="228">
        <v>47.62</v>
      </c>
      <c r="DF120" s="228">
        <v>-17.95</v>
      </c>
      <c r="DG120" s="228">
        <v>-0.04</v>
      </c>
      <c r="DH120" s="228">
        <v>29.5</v>
      </c>
      <c r="DI120" s="228">
        <v>33.6</v>
      </c>
      <c r="DJ120" s="228">
        <v>-4.0999999999999996</v>
      </c>
      <c r="DK120" s="228">
        <v>-4.0999999999999996</v>
      </c>
      <c r="DL120" s="228">
        <v>30.16</v>
      </c>
      <c r="DM120" s="228">
        <v>33.58</v>
      </c>
      <c r="DN120" s="228">
        <v>-3.42</v>
      </c>
      <c r="DO120" s="228">
        <v>-3.42</v>
      </c>
      <c r="DP120" s="228">
        <v>0.67</v>
      </c>
      <c r="DQ120" s="228">
        <v>0.59</v>
      </c>
      <c r="DR120" s="228">
        <v>0.08</v>
      </c>
      <c r="DS120" s="229">
        <v>0.1356</v>
      </c>
      <c r="DT120" s="231">
        <v>1200</v>
      </c>
      <c r="DU120" s="231">
        <v>1100</v>
      </c>
      <c r="DV120" s="228">
        <v>0.24</v>
      </c>
      <c r="DW120" s="228">
        <v>0.27</v>
      </c>
      <c r="DX120" s="228">
        <v>-0.03</v>
      </c>
      <c r="DY120" s="229">
        <v>-0.1111</v>
      </c>
      <c r="DZ120" s="229">
        <v>4.1099999999999998E-2</v>
      </c>
      <c r="EA120" s="230">
        <v>441000</v>
      </c>
      <c r="EB120" s="229">
        <v>5.4999999999999997E-3</v>
      </c>
      <c r="EC120" s="229">
        <v>4.1099999999999998E-2</v>
      </c>
      <c r="ED120" s="228">
        <v>6.68</v>
      </c>
      <c r="EE120" s="229">
        <v>5.5999999999999999E-3</v>
      </c>
      <c r="EF120" s="230">
        <v>1473580</v>
      </c>
      <c r="EG120" s="230">
        <v>607244</v>
      </c>
      <c r="EH120" s="229">
        <v>1.4267000000000001</v>
      </c>
      <c r="EI120" s="229">
        <v>0.62539999999999996</v>
      </c>
      <c r="EJ120" s="231">
        <v>120221.83</v>
      </c>
      <c r="EK120" s="231">
        <v>28104.14</v>
      </c>
      <c r="EL120" s="231">
        <v>31819.37</v>
      </c>
      <c r="EM120" s="231">
        <v>3806</v>
      </c>
      <c r="EN120" s="231">
        <v>180145.34</v>
      </c>
      <c r="EO120" s="231">
        <v>228499.97</v>
      </c>
      <c r="EP120" s="231">
        <v>-48354.63</v>
      </c>
      <c r="EQ120" s="229">
        <v>-0.21160000000000001</v>
      </c>
      <c r="ER120" s="231">
        <v>36660</v>
      </c>
      <c r="ES120" s="231">
        <v>23134</v>
      </c>
      <c r="ET120" s="231">
        <v>139239</v>
      </c>
      <c r="EU120" s="231">
        <v>42060143</v>
      </c>
      <c r="EV120" s="231">
        <v>199033</v>
      </c>
      <c r="EW120" s="231">
        <v>213632</v>
      </c>
      <c r="EX120" s="231">
        <v>-14599</v>
      </c>
      <c r="EY120" s="229">
        <v>-6.83E-2</v>
      </c>
      <c r="EZ120" s="229">
        <v>0.39750000000000002</v>
      </c>
      <c r="FA120" s="227" t="s">
        <v>556</v>
      </c>
      <c r="FB120" s="161">
        <f t="shared" si="1"/>
        <v>478350</v>
      </c>
    </row>
    <row r="121" spans="1:158" ht="17.25" hidden="1" thickBot="1" x14ac:dyDescent="0.3">
      <c r="A121" s="226">
        <v>45946</v>
      </c>
      <c r="B121" s="227" t="s">
        <v>184</v>
      </c>
      <c r="C121" s="227" t="s">
        <v>249</v>
      </c>
      <c r="D121" s="228">
        <v>175</v>
      </c>
      <c r="E121" s="231">
        <v>3866.7</v>
      </c>
      <c r="F121" s="231">
        <v>3836.6</v>
      </c>
      <c r="G121" s="228">
        <v>30.1</v>
      </c>
      <c r="H121" s="229">
        <v>7.7999999999999996E-3</v>
      </c>
      <c r="I121" s="231">
        <v>3861.8</v>
      </c>
      <c r="J121" s="231">
        <v>3828.7</v>
      </c>
      <c r="K121" s="228">
        <v>33.1</v>
      </c>
      <c r="L121" s="229">
        <v>8.6E-3</v>
      </c>
      <c r="M121" s="231">
        <v>3866.7</v>
      </c>
      <c r="N121" s="231">
        <v>3836.6</v>
      </c>
      <c r="O121" s="228">
        <v>30.1</v>
      </c>
      <c r="P121" s="229">
        <v>7.7999999999999996E-3</v>
      </c>
      <c r="Q121" s="231">
        <v>3888.6</v>
      </c>
      <c r="R121" s="231">
        <v>3857.5</v>
      </c>
      <c r="S121" s="228">
        <v>31.1</v>
      </c>
      <c r="T121" s="229">
        <v>8.0999999999999996E-3</v>
      </c>
      <c r="U121" s="231">
        <v>3911.6</v>
      </c>
      <c r="V121" s="231">
        <v>3879.8</v>
      </c>
      <c r="W121" s="228">
        <v>31.8</v>
      </c>
      <c r="X121" s="229">
        <v>8.2000000000000007E-3</v>
      </c>
      <c r="Y121" s="228">
        <v>4.9000000000000004</v>
      </c>
      <c r="Z121" s="228">
        <v>7.9</v>
      </c>
      <c r="AA121" s="228">
        <v>-3</v>
      </c>
      <c r="AB121" s="229">
        <v>1.2999999999999999E-3</v>
      </c>
      <c r="AC121" s="228">
        <v>4.9000000000000004</v>
      </c>
      <c r="AD121" s="228">
        <v>7.9</v>
      </c>
      <c r="AE121" s="228">
        <v>-3</v>
      </c>
      <c r="AF121" s="229">
        <v>1.2999999999999999E-3</v>
      </c>
      <c r="AG121" s="228">
        <v>26.8</v>
      </c>
      <c r="AH121" s="228">
        <v>28.8</v>
      </c>
      <c r="AI121" s="228">
        <v>-2</v>
      </c>
      <c r="AJ121" s="229">
        <v>6.8999999999999999E-3</v>
      </c>
      <c r="AK121" s="228">
        <v>49.8</v>
      </c>
      <c r="AL121" s="228">
        <v>51.1</v>
      </c>
      <c r="AM121" s="228">
        <v>-1.3</v>
      </c>
      <c r="AN121" s="229">
        <v>1.29E-2</v>
      </c>
      <c r="AO121" s="231">
        <v>3867.7</v>
      </c>
      <c r="AP121" s="231">
        <v>3888.68</v>
      </c>
      <c r="AQ121" s="228">
        <v>0</v>
      </c>
      <c r="AR121" s="230">
        <v>2525075</v>
      </c>
      <c r="AS121" s="230">
        <v>3137925</v>
      </c>
      <c r="AT121" s="230">
        <v>-612850</v>
      </c>
      <c r="AU121" s="229">
        <v>-0.1953</v>
      </c>
      <c r="AV121" s="230">
        <v>2266950</v>
      </c>
      <c r="AW121" s="230">
        <v>2782150</v>
      </c>
      <c r="AX121" s="230">
        <v>-515200</v>
      </c>
      <c r="AY121" s="229">
        <v>-0.1852</v>
      </c>
      <c r="AZ121" s="230">
        <v>244650</v>
      </c>
      <c r="BA121" s="230">
        <v>336350</v>
      </c>
      <c r="BB121" s="230">
        <v>-91700</v>
      </c>
      <c r="BC121" s="229">
        <v>-0.27260000000000001</v>
      </c>
      <c r="BD121" s="230">
        <v>13475</v>
      </c>
      <c r="BE121" s="230">
        <v>19425</v>
      </c>
      <c r="BF121" s="230">
        <v>-5950</v>
      </c>
      <c r="BG121" s="229">
        <v>-0.30630000000000002</v>
      </c>
      <c r="BH121" s="230">
        <v>12519675</v>
      </c>
      <c r="BI121" s="230">
        <v>17579800</v>
      </c>
      <c r="BJ121" s="230">
        <v>-5060125</v>
      </c>
      <c r="BK121" s="229">
        <v>-0.2878</v>
      </c>
      <c r="BL121" s="230">
        <v>7265125</v>
      </c>
      <c r="BM121" s="230">
        <v>8999025</v>
      </c>
      <c r="BN121" s="230">
        <v>-1733900</v>
      </c>
      <c r="BO121" s="229">
        <v>-0.19270000000000001</v>
      </c>
      <c r="BP121" s="230">
        <v>22309875</v>
      </c>
      <c r="BQ121" s="230">
        <v>29716750</v>
      </c>
      <c r="BR121" s="230">
        <v>-7406875</v>
      </c>
      <c r="BS121" s="229">
        <v>-0.2492</v>
      </c>
      <c r="BT121" s="230">
        <v>2646465</v>
      </c>
      <c r="BU121" s="230">
        <v>2795852</v>
      </c>
      <c r="BV121" s="230">
        <v>-149387</v>
      </c>
      <c r="BW121" s="229">
        <v>-5.3400000000000003E-2</v>
      </c>
      <c r="BX121" s="230">
        <v>15795850</v>
      </c>
      <c r="BY121" s="230">
        <v>15737225</v>
      </c>
      <c r="BZ121" s="230">
        <v>58625</v>
      </c>
      <c r="CA121" s="229">
        <v>3.7000000000000002E-3</v>
      </c>
      <c r="CB121" s="230">
        <v>14962850</v>
      </c>
      <c r="CC121" s="230">
        <v>15002575</v>
      </c>
      <c r="CD121" s="230">
        <v>-39725</v>
      </c>
      <c r="CE121" s="229">
        <v>-2.5999999999999999E-3</v>
      </c>
      <c r="CF121" s="230">
        <v>597800</v>
      </c>
      <c r="CG121" s="230">
        <v>502250</v>
      </c>
      <c r="CH121" s="230">
        <v>95550</v>
      </c>
      <c r="CI121" s="229">
        <v>0.19020000000000001</v>
      </c>
      <c r="CJ121" s="230">
        <v>235200</v>
      </c>
      <c r="CK121" s="230">
        <v>232400</v>
      </c>
      <c r="CL121" s="230">
        <v>2800</v>
      </c>
      <c r="CM121" s="229">
        <v>1.2E-2</v>
      </c>
      <c r="CN121" s="230">
        <v>7810250</v>
      </c>
      <c r="CO121" s="230">
        <v>7855050</v>
      </c>
      <c r="CP121" s="230">
        <v>-44800</v>
      </c>
      <c r="CQ121" s="229">
        <v>-5.7000000000000002E-3</v>
      </c>
      <c r="CR121" s="230">
        <v>4865525</v>
      </c>
      <c r="CS121" s="230">
        <v>4304125</v>
      </c>
      <c r="CT121" s="230">
        <v>561400</v>
      </c>
      <c r="CU121" s="229">
        <v>0.13039999999999999</v>
      </c>
      <c r="CV121" s="230">
        <v>28471625</v>
      </c>
      <c r="CW121" s="230">
        <v>27896400</v>
      </c>
      <c r="CX121" s="230">
        <v>575225</v>
      </c>
      <c r="CY121" s="229">
        <v>2.06E-2</v>
      </c>
      <c r="CZ121" s="228">
        <v>14.38</v>
      </c>
      <c r="DA121" s="228">
        <v>16.04</v>
      </c>
      <c r="DB121" s="228">
        <v>-1.66</v>
      </c>
      <c r="DC121" s="228">
        <v>-1.66</v>
      </c>
      <c r="DD121" s="228">
        <v>28.01</v>
      </c>
      <c r="DE121" s="228">
        <v>28.06</v>
      </c>
      <c r="DF121" s="228">
        <v>-13.63</v>
      </c>
      <c r="DG121" s="228">
        <v>-0.05</v>
      </c>
      <c r="DH121" s="228">
        <v>14.07</v>
      </c>
      <c r="DI121" s="228">
        <v>15.55</v>
      </c>
      <c r="DJ121" s="228">
        <v>-1.48</v>
      </c>
      <c r="DK121" s="228">
        <v>-1.48</v>
      </c>
      <c r="DL121" s="228">
        <v>14.91</v>
      </c>
      <c r="DM121" s="228">
        <v>17.010000000000002</v>
      </c>
      <c r="DN121" s="228">
        <v>-2.1</v>
      </c>
      <c r="DO121" s="228">
        <v>-2.1</v>
      </c>
      <c r="DP121" s="228">
        <v>0.62</v>
      </c>
      <c r="DQ121" s="228">
        <v>0.55000000000000004</v>
      </c>
      <c r="DR121" s="228">
        <v>7.0000000000000007E-2</v>
      </c>
      <c r="DS121" s="229">
        <v>0.1273</v>
      </c>
      <c r="DT121" s="231">
        <v>3800</v>
      </c>
      <c r="DU121" s="231">
        <v>3800</v>
      </c>
      <c r="DV121" s="228">
        <v>0.57999999999999996</v>
      </c>
      <c r="DW121" s="228">
        <v>0.51</v>
      </c>
      <c r="DX121" s="228">
        <v>7.0000000000000007E-2</v>
      </c>
      <c r="DY121" s="229">
        <v>0.13730000000000001</v>
      </c>
      <c r="DZ121" s="229">
        <v>5.2699999999999997E-2</v>
      </c>
      <c r="EA121" s="230">
        <v>734650</v>
      </c>
      <c r="EB121" s="229">
        <v>5.7000000000000002E-3</v>
      </c>
      <c r="EC121" s="229">
        <v>5.2699999999999997E-2</v>
      </c>
      <c r="ED121" s="228">
        <v>20.98</v>
      </c>
      <c r="EE121" s="229">
        <v>5.4000000000000003E-3</v>
      </c>
      <c r="EF121" s="230">
        <v>1514656</v>
      </c>
      <c r="EG121" s="230">
        <v>1782309</v>
      </c>
      <c r="EH121" s="229">
        <v>-0.1502</v>
      </c>
      <c r="EI121" s="229">
        <v>0.57230000000000003</v>
      </c>
      <c r="EJ121" s="231">
        <v>492696.06</v>
      </c>
      <c r="EK121" s="231">
        <v>277214.75</v>
      </c>
      <c r="EL121" s="231">
        <v>97718.97</v>
      </c>
      <c r="EM121" s="231">
        <v>11813</v>
      </c>
      <c r="EN121" s="231">
        <v>867629.78</v>
      </c>
      <c r="EO121" s="231">
        <v>1145111.1599999999</v>
      </c>
      <c r="EP121" s="231">
        <v>-277481.38</v>
      </c>
      <c r="EQ121" s="229">
        <v>-0.24229999999999999</v>
      </c>
      <c r="ER121" s="231">
        <v>302479</v>
      </c>
      <c r="ES121" s="231">
        <v>180713</v>
      </c>
      <c r="ET121" s="231">
        <v>611015</v>
      </c>
      <c r="EU121" s="231">
        <v>136007303</v>
      </c>
      <c r="EV121" s="231">
        <v>1094207</v>
      </c>
      <c r="EW121" s="231">
        <v>1066913</v>
      </c>
      <c r="EX121" s="231">
        <v>27294</v>
      </c>
      <c r="EY121" s="229">
        <v>2.5600000000000001E-2</v>
      </c>
      <c r="EZ121" s="229">
        <v>0.20930000000000001</v>
      </c>
      <c r="FA121" s="227" t="s">
        <v>555</v>
      </c>
      <c r="FB121" s="161">
        <f t="shared" si="1"/>
        <v>833000</v>
      </c>
    </row>
    <row r="122" spans="1:158" ht="17.25" hidden="1" thickBot="1" x14ac:dyDescent="0.3">
      <c r="A122" s="226">
        <v>45946</v>
      </c>
      <c r="B122" s="227" t="s">
        <v>175</v>
      </c>
      <c r="C122" s="227" t="s">
        <v>565</v>
      </c>
      <c r="D122" s="228">
        <v>4462</v>
      </c>
      <c r="E122" s="228">
        <v>269.57</v>
      </c>
      <c r="F122" s="228">
        <v>272.06</v>
      </c>
      <c r="G122" s="228">
        <v>-2.4900000000000002</v>
      </c>
      <c r="H122" s="229">
        <v>-9.1999999999999998E-3</v>
      </c>
      <c r="I122" s="228">
        <v>269.19</v>
      </c>
      <c r="J122" s="228">
        <v>271.55</v>
      </c>
      <c r="K122" s="228">
        <v>-2.36</v>
      </c>
      <c r="L122" s="229">
        <v>-8.6999999999999994E-3</v>
      </c>
      <c r="M122" s="228">
        <v>269.57</v>
      </c>
      <c r="N122" s="228">
        <v>272.06</v>
      </c>
      <c r="O122" s="228">
        <v>-2.4900000000000002</v>
      </c>
      <c r="P122" s="229">
        <v>-9.1999999999999998E-3</v>
      </c>
      <c r="Q122" s="228">
        <v>270.45</v>
      </c>
      <c r="R122" s="228">
        <v>272.88</v>
      </c>
      <c r="S122" s="228">
        <v>-2.4300000000000002</v>
      </c>
      <c r="T122" s="229">
        <v>-8.8999999999999999E-3</v>
      </c>
      <c r="U122" s="228">
        <v>271.39999999999998</v>
      </c>
      <c r="V122" s="228">
        <v>273.66000000000003</v>
      </c>
      <c r="W122" s="228">
        <v>-2.2599999999999998</v>
      </c>
      <c r="X122" s="229">
        <v>-8.3000000000000001E-3</v>
      </c>
      <c r="Y122" s="228">
        <v>0.38</v>
      </c>
      <c r="Z122" s="228">
        <v>0.51</v>
      </c>
      <c r="AA122" s="228">
        <v>-0.13</v>
      </c>
      <c r="AB122" s="229">
        <v>1.4E-3</v>
      </c>
      <c r="AC122" s="228">
        <v>0.38</v>
      </c>
      <c r="AD122" s="228">
        <v>0.51</v>
      </c>
      <c r="AE122" s="228">
        <v>-0.13</v>
      </c>
      <c r="AF122" s="229">
        <v>1.4E-3</v>
      </c>
      <c r="AG122" s="228">
        <v>1.26</v>
      </c>
      <c r="AH122" s="228">
        <v>1.33</v>
      </c>
      <c r="AI122" s="228">
        <v>-7.0000000000000007E-2</v>
      </c>
      <c r="AJ122" s="229">
        <v>4.7000000000000002E-3</v>
      </c>
      <c r="AK122" s="228">
        <v>2.21</v>
      </c>
      <c r="AL122" s="228">
        <v>2.11</v>
      </c>
      <c r="AM122" s="228">
        <v>0.1</v>
      </c>
      <c r="AN122" s="229">
        <v>8.2000000000000007E-3</v>
      </c>
      <c r="AO122" s="228">
        <v>269.93</v>
      </c>
      <c r="AP122" s="228">
        <v>270.99</v>
      </c>
      <c r="AQ122" s="228">
        <v>0</v>
      </c>
      <c r="AR122" s="230">
        <v>35513058</v>
      </c>
      <c r="AS122" s="230">
        <v>20208398</v>
      </c>
      <c r="AT122" s="230">
        <v>15304660</v>
      </c>
      <c r="AU122" s="229">
        <v>0.75729999999999997</v>
      </c>
      <c r="AV122" s="230">
        <v>29605370</v>
      </c>
      <c r="AW122" s="230">
        <v>17571356</v>
      </c>
      <c r="AX122" s="230">
        <v>12034014</v>
      </c>
      <c r="AY122" s="229">
        <v>0.68489999999999995</v>
      </c>
      <c r="AZ122" s="230">
        <v>5510570</v>
      </c>
      <c r="BA122" s="230">
        <v>2400556</v>
      </c>
      <c r="BB122" s="230">
        <v>3110014</v>
      </c>
      <c r="BC122" s="229">
        <v>1.2955000000000001</v>
      </c>
      <c r="BD122" s="230">
        <v>397118</v>
      </c>
      <c r="BE122" s="230">
        <v>236486</v>
      </c>
      <c r="BF122" s="230">
        <v>160632</v>
      </c>
      <c r="BG122" s="229">
        <v>0.67920000000000003</v>
      </c>
      <c r="BH122" s="230">
        <v>151743696</v>
      </c>
      <c r="BI122" s="230">
        <v>83782974</v>
      </c>
      <c r="BJ122" s="230">
        <v>67960722</v>
      </c>
      <c r="BK122" s="229">
        <v>0.81120000000000003</v>
      </c>
      <c r="BL122" s="230">
        <v>98177386</v>
      </c>
      <c r="BM122" s="230">
        <v>47649698</v>
      </c>
      <c r="BN122" s="230">
        <v>50527688</v>
      </c>
      <c r="BO122" s="229">
        <v>1.0604</v>
      </c>
      <c r="BP122" s="230">
        <v>285434140</v>
      </c>
      <c r="BQ122" s="230">
        <v>151641070</v>
      </c>
      <c r="BR122" s="230">
        <v>133793070</v>
      </c>
      <c r="BS122" s="229">
        <v>0.88229999999999997</v>
      </c>
      <c r="BT122" s="230">
        <v>11901851</v>
      </c>
      <c r="BU122" s="230">
        <v>8121493</v>
      </c>
      <c r="BV122" s="230">
        <v>3780358</v>
      </c>
      <c r="BW122" s="229">
        <v>0.46550000000000002</v>
      </c>
      <c r="BX122" s="230">
        <v>49711142</v>
      </c>
      <c r="BY122" s="230">
        <v>50349208</v>
      </c>
      <c r="BZ122" s="230">
        <v>-638066</v>
      </c>
      <c r="CA122" s="229">
        <v>-1.2699999999999999E-2</v>
      </c>
      <c r="CB122" s="230">
        <v>45797968</v>
      </c>
      <c r="CC122" s="230">
        <v>47395364</v>
      </c>
      <c r="CD122" s="230">
        <v>-1597396</v>
      </c>
      <c r="CE122" s="229">
        <v>-3.3700000000000001E-2</v>
      </c>
      <c r="CF122" s="230">
        <v>3480360</v>
      </c>
      <c r="CG122" s="230">
        <v>2561188</v>
      </c>
      <c r="CH122" s="230">
        <v>919172</v>
      </c>
      <c r="CI122" s="229">
        <v>0.3589</v>
      </c>
      <c r="CJ122" s="230">
        <v>432814</v>
      </c>
      <c r="CK122" s="230">
        <v>392656</v>
      </c>
      <c r="CL122" s="230">
        <v>40158</v>
      </c>
      <c r="CM122" s="229">
        <v>0.1023</v>
      </c>
      <c r="CN122" s="230">
        <v>36003878</v>
      </c>
      <c r="CO122" s="230">
        <v>33902276</v>
      </c>
      <c r="CP122" s="230">
        <v>2101602</v>
      </c>
      <c r="CQ122" s="229">
        <v>6.2E-2</v>
      </c>
      <c r="CR122" s="230">
        <v>35535368</v>
      </c>
      <c r="CS122" s="230">
        <v>33656866</v>
      </c>
      <c r="CT122" s="230">
        <v>1878502</v>
      </c>
      <c r="CU122" s="229">
        <v>5.5800000000000002E-2</v>
      </c>
      <c r="CV122" s="230">
        <v>121250388</v>
      </c>
      <c r="CW122" s="230">
        <v>117908350</v>
      </c>
      <c r="CX122" s="230">
        <v>3342038</v>
      </c>
      <c r="CY122" s="229">
        <v>2.8299999999999999E-2</v>
      </c>
      <c r="CZ122" s="228">
        <v>29.43</v>
      </c>
      <c r="DA122" s="228">
        <v>36.520000000000003</v>
      </c>
      <c r="DB122" s="228">
        <v>-7.09</v>
      </c>
      <c r="DC122" s="228">
        <v>-7.09</v>
      </c>
      <c r="DD122" s="228">
        <v>38.9</v>
      </c>
      <c r="DE122" s="228">
        <v>38.979999999999997</v>
      </c>
      <c r="DF122" s="228">
        <v>-9.4700000000000006</v>
      </c>
      <c r="DG122" s="228">
        <v>-0.08</v>
      </c>
      <c r="DH122" s="228">
        <v>28.55</v>
      </c>
      <c r="DI122" s="228">
        <v>34.74</v>
      </c>
      <c r="DJ122" s="228">
        <v>-6.19</v>
      </c>
      <c r="DK122" s="228">
        <v>-6.19</v>
      </c>
      <c r="DL122" s="228">
        <v>30.78</v>
      </c>
      <c r="DM122" s="228">
        <v>39.65</v>
      </c>
      <c r="DN122" s="228">
        <v>-8.8699999999999992</v>
      </c>
      <c r="DO122" s="228">
        <v>-8.8699999999999992</v>
      </c>
      <c r="DP122" s="228">
        <v>0.99</v>
      </c>
      <c r="DQ122" s="228">
        <v>0.99</v>
      </c>
      <c r="DR122" s="228">
        <v>0</v>
      </c>
      <c r="DS122" s="229">
        <v>0</v>
      </c>
      <c r="DT122" s="228">
        <v>280</v>
      </c>
      <c r="DU122" s="228">
        <v>250</v>
      </c>
      <c r="DV122" s="228">
        <v>0.65</v>
      </c>
      <c r="DW122" s="228">
        <v>0.56999999999999995</v>
      </c>
      <c r="DX122" s="228">
        <v>0.08</v>
      </c>
      <c r="DY122" s="229">
        <v>0.1404</v>
      </c>
      <c r="DZ122" s="229">
        <v>7.8700000000000006E-2</v>
      </c>
      <c r="EA122" s="230">
        <v>2953844</v>
      </c>
      <c r="EB122" s="229">
        <v>3.3E-3</v>
      </c>
      <c r="EC122" s="229">
        <v>7.8700000000000006E-2</v>
      </c>
      <c r="ED122" s="228">
        <v>1.06</v>
      </c>
      <c r="EE122" s="229">
        <v>3.8999999999999998E-3</v>
      </c>
      <c r="EF122" s="230">
        <v>3511840</v>
      </c>
      <c r="EG122" s="230">
        <v>2794053</v>
      </c>
      <c r="EH122" s="229">
        <v>0.25690000000000002</v>
      </c>
      <c r="EI122" s="229">
        <v>0.29509999999999997</v>
      </c>
      <c r="EJ122" s="231">
        <v>424876.48</v>
      </c>
      <c r="EK122" s="231">
        <v>259672.19</v>
      </c>
      <c r="EL122" s="231">
        <v>95930.33</v>
      </c>
      <c r="EM122" s="231">
        <v>3866</v>
      </c>
      <c r="EN122" s="231">
        <v>780479</v>
      </c>
      <c r="EO122" s="231">
        <v>413603.76</v>
      </c>
      <c r="EP122" s="231">
        <v>366875.24</v>
      </c>
      <c r="EQ122" s="229">
        <v>0.88700000000000001</v>
      </c>
      <c r="ER122" s="231">
        <v>97655</v>
      </c>
      <c r="ES122" s="231">
        <v>88041</v>
      </c>
      <c r="ET122" s="231">
        <v>134045</v>
      </c>
      <c r="EU122" s="231">
        <v>126777205</v>
      </c>
      <c r="EV122" s="231">
        <v>319740</v>
      </c>
      <c r="EW122" s="231">
        <v>311574</v>
      </c>
      <c r="EX122" s="231">
        <v>8166</v>
      </c>
      <c r="EY122" s="229">
        <v>2.6200000000000001E-2</v>
      </c>
      <c r="EZ122" s="229">
        <v>0.95640000000000003</v>
      </c>
      <c r="FA122" s="227" t="s">
        <v>568</v>
      </c>
      <c r="FB122" s="161">
        <f t="shared" si="1"/>
        <v>3913174</v>
      </c>
    </row>
    <row r="123" spans="1:158" ht="17.25" hidden="1" thickBot="1" x14ac:dyDescent="0.3">
      <c r="A123" s="226">
        <v>45946</v>
      </c>
      <c r="B123" s="227" t="s">
        <v>221</v>
      </c>
      <c r="C123" s="227" t="s">
        <v>561</v>
      </c>
      <c r="D123" s="228">
        <v>150</v>
      </c>
      <c r="E123" s="231">
        <v>5619</v>
      </c>
      <c r="F123" s="231">
        <v>5611</v>
      </c>
      <c r="G123" s="228">
        <v>8</v>
      </c>
      <c r="H123" s="229">
        <v>1.4E-3</v>
      </c>
      <c r="I123" s="231">
        <v>5622.5</v>
      </c>
      <c r="J123" s="231">
        <v>5609.5</v>
      </c>
      <c r="K123" s="228">
        <v>13</v>
      </c>
      <c r="L123" s="229">
        <v>2.3E-3</v>
      </c>
      <c r="M123" s="231">
        <v>5619</v>
      </c>
      <c r="N123" s="231">
        <v>5611</v>
      </c>
      <c r="O123" s="228">
        <v>8</v>
      </c>
      <c r="P123" s="229">
        <v>1.4E-3</v>
      </c>
      <c r="Q123" s="231">
        <v>5585.5</v>
      </c>
      <c r="R123" s="231">
        <v>5576</v>
      </c>
      <c r="S123" s="228">
        <v>9.5</v>
      </c>
      <c r="T123" s="229">
        <v>1.6999999999999999E-3</v>
      </c>
      <c r="U123" s="231">
        <v>5560</v>
      </c>
      <c r="V123" s="231">
        <v>5567</v>
      </c>
      <c r="W123" s="228">
        <v>-7</v>
      </c>
      <c r="X123" s="229">
        <v>-1.2999999999999999E-3</v>
      </c>
      <c r="Y123" s="228">
        <v>-3.5</v>
      </c>
      <c r="Z123" s="228">
        <v>1.5</v>
      </c>
      <c r="AA123" s="228">
        <v>-5</v>
      </c>
      <c r="AB123" s="229">
        <v>-5.9999999999999995E-4</v>
      </c>
      <c r="AC123" s="228">
        <v>-3.5</v>
      </c>
      <c r="AD123" s="228">
        <v>1.5</v>
      </c>
      <c r="AE123" s="228">
        <v>-5</v>
      </c>
      <c r="AF123" s="229">
        <v>-5.9999999999999995E-4</v>
      </c>
      <c r="AG123" s="228">
        <v>-37</v>
      </c>
      <c r="AH123" s="228">
        <v>-33.5</v>
      </c>
      <c r="AI123" s="228">
        <v>-3.5</v>
      </c>
      <c r="AJ123" s="229">
        <v>-6.6E-3</v>
      </c>
      <c r="AK123" s="228">
        <v>-62.5</v>
      </c>
      <c r="AL123" s="228">
        <v>-42.5</v>
      </c>
      <c r="AM123" s="228">
        <v>-20</v>
      </c>
      <c r="AN123" s="229">
        <v>-1.11E-2</v>
      </c>
      <c r="AO123" s="231">
        <v>5632.98</v>
      </c>
      <c r="AP123" s="231">
        <v>5594.71</v>
      </c>
      <c r="AQ123" s="228">
        <v>0</v>
      </c>
      <c r="AR123" s="230">
        <v>866550</v>
      </c>
      <c r="AS123" s="230">
        <v>1196250</v>
      </c>
      <c r="AT123" s="230">
        <v>-329700</v>
      </c>
      <c r="AU123" s="229">
        <v>-0.27560000000000001</v>
      </c>
      <c r="AV123" s="230">
        <v>759900</v>
      </c>
      <c r="AW123" s="230">
        <v>1106100</v>
      </c>
      <c r="AX123" s="230">
        <v>-346200</v>
      </c>
      <c r="AY123" s="229">
        <v>-0.313</v>
      </c>
      <c r="AZ123" s="230">
        <v>104850</v>
      </c>
      <c r="BA123" s="230">
        <v>87600</v>
      </c>
      <c r="BB123" s="230">
        <v>17250</v>
      </c>
      <c r="BC123" s="229">
        <v>0.19689999999999999</v>
      </c>
      <c r="BD123" s="230">
        <v>1800</v>
      </c>
      <c r="BE123" s="230">
        <v>2550</v>
      </c>
      <c r="BF123" s="228">
        <v>-750</v>
      </c>
      <c r="BG123" s="229">
        <v>-0.29409999999999997</v>
      </c>
      <c r="BH123" s="230">
        <v>3187800</v>
      </c>
      <c r="BI123" s="230">
        <v>4129500</v>
      </c>
      <c r="BJ123" s="230">
        <v>-941700</v>
      </c>
      <c r="BK123" s="229">
        <v>-0.22800000000000001</v>
      </c>
      <c r="BL123" s="230">
        <v>1488900</v>
      </c>
      <c r="BM123" s="230">
        <v>1333650</v>
      </c>
      <c r="BN123" s="230">
        <v>155250</v>
      </c>
      <c r="BO123" s="229">
        <v>0.1164</v>
      </c>
      <c r="BP123" s="230">
        <v>5543250</v>
      </c>
      <c r="BQ123" s="230">
        <v>6659400</v>
      </c>
      <c r="BR123" s="230">
        <v>-1116150</v>
      </c>
      <c r="BS123" s="229">
        <v>-0.1676</v>
      </c>
      <c r="BT123" s="230">
        <v>240906</v>
      </c>
      <c r="BU123" s="230">
        <v>353782</v>
      </c>
      <c r="BV123" s="230">
        <v>-112876</v>
      </c>
      <c r="BW123" s="229">
        <v>-0.31909999999999999</v>
      </c>
      <c r="BX123" s="230">
        <v>3146400</v>
      </c>
      <c r="BY123" s="230">
        <v>3223050</v>
      </c>
      <c r="BZ123" s="230">
        <v>-76650</v>
      </c>
      <c r="CA123" s="229">
        <v>-2.3800000000000002E-2</v>
      </c>
      <c r="CB123" s="230">
        <v>2910000</v>
      </c>
      <c r="CC123" s="230">
        <v>3029700</v>
      </c>
      <c r="CD123" s="230">
        <v>-119700</v>
      </c>
      <c r="CE123" s="229">
        <v>-3.95E-2</v>
      </c>
      <c r="CF123" s="230">
        <v>229800</v>
      </c>
      <c r="CG123" s="230">
        <v>187350</v>
      </c>
      <c r="CH123" s="230">
        <v>42450</v>
      </c>
      <c r="CI123" s="229">
        <v>0.2266</v>
      </c>
      <c r="CJ123" s="230">
        <v>6600</v>
      </c>
      <c r="CK123" s="230">
        <v>6000</v>
      </c>
      <c r="CL123" s="228">
        <v>600</v>
      </c>
      <c r="CM123" s="229">
        <v>0.1</v>
      </c>
      <c r="CN123" s="230">
        <v>1373250</v>
      </c>
      <c r="CO123" s="230">
        <v>971700</v>
      </c>
      <c r="CP123" s="230">
        <v>401550</v>
      </c>
      <c r="CQ123" s="229">
        <v>0.41320000000000001</v>
      </c>
      <c r="CR123" s="230">
        <v>900450</v>
      </c>
      <c r="CS123" s="230">
        <v>713700</v>
      </c>
      <c r="CT123" s="230">
        <v>186750</v>
      </c>
      <c r="CU123" s="229">
        <v>0.26169999999999999</v>
      </c>
      <c r="CV123" s="230">
        <v>5420100</v>
      </c>
      <c r="CW123" s="230">
        <v>4908450</v>
      </c>
      <c r="CX123" s="230">
        <v>511650</v>
      </c>
      <c r="CY123" s="229">
        <v>0.1042</v>
      </c>
      <c r="CZ123" s="228">
        <v>36.159999999999997</v>
      </c>
      <c r="DA123" s="228">
        <v>33.909999999999997</v>
      </c>
      <c r="DB123" s="228">
        <v>2.25</v>
      </c>
      <c r="DC123" s="228">
        <v>2.25</v>
      </c>
      <c r="DD123" s="228">
        <v>33.86</v>
      </c>
      <c r="DE123" s="228">
        <v>33.950000000000003</v>
      </c>
      <c r="DF123" s="228">
        <v>2.2999999999999998</v>
      </c>
      <c r="DG123" s="228">
        <v>-0.09</v>
      </c>
      <c r="DH123" s="228">
        <v>36.31</v>
      </c>
      <c r="DI123" s="228">
        <v>33.68</v>
      </c>
      <c r="DJ123" s="228">
        <v>2.63</v>
      </c>
      <c r="DK123" s="228">
        <v>2.63</v>
      </c>
      <c r="DL123" s="228">
        <v>35.840000000000003</v>
      </c>
      <c r="DM123" s="228">
        <v>34.619999999999997</v>
      </c>
      <c r="DN123" s="228">
        <v>1.22</v>
      </c>
      <c r="DO123" s="228">
        <v>1.22</v>
      </c>
      <c r="DP123" s="228">
        <v>0.66</v>
      </c>
      <c r="DQ123" s="228">
        <v>0.73</v>
      </c>
      <c r="DR123" s="228">
        <v>-7.0000000000000007E-2</v>
      </c>
      <c r="DS123" s="229">
        <v>-9.5899999999999999E-2</v>
      </c>
      <c r="DT123" s="231">
        <v>5600</v>
      </c>
      <c r="DU123" s="231">
        <v>5000</v>
      </c>
      <c r="DV123" s="228">
        <v>0.47</v>
      </c>
      <c r="DW123" s="228">
        <v>0.32</v>
      </c>
      <c r="DX123" s="228">
        <v>0.15</v>
      </c>
      <c r="DY123" s="229">
        <v>0.46870000000000001</v>
      </c>
      <c r="DZ123" s="229">
        <v>7.51E-2</v>
      </c>
      <c r="EA123" s="230">
        <v>193350</v>
      </c>
      <c r="EB123" s="229">
        <v>-6.0000000000000001E-3</v>
      </c>
      <c r="EC123" s="229">
        <v>7.51E-2</v>
      </c>
      <c r="ED123" s="228">
        <v>-38.270000000000003</v>
      </c>
      <c r="EE123" s="229">
        <v>-6.7999999999999996E-3</v>
      </c>
      <c r="EF123" s="230">
        <v>104934</v>
      </c>
      <c r="EG123" s="230">
        <v>144962</v>
      </c>
      <c r="EH123" s="229">
        <v>-0.27610000000000001</v>
      </c>
      <c r="EI123" s="229">
        <v>0.43559999999999999</v>
      </c>
      <c r="EJ123" s="231">
        <v>187808.38</v>
      </c>
      <c r="EK123" s="231">
        <v>80519.27</v>
      </c>
      <c r="EL123" s="231">
        <v>48771.55</v>
      </c>
      <c r="EM123" s="231">
        <v>6055</v>
      </c>
      <c r="EN123" s="231">
        <v>317099.2</v>
      </c>
      <c r="EO123" s="231">
        <v>379221.04</v>
      </c>
      <c r="EP123" s="231">
        <v>-62121.84</v>
      </c>
      <c r="EQ123" s="229">
        <v>-0.1638</v>
      </c>
      <c r="ER123" s="231">
        <v>78919</v>
      </c>
      <c r="ES123" s="231">
        <v>46613</v>
      </c>
      <c r="ET123" s="231">
        <v>176715</v>
      </c>
      <c r="EU123" s="231">
        <v>9315942</v>
      </c>
      <c r="EV123" s="231">
        <v>302247</v>
      </c>
      <c r="EW123" s="231">
        <v>272374</v>
      </c>
      <c r="EX123" s="231">
        <v>29873</v>
      </c>
      <c r="EY123" s="229">
        <v>0.10970000000000001</v>
      </c>
      <c r="EZ123" s="229">
        <v>0.58179999999999998</v>
      </c>
      <c r="FA123" s="227" t="s">
        <v>556</v>
      </c>
      <c r="FB123" s="161">
        <f t="shared" si="1"/>
        <v>236400</v>
      </c>
    </row>
    <row r="124" spans="1:158" ht="17.25" hidden="1" thickBot="1" x14ac:dyDescent="0.3">
      <c r="A124" s="226">
        <v>45946</v>
      </c>
      <c r="B124" s="227" t="s">
        <v>170</v>
      </c>
      <c r="C124" s="227" t="s">
        <v>250</v>
      </c>
      <c r="D124" s="228">
        <v>425</v>
      </c>
      <c r="E124" s="231">
        <v>1958.9</v>
      </c>
      <c r="F124" s="231">
        <v>1947.4</v>
      </c>
      <c r="G124" s="228">
        <v>11.5</v>
      </c>
      <c r="H124" s="229">
        <v>5.8999999999999999E-3</v>
      </c>
      <c r="I124" s="231">
        <v>1951.2</v>
      </c>
      <c r="J124" s="231">
        <v>1940.5</v>
      </c>
      <c r="K124" s="228">
        <v>10.7</v>
      </c>
      <c r="L124" s="229">
        <v>5.4999999999999997E-3</v>
      </c>
      <c r="M124" s="231">
        <v>1958.9</v>
      </c>
      <c r="N124" s="231">
        <v>1947.4</v>
      </c>
      <c r="O124" s="228">
        <v>11.5</v>
      </c>
      <c r="P124" s="229">
        <v>5.8999999999999999E-3</v>
      </c>
      <c r="Q124" s="231">
        <v>1969.8</v>
      </c>
      <c r="R124" s="231">
        <v>1958</v>
      </c>
      <c r="S124" s="228">
        <v>11.8</v>
      </c>
      <c r="T124" s="229">
        <v>6.0000000000000001E-3</v>
      </c>
      <c r="U124" s="231">
        <v>1982.2</v>
      </c>
      <c r="V124" s="231">
        <v>1969.9</v>
      </c>
      <c r="W124" s="228">
        <v>12.3</v>
      </c>
      <c r="X124" s="229">
        <v>6.1999999999999998E-3</v>
      </c>
      <c r="Y124" s="228">
        <v>7.7</v>
      </c>
      <c r="Z124" s="228">
        <v>6.9</v>
      </c>
      <c r="AA124" s="228">
        <v>0.8</v>
      </c>
      <c r="AB124" s="229">
        <v>3.8999999999999998E-3</v>
      </c>
      <c r="AC124" s="228">
        <v>7.7</v>
      </c>
      <c r="AD124" s="228">
        <v>6.9</v>
      </c>
      <c r="AE124" s="228">
        <v>0.8</v>
      </c>
      <c r="AF124" s="229">
        <v>3.8999999999999998E-3</v>
      </c>
      <c r="AG124" s="228">
        <v>18.600000000000001</v>
      </c>
      <c r="AH124" s="228">
        <v>17.5</v>
      </c>
      <c r="AI124" s="228">
        <v>1.1000000000000001</v>
      </c>
      <c r="AJ124" s="229">
        <v>9.4999999999999998E-3</v>
      </c>
      <c r="AK124" s="228">
        <v>31</v>
      </c>
      <c r="AL124" s="228">
        <v>29.4</v>
      </c>
      <c r="AM124" s="228">
        <v>1.6</v>
      </c>
      <c r="AN124" s="229">
        <v>1.5900000000000001E-2</v>
      </c>
      <c r="AO124" s="231">
        <v>1955.33</v>
      </c>
      <c r="AP124" s="231">
        <v>1967.18</v>
      </c>
      <c r="AQ124" s="228">
        <v>0</v>
      </c>
      <c r="AR124" s="230">
        <v>773925</v>
      </c>
      <c r="AS124" s="230">
        <v>923100</v>
      </c>
      <c r="AT124" s="230">
        <v>-149175</v>
      </c>
      <c r="AU124" s="229">
        <v>-0.16159999999999999</v>
      </c>
      <c r="AV124" s="230">
        <v>682550</v>
      </c>
      <c r="AW124" s="230">
        <v>870825</v>
      </c>
      <c r="AX124" s="230">
        <v>-188275</v>
      </c>
      <c r="AY124" s="229">
        <v>-0.2162</v>
      </c>
      <c r="AZ124" s="230">
        <v>85000</v>
      </c>
      <c r="BA124" s="230">
        <v>46750</v>
      </c>
      <c r="BB124" s="230">
        <v>38250</v>
      </c>
      <c r="BC124" s="229">
        <v>0.81820000000000004</v>
      </c>
      <c r="BD124" s="230">
        <v>6375</v>
      </c>
      <c r="BE124" s="230">
        <v>5525</v>
      </c>
      <c r="BF124" s="228">
        <v>850</v>
      </c>
      <c r="BG124" s="229">
        <v>0.15379999999999999</v>
      </c>
      <c r="BH124" s="230">
        <v>2315825</v>
      </c>
      <c r="BI124" s="230">
        <v>2669425</v>
      </c>
      <c r="BJ124" s="230">
        <v>-353600</v>
      </c>
      <c r="BK124" s="229">
        <v>-0.13250000000000001</v>
      </c>
      <c r="BL124" s="230">
        <v>574600</v>
      </c>
      <c r="BM124" s="230">
        <v>911200</v>
      </c>
      <c r="BN124" s="230">
        <v>-336600</v>
      </c>
      <c r="BO124" s="229">
        <v>-0.36940000000000001</v>
      </c>
      <c r="BP124" s="230">
        <v>3664350</v>
      </c>
      <c r="BQ124" s="230">
        <v>4503725</v>
      </c>
      <c r="BR124" s="230">
        <v>-839375</v>
      </c>
      <c r="BS124" s="229">
        <v>-0.18640000000000001</v>
      </c>
      <c r="BT124" s="230">
        <v>382871</v>
      </c>
      <c r="BU124" s="230">
        <v>643674</v>
      </c>
      <c r="BV124" s="230">
        <v>-260803</v>
      </c>
      <c r="BW124" s="229">
        <v>-0.4052</v>
      </c>
      <c r="BX124" s="230">
        <v>11378950</v>
      </c>
      <c r="BY124" s="230">
        <v>11323275</v>
      </c>
      <c r="BZ124" s="230">
        <v>55675</v>
      </c>
      <c r="CA124" s="229">
        <v>4.8999999999999998E-3</v>
      </c>
      <c r="CB124" s="230">
        <v>11120550</v>
      </c>
      <c r="CC124" s="230">
        <v>11109925</v>
      </c>
      <c r="CD124" s="230">
        <v>10625</v>
      </c>
      <c r="CE124" s="229">
        <v>1E-3</v>
      </c>
      <c r="CF124" s="230">
        <v>236725</v>
      </c>
      <c r="CG124" s="230">
        <v>191675</v>
      </c>
      <c r="CH124" s="230">
        <v>45050</v>
      </c>
      <c r="CI124" s="229">
        <v>0.23499999999999999</v>
      </c>
      <c r="CJ124" s="230">
        <v>21675</v>
      </c>
      <c r="CK124" s="230">
        <v>21675</v>
      </c>
      <c r="CL124" s="228">
        <v>0</v>
      </c>
      <c r="CM124" s="229">
        <v>0</v>
      </c>
      <c r="CN124" s="230">
        <v>3762525</v>
      </c>
      <c r="CO124" s="230">
        <v>3762950</v>
      </c>
      <c r="CP124" s="228">
        <v>-425</v>
      </c>
      <c r="CQ124" s="229">
        <v>-1E-4</v>
      </c>
      <c r="CR124" s="230">
        <v>2332400</v>
      </c>
      <c r="CS124" s="230">
        <v>2360875</v>
      </c>
      <c r="CT124" s="230">
        <v>-28475</v>
      </c>
      <c r="CU124" s="229">
        <v>-1.21E-2</v>
      </c>
      <c r="CV124" s="230">
        <v>17473875</v>
      </c>
      <c r="CW124" s="230">
        <v>17447100</v>
      </c>
      <c r="CX124" s="230">
        <v>26775</v>
      </c>
      <c r="CY124" s="229">
        <v>1.5E-3</v>
      </c>
      <c r="CZ124" s="228">
        <v>24.47</v>
      </c>
      <c r="DA124" s="228">
        <v>25.78</v>
      </c>
      <c r="DB124" s="228">
        <v>-1.31</v>
      </c>
      <c r="DC124" s="228">
        <v>-1.31</v>
      </c>
      <c r="DD124" s="228">
        <v>32.409999999999997</v>
      </c>
      <c r="DE124" s="228">
        <v>32.479999999999997</v>
      </c>
      <c r="DF124" s="228">
        <v>-7.94</v>
      </c>
      <c r="DG124" s="228">
        <v>-7.0000000000000007E-2</v>
      </c>
      <c r="DH124" s="228">
        <v>24.49</v>
      </c>
      <c r="DI124" s="228">
        <v>25.82</v>
      </c>
      <c r="DJ124" s="228">
        <v>-1.33</v>
      </c>
      <c r="DK124" s="228">
        <v>-1.33</v>
      </c>
      <c r="DL124" s="228">
        <v>24.4</v>
      </c>
      <c r="DM124" s="228">
        <v>25.67</v>
      </c>
      <c r="DN124" s="228">
        <v>-1.27</v>
      </c>
      <c r="DO124" s="228">
        <v>-1.27</v>
      </c>
      <c r="DP124" s="228">
        <v>0.62</v>
      </c>
      <c r="DQ124" s="228">
        <v>0.63</v>
      </c>
      <c r="DR124" s="228">
        <v>-0.01</v>
      </c>
      <c r="DS124" s="229">
        <v>-1.5900000000000001E-2</v>
      </c>
      <c r="DT124" s="231">
        <v>2000</v>
      </c>
      <c r="DU124" s="231">
        <v>1960</v>
      </c>
      <c r="DV124" s="228">
        <v>0.25</v>
      </c>
      <c r="DW124" s="228">
        <v>0.34</v>
      </c>
      <c r="DX124" s="228">
        <v>-0.09</v>
      </c>
      <c r="DY124" s="229">
        <v>-0.26469999999999999</v>
      </c>
      <c r="DZ124" s="229">
        <v>2.2700000000000001E-2</v>
      </c>
      <c r="EA124" s="230">
        <v>213350</v>
      </c>
      <c r="EB124" s="229">
        <v>5.5999999999999999E-3</v>
      </c>
      <c r="EC124" s="229">
        <v>2.2700000000000001E-2</v>
      </c>
      <c r="ED124" s="228">
        <v>11.85</v>
      </c>
      <c r="EE124" s="229">
        <v>6.1000000000000004E-3</v>
      </c>
      <c r="EF124" s="230">
        <v>237421</v>
      </c>
      <c r="EG124" s="230">
        <v>374791</v>
      </c>
      <c r="EH124" s="229">
        <v>-0.36649999999999999</v>
      </c>
      <c r="EI124" s="229">
        <v>0.62009999999999998</v>
      </c>
      <c r="EJ124" s="231">
        <v>46954.17</v>
      </c>
      <c r="EK124" s="231">
        <v>11043.43</v>
      </c>
      <c r="EL124" s="231">
        <v>15144.28</v>
      </c>
      <c r="EM124" s="231">
        <v>3762</v>
      </c>
      <c r="EN124" s="231">
        <v>73141.88</v>
      </c>
      <c r="EO124" s="231">
        <v>89731.22</v>
      </c>
      <c r="EP124" s="231">
        <v>-16589.34</v>
      </c>
      <c r="EQ124" s="229">
        <v>-0.18490000000000001</v>
      </c>
      <c r="ER124" s="231">
        <v>76647</v>
      </c>
      <c r="ES124" s="231">
        <v>44627</v>
      </c>
      <c r="ET124" s="231">
        <v>222933</v>
      </c>
      <c r="EU124" s="231">
        <v>35341043</v>
      </c>
      <c r="EV124" s="231">
        <v>344207</v>
      </c>
      <c r="EW124" s="231">
        <v>342348</v>
      </c>
      <c r="EX124" s="231">
        <v>1859</v>
      </c>
      <c r="EY124" s="229">
        <v>5.4000000000000003E-3</v>
      </c>
      <c r="EZ124" s="229">
        <v>0.49440000000000001</v>
      </c>
      <c r="FA124" s="227" t="s">
        <v>555</v>
      </c>
      <c r="FB124" s="161">
        <f t="shared" si="1"/>
        <v>258400</v>
      </c>
    </row>
    <row r="125" spans="1:158" ht="17.25" hidden="1" thickBot="1" x14ac:dyDescent="0.3">
      <c r="A125" s="226">
        <v>45946</v>
      </c>
      <c r="B125" s="227" t="s">
        <v>162</v>
      </c>
      <c r="C125" s="227" t="s">
        <v>251</v>
      </c>
      <c r="D125" s="228">
        <v>200</v>
      </c>
      <c r="E125" s="231">
        <v>3567.2</v>
      </c>
      <c r="F125" s="231">
        <v>3501.8</v>
      </c>
      <c r="G125" s="228">
        <v>65.400000000000006</v>
      </c>
      <c r="H125" s="229">
        <v>1.8700000000000001E-2</v>
      </c>
      <c r="I125" s="231">
        <v>3560.8</v>
      </c>
      <c r="J125" s="231">
        <v>3497.2</v>
      </c>
      <c r="K125" s="228">
        <v>63.6</v>
      </c>
      <c r="L125" s="229">
        <v>1.8200000000000001E-2</v>
      </c>
      <c r="M125" s="231">
        <v>3567.2</v>
      </c>
      <c r="N125" s="231">
        <v>3501.8</v>
      </c>
      <c r="O125" s="228">
        <v>65.400000000000006</v>
      </c>
      <c r="P125" s="229">
        <v>1.8700000000000001E-2</v>
      </c>
      <c r="Q125" s="231">
        <v>3587.6</v>
      </c>
      <c r="R125" s="231">
        <v>3520.6</v>
      </c>
      <c r="S125" s="228">
        <v>67</v>
      </c>
      <c r="T125" s="229">
        <v>1.9E-2</v>
      </c>
      <c r="U125" s="231">
        <v>3606.5</v>
      </c>
      <c r="V125" s="231">
        <v>3540.7</v>
      </c>
      <c r="W125" s="228">
        <v>65.8</v>
      </c>
      <c r="X125" s="229">
        <v>1.8599999999999998E-2</v>
      </c>
      <c r="Y125" s="228">
        <v>6.4</v>
      </c>
      <c r="Z125" s="228">
        <v>4.5999999999999996</v>
      </c>
      <c r="AA125" s="228">
        <v>1.8</v>
      </c>
      <c r="AB125" s="229">
        <v>1.8E-3</v>
      </c>
      <c r="AC125" s="228">
        <v>6.4</v>
      </c>
      <c r="AD125" s="228">
        <v>4.5999999999999996</v>
      </c>
      <c r="AE125" s="228">
        <v>1.8</v>
      </c>
      <c r="AF125" s="229">
        <v>1.8E-3</v>
      </c>
      <c r="AG125" s="228">
        <v>26.8</v>
      </c>
      <c r="AH125" s="228">
        <v>23.4</v>
      </c>
      <c r="AI125" s="228">
        <v>3.4</v>
      </c>
      <c r="AJ125" s="229">
        <v>7.4999999999999997E-3</v>
      </c>
      <c r="AK125" s="228">
        <v>45.7</v>
      </c>
      <c r="AL125" s="228">
        <v>43.5</v>
      </c>
      <c r="AM125" s="228">
        <v>2.2000000000000002</v>
      </c>
      <c r="AN125" s="229">
        <v>1.2800000000000001E-2</v>
      </c>
      <c r="AO125" s="231">
        <v>3558.36</v>
      </c>
      <c r="AP125" s="231">
        <v>3577.38</v>
      </c>
      <c r="AQ125" s="228">
        <v>0</v>
      </c>
      <c r="AR125" s="230">
        <v>2687400</v>
      </c>
      <c r="AS125" s="230">
        <v>1867800</v>
      </c>
      <c r="AT125" s="230">
        <v>819600</v>
      </c>
      <c r="AU125" s="229">
        <v>0.43880000000000002</v>
      </c>
      <c r="AV125" s="230">
        <v>2311800</v>
      </c>
      <c r="AW125" s="230">
        <v>1684000</v>
      </c>
      <c r="AX125" s="230">
        <v>627800</v>
      </c>
      <c r="AY125" s="229">
        <v>0.37280000000000002</v>
      </c>
      <c r="AZ125" s="230">
        <v>353600</v>
      </c>
      <c r="BA125" s="230">
        <v>168800</v>
      </c>
      <c r="BB125" s="230">
        <v>184800</v>
      </c>
      <c r="BC125" s="229">
        <v>1.0948</v>
      </c>
      <c r="BD125" s="230">
        <v>22000</v>
      </c>
      <c r="BE125" s="230">
        <v>15000</v>
      </c>
      <c r="BF125" s="230">
        <v>7000</v>
      </c>
      <c r="BG125" s="229">
        <v>0.4667</v>
      </c>
      <c r="BH125" s="230">
        <v>14697200</v>
      </c>
      <c r="BI125" s="230">
        <v>6120600</v>
      </c>
      <c r="BJ125" s="230">
        <v>8576600</v>
      </c>
      <c r="BK125" s="229">
        <v>1.4013</v>
      </c>
      <c r="BL125" s="230">
        <v>5905800</v>
      </c>
      <c r="BM125" s="230">
        <v>2742800</v>
      </c>
      <c r="BN125" s="230">
        <v>3163000</v>
      </c>
      <c r="BO125" s="229">
        <v>1.1532</v>
      </c>
      <c r="BP125" s="230">
        <v>23290400</v>
      </c>
      <c r="BQ125" s="230">
        <v>10731200</v>
      </c>
      <c r="BR125" s="230">
        <v>12559200</v>
      </c>
      <c r="BS125" s="229">
        <v>1.1702999999999999</v>
      </c>
      <c r="BT125" s="230">
        <v>2406692</v>
      </c>
      <c r="BU125" s="230">
        <v>1366621</v>
      </c>
      <c r="BV125" s="230">
        <v>1040071</v>
      </c>
      <c r="BW125" s="229">
        <v>0.7611</v>
      </c>
      <c r="BX125" s="230">
        <v>19674600</v>
      </c>
      <c r="BY125" s="230">
        <v>19809000</v>
      </c>
      <c r="BZ125" s="230">
        <v>-134400</v>
      </c>
      <c r="CA125" s="229">
        <v>-6.7999999999999996E-3</v>
      </c>
      <c r="CB125" s="230">
        <v>18945400</v>
      </c>
      <c r="CC125" s="230">
        <v>19218200</v>
      </c>
      <c r="CD125" s="230">
        <v>-272800</v>
      </c>
      <c r="CE125" s="229">
        <v>-1.4200000000000001E-2</v>
      </c>
      <c r="CF125" s="230">
        <v>579800</v>
      </c>
      <c r="CG125" s="230">
        <v>441000</v>
      </c>
      <c r="CH125" s="230">
        <v>138800</v>
      </c>
      <c r="CI125" s="229">
        <v>0.31469999999999998</v>
      </c>
      <c r="CJ125" s="230">
        <v>149400</v>
      </c>
      <c r="CK125" s="230">
        <v>149800</v>
      </c>
      <c r="CL125" s="228">
        <v>-400</v>
      </c>
      <c r="CM125" s="229">
        <v>-2.7000000000000001E-3</v>
      </c>
      <c r="CN125" s="230">
        <v>5914200</v>
      </c>
      <c r="CO125" s="230">
        <v>6324200</v>
      </c>
      <c r="CP125" s="230">
        <v>-410000</v>
      </c>
      <c r="CQ125" s="229">
        <v>-6.4799999999999996E-2</v>
      </c>
      <c r="CR125" s="230">
        <v>3083000</v>
      </c>
      <c r="CS125" s="230">
        <v>2884400</v>
      </c>
      <c r="CT125" s="230">
        <v>198600</v>
      </c>
      <c r="CU125" s="229">
        <v>6.8900000000000003E-2</v>
      </c>
      <c r="CV125" s="230">
        <v>28671800</v>
      </c>
      <c r="CW125" s="230">
        <v>29017600</v>
      </c>
      <c r="CX125" s="230">
        <v>-345800</v>
      </c>
      <c r="CY125" s="229">
        <v>-1.1900000000000001E-2</v>
      </c>
      <c r="CZ125" s="228">
        <v>22.45</v>
      </c>
      <c r="DA125" s="228">
        <v>24.01</v>
      </c>
      <c r="DB125" s="228">
        <v>-1.56</v>
      </c>
      <c r="DC125" s="228">
        <v>-1.56</v>
      </c>
      <c r="DD125" s="228">
        <v>34.229999999999997</v>
      </c>
      <c r="DE125" s="228">
        <v>34.229999999999997</v>
      </c>
      <c r="DF125" s="228">
        <v>-11.78</v>
      </c>
      <c r="DG125" s="228">
        <v>0</v>
      </c>
      <c r="DH125" s="228">
        <v>22.18</v>
      </c>
      <c r="DI125" s="228">
        <v>24.01</v>
      </c>
      <c r="DJ125" s="228">
        <v>-1.83</v>
      </c>
      <c r="DK125" s="228">
        <v>-1.83</v>
      </c>
      <c r="DL125" s="228">
        <v>23.13</v>
      </c>
      <c r="DM125" s="228">
        <v>24.02</v>
      </c>
      <c r="DN125" s="228">
        <v>-0.89</v>
      </c>
      <c r="DO125" s="228">
        <v>-0.89</v>
      </c>
      <c r="DP125" s="228">
        <v>0.52</v>
      </c>
      <c r="DQ125" s="228">
        <v>0.46</v>
      </c>
      <c r="DR125" s="228">
        <v>0.06</v>
      </c>
      <c r="DS125" s="229">
        <v>0.13039999999999999</v>
      </c>
      <c r="DT125" s="231">
        <v>3600</v>
      </c>
      <c r="DU125" s="231">
        <v>3450</v>
      </c>
      <c r="DV125" s="228">
        <v>0.4</v>
      </c>
      <c r="DW125" s="228">
        <v>0.45</v>
      </c>
      <c r="DX125" s="228">
        <v>-0.05</v>
      </c>
      <c r="DY125" s="229">
        <v>-0.1111</v>
      </c>
      <c r="DZ125" s="229">
        <v>3.7100000000000001E-2</v>
      </c>
      <c r="EA125" s="230">
        <v>590800</v>
      </c>
      <c r="EB125" s="229">
        <v>5.7000000000000002E-3</v>
      </c>
      <c r="EC125" s="229">
        <v>3.7100000000000001E-2</v>
      </c>
      <c r="ED125" s="228">
        <v>19.02</v>
      </c>
      <c r="EE125" s="229">
        <v>5.3E-3</v>
      </c>
      <c r="EF125" s="230">
        <v>1185724</v>
      </c>
      <c r="EG125" s="230">
        <v>868196</v>
      </c>
      <c r="EH125" s="229">
        <v>0.36570000000000003</v>
      </c>
      <c r="EI125" s="229">
        <v>0.49270000000000003</v>
      </c>
      <c r="EJ125" s="231">
        <v>538727.53</v>
      </c>
      <c r="EK125" s="231">
        <v>206382.82</v>
      </c>
      <c r="EL125" s="231">
        <v>95702.49</v>
      </c>
      <c r="EM125" s="231">
        <v>9040</v>
      </c>
      <c r="EN125" s="231">
        <v>840812.84</v>
      </c>
      <c r="EO125" s="231">
        <v>381833.62</v>
      </c>
      <c r="EP125" s="231">
        <v>458979.22</v>
      </c>
      <c r="EQ125" s="229">
        <v>1.202</v>
      </c>
      <c r="ER125" s="231">
        <v>217294</v>
      </c>
      <c r="ES125" s="231">
        <v>104451</v>
      </c>
      <c r="ET125" s="231">
        <v>702009</v>
      </c>
      <c r="EU125" s="231">
        <v>100261459</v>
      </c>
      <c r="EV125" s="231">
        <v>1023754</v>
      </c>
      <c r="EW125" s="231">
        <v>1022548</v>
      </c>
      <c r="EX125" s="231">
        <v>1206</v>
      </c>
      <c r="EY125" s="229">
        <v>1.1999999999999999E-3</v>
      </c>
      <c r="EZ125" s="229">
        <v>0.28599999999999998</v>
      </c>
      <c r="FA125" s="227" t="s">
        <v>556</v>
      </c>
      <c r="FB125" s="161">
        <f t="shared" si="1"/>
        <v>729200</v>
      </c>
    </row>
    <row r="126" spans="1:158" ht="17.25" hidden="1" thickBot="1" x14ac:dyDescent="0.3">
      <c r="A126" s="226">
        <v>45946</v>
      </c>
      <c r="B126" s="227" t="s">
        <v>175</v>
      </c>
      <c r="C126" s="227" t="s">
        <v>253</v>
      </c>
      <c r="D126" s="228">
        <v>3000</v>
      </c>
      <c r="E126" s="228">
        <v>287.3</v>
      </c>
      <c r="F126" s="228">
        <v>289.89999999999998</v>
      </c>
      <c r="G126" s="228">
        <v>-2.6</v>
      </c>
      <c r="H126" s="229">
        <v>-8.9999999999999993E-3</v>
      </c>
      <c r="I126" s="228">
        <v>286.8</v>
      </c>
      <c r="J126" s="228">
        <v>289.10000000000002</v>
      </c>
      <c r="K126" s="228">
        <v>-2.2999999999999998</v>
      </c>
      <c r="L126" s="229">
        <v>-8.0000000000000002E-3</v>
      </c>
      <c r="M126" s="228">
        <v>287.3</v>
      </c>
      <c r="N126" s="228">
        <v>289.89999999999998</v>
      </c>
      <c r="O126" s="228">
        <v>-2.6</v>
      </c>
      <c r="P126" s="229">
        <v>-8.9999999999999993E-3</v>
      </c>
      <c r="Q126" s="228">
        <v>288.75</v>
      </c>
      <c r="R126" s="228">
        <v>291.14999999999998</v>
      </c>
      <c r="S126" s="228">
        <v>-2.4</v>
      </c>
      <c r="T126" s="229">
        <v>-8.2000000000000007E-3</v>
      </c>
      <c r="U126" s="228">
        <v>290.14999999999998</v>
      </c>
      <c r="V126" s="228">
        <v>291.5</v>
      </c>
      <c r="W126" s="228">
        <v>-1.35</v>
      </c>
      <c r="X126" s="229">
        <v>-4.5999999999999999E-3</v>
      </c>
      <c r="Y126" s="228">
        <v>0.5</v>
      </c>
      <c r="Z126" s="228">
        <v>0.8</v>
      </c>
      <c r="AA126" s="228">
        <v>-0.3</v>
      </c>
      <c r="AB126" s="229">
        <v>1.6999999999999999E-3</v>
      </c>
      <c r="AC126" s="228">
        <v>0.5</v>
      </c>
      <c r="AD126" s="228">
        <v>0.8</v>
      </c>
      <c r="AE126" s="228">
        <v>-0.3</v>
      </c>
      <c r="AF126" s="229">
        <v>1.6999999999999999E-3</v>
      </c>
      <c r="AG126" s="228">
        <v>1.95</v>
      </c>
      <c r="AH126" s="228">
        <v>2.0499999999999998</v>
      </c>
      <c r="AI126" s="228">
        <v>-0.1</v>
      </c>
      <c r="AJ126" s="229">
        <v>6.7999999999999996E-3</v>
      </c>
      <c r="AK126" s="228">
        <v>3.35</v>
      </c>
      <c r="AL126" s="228">
        <v>2.4</v>
      </c>
      <c r="AM126" s="228">
        <v>0.95</v>
      </c>
      <c r="AN126" s="229">
        <v>1.17E-2</v>
      </c>
      <c r="AO126" s="228">
        <v>288.62</v>
      </c>
      <c r="AP126" s="228">
        <v>290.25</v>
      </c>
      <c r="AQ126" s="228">
        <v>0</v>
      </c>
      <c r="AR126" s="230">
        <v>4356000</v>
      </c>
      <c r="AS126" s="230">
        <v>4092000</v>
      </c>
      <c r="AT126" s="230">
        <v>264000</v>
      </c>
      <c r="AU126" s="229">
        <v>6.4500000000000002E-2</v>
      </c>
      <c r="AV126" s="230">
        <v>3675000</v>
      </c>
      <c r="AW126" s="230">
        <v>3564000</v>
      </c>
      <c r="AX126" s="230">
        <v>111000</v>
      </c>
      <c r="AY126" s="229">
        <v>3.1099999999999999E-2</v>
      </c>
      <c r="AZ126" s="230">
        <v>636000</v>
      </c>
      <c r="BA126" s="230">
        <v>468000</v>
      </c>
      <c r="BB126" s="230">
        <v>168000</v>
      </c>
      <c r="BC126" s="229">
        <v>0.35899999999999999</v>
      </c>
      <c r="BD126" s="230">
        <v>45000</v>
      </c>
      <c r="BE126" s="230">
        <v>60000</v>
      </c>
      <c r="BF126" s="230">
        <v>-15000</v>
      </c>
      <c r="BG126" s="229">
        <v>-0.25</v>
      </c>
      <c r="BH126" s="230">
        <v>13239000</v>
      </c>
      <c r="BI126" s="230">
        <v>11898000</v>
      </c>
      <c r="BJ126" s="230">
        <v>1341000</v>
      </c>
      <c r="BK126" s="229">
        <v>0.11269999999999999</v>
      </c>
      <c r="BL126" s="230">
        <v>3933000</v>
      </c>
      <c r="BM126" s="230">
        <v>4257000</v>
      </c>
      <c r="BN126" s="230">
        <v>-324000</v>
      </c>
      <c r="BO126" s="229">
        <v>-7.6100000000000001E-2</v>
      </c>
      <c r="BP126" s="230">
        <v>21528000</v>
      </c>
      <c r="BQ126" s="230">
        <v>20247000</v>
      </c>
      <c r="BR126" s="230">
        <v>1281000</v>
      </c>
      <c r="BS126" s="229">
        <v>6.3299999999999995E-2</v>
      </c>
      <c r="BT126" s="230">
        <v>1847779</v>
      </c>
      <c r="BU126" s="230">
        <v>2088467</v>
      </c>
      <c r="BV126" s="230">
        <v>-240688</v>
      </c>
      <c r="BW126" s="229">
        <v>-0.1152</v>
      </c>
      <c r="BX126" s="230">
        <v>27948000</v>
      </c>
      <c r="BY126" s="230">
        <v>28293000</v>
      </c>
      <c r="BZ126" s="230">
        <v>-345000</v>
      </c>
      <c r="CA126" s="229">
        <v>-1.2200000000000001E-2</v>
      </c>
      <c r="CB126" s="230">
        <v>26082000</v>
      </c>
      <c r="CC126" s="230">
        <v>26688000</v>
      </c>
      <c r="CD126" s="230">
        <v>-606000</v>
      </c>
      <c r="CE126" s="229">
        <v>-2.2700000000000001E-2</v>
      </c>
      <c r="CF126" s="230">
        <v>1662000</v>
      </c>
      <c r="CG126" s="230">
        <v>1413000</v>
      </c>
      <c r="CH126" s="230">
        <v>249000</v>
      </c>
      <c r="CI126" s="229">
        <v>0.1762</v>
      </c>
      <c r="CJ126" s="230">
        <v>204000</v>
      </c>
      <c r="CK126" s="230">
        <v>192000</v>
      </c>
      <c r="CL126" s="230">
        <v>12000</v>
      </c>
      <c r="CM126" s="229">
        <v>6.25E-2</v>
      </c>
      <c r="CN126" s="230">
        <v>18117000</v>
      </c>
      <c r="CO126" s="230">
        <v>16035000</v>
      </c>
      <c r="CP126" s="230">
        <v>2082000</v>
      </c>
      <c r="CQ126" s="229">
        <v>0.1298</v>
      </c>
      <c r="CR126" s="230">
        <v>8892000</v>
      </c>
      <c r="CS126" s="230">
        <v>8922000</v>
      </c>
      <c r="CT126" s="230">
        <v>-30000</v>
      </c>
      <c r="CU126" s="229">
        <v>-3.3999999999999998E-3</v>
      </c>
      <c r="CV126" s="230">
        <v>54957000</v>
      </c>
      <c r="CW126" s="230">
        <v>53250000</v>
      </c>
      <c r="CX126" s="230">
        <v>1707000</v>
      </c>
      <c r="CY126" s="229">
        <v>3.2099999999999997E-2</v>
      </c>
      <c r="CZ126" s="228">
        <v>28.28</v>
      </c>
      <c r="DA126" s="228">
        <v>28.56</v>
      </c>
      <c r="DB126" s="228">
        <v>-0.28000000000000003</v>
      </c>
      <c r="DC126" s="228">
        <v>-0.28000000000000003</v>
      </c>
      <c r="DD126" s="228">
        <v>43.26</v>
      </c>
      <c r="DE126" s="228">
        <v>43.36</v>
      </c>
      <c r="DF126" s="228">
        <v>-14.98</v>
      </c>
      <c r="DG126" s="228">
        <v>-0.1</v>
      </c>
      <c r="DH126" s="228">
        <v>28.54</v>
      </c>
      <c r="DI126" s="228">
        <v>28.81</v>
      </c>
      <c r="DJ126" s="228">
        <v>-0.27</v>
      </c>
      <c r="DK126" s="228">
        <v>-0.27</v>
      </c>
      <c r="DL126" s="228">
        <v>27.41</v>
      </c>
      <c r="DM126" s="228">
        <v>27.85</v>
      </c>
      <c r="DN126" s="228">
        <v>-0.44</v>
      </c>
      <c r="DO126" s="228">
        <v>-0.44</v>
      </c>
      <c r="DP126" s="228">
        <v>0.49</v>
      </c>
      <c r="DQ126" s="228">
        <v>0.56000000000000005</v>
      </c>
      <c r="DR126" s="228">
        <v>-7.0000000000000007E-2</v>
      </c>
      <c r="DS126" s="229">
        <v>-0.125</v>
      </c>
      <c r="DT126" s="228">
        <v>320</v>
      </c>
      <c r="DU126" s="228">
        <v>280</v>
      </c>
      <c r="DV126" s="228">
        <v>0.3</v>
      </c>
      <c r="DW126" s="228">
        <v>0.36</v>
      </c>
      <c r="DX126" s="228">
        <v>-0.06</v>
      </c>
      <c r="DY126" s="229">
        <v>-0.16669999999999999</v>
      </c>
      <c r="DZ126" s="229">
        <v>6.6799999999999998E-2</v>
      </c>
      <c r="EA126" s="230">
        <v>1605000</v>
      </c>
      <c r="EB126" s="229">
        <v>5.0000000000000001E-3</v>
      </c>
      <c r="EC126" s="229">
        <v>6.6799999999999998E-2</v>
      </c>
      <c r="ED126" s="228">
        <v>1.63</v>
      </c>
      <c r="EE126" s="229">
        <v>5.5999999999999999E-3</v>
      </c>
      <c r="EF126" s="230">
        <v>896978</v>
      </c>
      <c r="EG126" s="230">
        <v>1050942</v>
      </c>
      <c r="EH126" s="229">
        <v>-0.14649999999999999</v>
      </c>
      <c r="EI126" s="229">
        <v>0.4854</v>
      </c>
      <c r="EJ126" s="231">
        <v>40040.620000000003</v>
      </c>
      <c r="EK126" s="231">
        <v>11234.92</v>
      </c>
      <c r="EL126" s="231">
        <v>12583.49</v>
      </c>
      <c r="EM126" s="231">
        <v>2026</v>
      </c>
      <c r="EN126" s="231">
        <v>63859.03</v>
      </c>
      <c r="EO126" s="231">
        <v>59794.86</v>
      </c>
      <c r="EP126" s="231">
        <v>4064.17</v>
      </c>
      <c r="EQ126" s="229">
        <v>6.8000000000000005E-2</v>
      </c>
      <c r="ER126" s="231">
        <v>54758</v>
      </c>
      <c r="ES126" s="231">
        <v>24494</v>
      </c>
      <c r="ET126" s="231">
        <v>80325</v>
      </c>
      <c r="EU126" s="231">
        <v>82205057</v>
      </c>
      <c r="EV126" s="231">
        <v>159577</v>
      </c>
      <c r="EW126" s="231">
        <v>154884</v>
      </c>
      <c r="EX126" s="231">
        <v>4693</v>
      </c>
      <c r="EY126" s="229">
        <v>3.0300000000000001E-2</v>
      </c>
      <c r="EZ126" s="229">
        <v>0.66849999999999998</v>
      </c>
      <c r="FA126" s="227" t="s">
        <v>568</v>
      </c>
      <c r="FB126" s="161">
        <f t="shared" si="1"/>
        <v>1866000</v>
      </c>
    </row>
    <row r="127" spans="1:158" ht="17.25" hidden="1" thickBot="1" x14ac:dyDescent="0.3">
      <c r="A127" s="226">
        <v>45946</v>
      </c>
      <c r="B127" s="227" t="s">
        <v>170</v>
      </c>
      <c r="C127" s="227" t="s">
        <v>673</v>
      </c>
      <c r="D127" s="228">
        <v>225</v>
      </c>
      <c r="E127" s="231">
        <v>2462</v>
      </c>
      <c r="F127" s="231">
        <v>2443.1</v>
      </c>
      <c r="G127" s="228">
        <v>18.899999999999999</v>
      </c>
      <c r="H127" s="229">
        <v>7.7000000000000002E-3</v>
      </c>
      <c r="I127" s="231">
        <v>2455.3000000000002</v>
      </c>
      <c r="J127" s="231">
        <v>2445.6999999999998</v>
      </c>
      <c r="K127" s="228">
        <v>9.6</v>
      </c>
      <c r="L127" s="229">
        <v>3.8999999999999998E-3</v>
      </c>
      <c r="M127" s="231">
        <v>2462</v>
      </c>
      <c r="N127" s="231">
        <v>2443.1</v>
      </c>
      <c r="O127" s="228">
        <v>18.899999999999999</v>
      </c>
      <c r="P127" s="229">
        <v>7.7000000000000002E-3</v>
      </c>
      <c r="Q127" s="231">
        <v>2470.6</v>
      </c>
      <c r="R127" s="231">
        <v>2449.6999999999998</v>
      </c>
      <c r="S127" s="228">
        <v>20.9</v>
      </c>
      <c r="T127" s="229">
        <v>8.5000000000000006E-3</v>
      </c>
      <c r="U127" s="231">
        <v>2482.8000000000002</v>
      </c>
      <c r="V127" s="231">
        <v>2462.5</v>
      </c>
      <c r="W127" s="228">
        <v>20.3</v>
      </c>
      <c r="X127" s="229">
        <v>8.2000000000000007E-3</v>
      </c>
      <c r="Y127" s="228">
        <v>6.7</v>
      </c>
      <c r="Z127" s="228">
        <v>-2.6</v>
      </c>
      <c r="AA127" s="228">
        <v>9.3000000000000007</v>
      </c>
      <c r="AB127" s="229">
        <v>2.7000000000000001E-3</v>
      </c>
      <c r="AC127" s="228">
        <v>6.7</v>
      </c>
      <c r="AD127" s="228">
        <v>-2.6</v>
      </c>
      <c r="AE127" s="228">
        <v>9.3000000000000007</v>
      </c>
      <c r="AF127" s="229">
        <v>2.7000000000000001E-3</v>
      </c>
      <c r="AG127" s="228">
        <v>15.3</v>
      </c>
      <c r="AH127" s="228">
        <v>4</v>
      </c>
      <c r="AI127" s="228">
        <v>11.3</v>
      </c>
      <c r="AJ127" s="229">
        <v>6.1999999999999998E-3</v>
      </c>
      <c r="AK127" s="228">
        <v>27.5</v>
      </c>
      <c r="AL127" s="228">
        <v>16.8</v>
      </c>
      <c r="AM127" s="228">
        <v>10.7</v>
      </c>
      <c r="AN127" s="229">
        <v>1.12E-2</v>
      </c>
      <c r="AO127" s="231">
        <v>2459.33</v>
      </c>
      <c r="AP127" s="231">
        <v>2466.2800000000002</v>
      </c>
      <c r="AQ127" s="228">
        <v>0</v>
      </c>
      <c r="AR127" s="230">
        <v>465300</v>
      </c>
      <c r="AS127" s="230">
        <v>434925</v>
      </c>
      <c r="AT127" s="230">
        <v>30375</v>
      </c>
      <c r="AU127" s="229">
        <v>6.9800000000000001E-2</v>
      </c>
      <c r="AV127" s="230">
        <v>433575</v>
      </c>
      <c r="AW127" s="230">
        <v>401850</v>
      </c>
      <c r="AX127" s="230">
        <v>31725</v>
      </c>
      <c r="AY127" s="229">
        <v>7.8899999999999998E-2</v>
      </c>
      <c r="AZ127" s="230">
        <v>28800</v>
      </c>
      <c r="BA127" s="230">
        <v>31950</v>
      </c>
      <c r="BB127" s="230">
        <v>-3150</v>
      </c>
      <c r="BC127" s="229">
        <v>-9.8599999999999993E-2</v>
      </c>
      <c r="BD127" s="230">
        <v>2925</v>
      </c>
      <c r="BE127" s="230">
        <v>1125</v>
      </c>
      <c r="BF127" s="230">
        <v>1800</v>
      </c>
      <c r="BG127" s="229">
        <v>1.6</v>
      </c>
      <c r="BH127" s="230">
        <v>490050</v>
      </c>
      <c r="BI127" s="230">
        <v>698850</v>
      </c>
      <c r="BJ127" s="230">
        <v>-208800</v>
      </c>
      <c r="BK127" s="229">
        <v>-0.29880000000000001</v>
      </c>
      <c r="BL127" s="230">
        <v>128250</v>
      </c>
      <c r="BM127" s="230">
        <v>223650</v>
      </c>
      <c r="BN127" s="230">
        <v>-95400</v>
      </c>
      <c r="BO127" s="229">
        <v>-0.42659999999999998</v>
      </c>
      <c r="BP127" s="230">
        <v>1083600</v>
      </c>
      <c r="BQ127" s="230">
        <v>1357425</v>
      </c>
      <c r="BR127" s="230">
        <v>-273825</v>
      </c>
      <c r="BS127" s="229">
        <v>-0.20169999999999999</v>
      </c>
      <c r="BT127" s="230">
        <v>446643</v>
      </c>
      <c r="BU127" s="230">
        <v>506104</v>
      </c>
      <c r="BV127" s="230">
        <v>-59461</v>
      </c>
      <c r="BW127" s="229">
        <v>-0.11749999999999999</v>
      </c>
      <c r="BX127" s="230">
        <v>1695150</v>
      </c>
      <c r="BY127" s="230">
        <v>1693350</v>
      </c>
      <c r="BZ127" s="230">
        <v>1800</v>
      </c>
      <c r="CA127" s="229">
        <v>1.1000000000000001E-3</v>
      </c>
      <c r="CB127" s="230">
        <v>1606275</v>
      </c>
      <c r="CC127" s="230">
        <v>1608975</v>
      </c>
      <c r="CD127" s="230">
        <v>-2700</v>
      </c>
      <c r="CE127" s="229">
        <v>-1.6999999999999999E-3</v>
      </c>
      <c r="CF127" s="230">
        <v>79200</v>
      </c>
      <c r="CG127" s="230">
        <v>74925</v>
      </c>
      <c r="CH127" s="230">
        <v>4275</v>
      </c>
      <c r="CI127" s="229">
        <v>5.7099999999999998E-2</v>
      </c>
      <c r="CJ127" s="230">
        <v>9675</v>
      </c>
      <c r="CK127" s="230">
        <v>9450</v>
      </c>
      <c r="CL127" s="228">
        <v>225</v>
      </c>
      <c r="CM127" s="229">
        <v>2.3800000000000002E-2</v>
      </c>
      <c r="CN127" s="230">
        <v>988650</v>
      </c>
      <c r="CO127" s="230">
        <v>1015200</v>
      </c>
      <c r="CP127" s="230">
        <v>-26550</v>
      </c>
      <c r="CQ127" s="229">
        <v>-2.6200000000000001E-2</v>
      </c>
      <c r="CR127" s="230">
        <v>426375</v>
      </c>
      <c r="CS127" s="230">
        <v>426825</v>
      </c>
      <c r="CT127" s="228">
        <v>-450</v>
      </c>
      <c r="CU127" s="229">
        <v>-1.1000000000000001E-3</v>
      </c>
      <c r="CV127" s="230">
        <v>3110175</v>
      </c>
      <c r="CW127" s="230">
        <v>3135375</v>
      </c>
      <c r="CX127" s="230">
        <v>-25200</v>
      </c>
      <c r="CY127" s="229">
        <v>-8.0000000000000002E-3</v>
      </c>
      <c r="CZ127" s="228">
        <v>29.17</v>
      </c>
      <c r="DA127" s="228">
        <v>30.6</v>
      </c>
      <c r="DB127" s="228">
        <v>-1.43</v>
      </c>
      <c r="DC127" s="228">
        <v>-1.43</v>
      </c>
      <c r="DD127" s="228">
        <v>34.450000000000003</v>
      </c>
      <c r="DE127" s="228">
        <v>34.53</v>
      </c>
      <c r="DF127" s="228">
        <v>-5.28</v>
      </c>
      <c r="DG127" s="228">
        <v>-0.08</v>
      </c>
      <c r="DH127" s="228">
        <v>29.31</v>
      </c>
      <c r="DI127" s="228">
        <v>31.15</v>
      </c>
      <c r="DJ127" s="228">
        <v>-1.84</v>
      </c>
      <c r="DK127" s="228">
        <v>-1.84</v>
      </c>
      <c r="DL127" s="228">
        <v>28.63</v>
      </c>
      <c r="DM127" s="228">
        <v>28.87</v>
      </c>
      <c r="DN127" s="228">
        <v>-0.24</v>
      </c>
      <c r="DO127" s="228">
        <v>-0.24</v>
      </c>
      <c r="DP127" s="228">
        <v>0.43</v>
      </c>
      <c r="DQ127" s="228">
        <v>0.42</v>
      </c>
      <c r="DR127" s="228">
        <v>0.01</v>
      </c>
      <c r="DS127" s="229">
        <v>2.3800000000000002E-2</v>
      </c>
      <c r="DT127" s="231">
        <v>2600</v>
      </c>
      <c r="DU127" s="231">
        <v>2400</v>
      </c>
      <c r="DV127" s="228">
        <v>0.26</v>
      </c>
      <c r="DW127" s="228">
        <v>0.32</v>
      </c>
      <c r="DX127" s="228">
        <v>-0.06</v>
      </c>
      <c r="DY127" s="229">
        <v>-0.1875</v>
      </c>
      <c r="DZ127" s="229">
        <v>5.2400000000000002E-2</v>
      </c>
      <c r="EA127" s="230">
        <v>84375</v>
      </c>
      <c r="EB127" s="229">
        <v>3.5000000000000001E-3</v>
      </c>
      <c r="EC127" s="229">
        <v>5.2400000000000002E-2</v>
      </c>
      <c r="ED127" s="228">
        <v>6.95</v>
      </c>
      <c r="EE127" s="229">
        <v>2.8E-3</v>
      </c>
      <c r="EF127" s="230">
        <v>265502</v>
      </c>
      <c r="EG127" s="230">
        <v>311170</v>
      </c>
      <c r="EH127" s="229">
        <v>-0.14680000000000001</v>
      </c>
      <c r="EI127" s="229">
        <v>0.59440000000000004</v>
      </c>
      <c r="EJ127" s="231">
        <v>12660.01</v>
      </c>
      <c r="EK127" s="231">
        <v>3058.78</v>
      </c>
      <c r="EL127" s="231">
        <v>11445.78</v>
      </c>
      <c r="EM127" s="231">
        <v>1700</v>
      </c>
      <c r="EN127" s="231">
        <v>27164.57</v>
      </c>
      <c r="EO127" s="231">
        <v>34064.15</v>
      </c>
      <c r="EP127" s="231">
        <v>-6899.58</v>
      </c>
      <c r="EQ127" s="229">
        <v>-0.20250000000000001</v>
      </c>
      <c r="ER127" s="231">
        <v>25800</v>
      </c>
      <c r="ES127" s="231">
        <v>10209</v>
      </c>
      <c r="ET127" s="231">
        <v>41743</v>
      </c>
      <c r="EU127" s="231">
        <v>16915220</v>
      </c>
      <c r="EV127" s="231">
        <v>77753</v>
      </c>
      <c r="EW127" s="231">
        <v>78067</v>
      </c>
      <c r="EX127" s="228">
        <v>-314</v>
      </c>
      <c r="EY127" s="229">
        <v>-4.0000000000000001E-3</v>
      </c>
      <c r="EZ127" s="229">
        <v>0.18390000000000001</v>
      </c>
      <c r="FA127" s="227" t="s">
        <v>555</v>
      </c>
      <c r="FB127" s="161">
        <f t="shared" si="1"/>
        <v>88875</v>
      </c>
    </row>
    <row r="128" spans="1:158" ht="17.25" hidden="1" thickBot="1" x14ac:dyDescent="0.3">
      <c r="A128" s="226">
        <v>45946</v>
      </c>
      <c r="B128" s="227" t="s">
        <v>168</v>
      </c>
      <c r="C128" s="227" t="s">
        <v>254</v>
      </c>
      <c r="D128" s="228">
        <v>1200</v>
      </c>
      <c r="E128" s="228">
        <v>726.7</v>
      </c>
      <c r="F128" s="228">
        <v>710.45</v>
      </c>
      <c r="G128" s="228">
        <v>16.25</v>
      </c>
      <c r="H128" s="229">
        <v>2.29E-2</v>
      </c>
      <c r="I128" s="228">
        <v>725.7</v>
      </c>
      <c r="J128" s="228">
        <v>710.2</v>
      </c>
      <c r="K128" s="228">
        <v>15.5</v>
      </c>
      <c r="L128" s="229">
        <v>2.18E-2</v>
      </c>
      <c r="M128" s="228">
        <v>726.7</v>
      </c>
      <c r="N128" s="228">
        <v>710.45</v>
      </c>
      <c r="O128" s="228">
        <v>16.25</v>
      </c>
      <c r="P128" s="229">
        <v>2.29E-2</v>
      </c>
      <c r="Q128" s="228">
        <v>729.85</v>
      </c>
      <c r="R128" s="228">
        <v>713.5</v>
      </c>
      <c r="S128" s="228">
        <v>16.350000000000001</v>
      </c>
      <c r="T128" s="229">
        <v>2.29E-2</v>
      </c>
      <c r="U128" s="228">
        <v>731.7</v>
      </c>
      <c r="V128" s="228">
        <v>715.35</v>
      </c>
      <c r="W128" s="228">
        <v>16.350000000000001</v>
      </c>
      <c r="X128" s="229">
        <v>2.29E-2</v>
      </c>
      <c r="Y128" s="228">
        <v>1</v>
      </c>
      <c r="Z128" s="228">
        <v>0.25</v>
      </c>
      <c r="AA128" s="228">
        <v>0.75</v>
      </c>
      <c r="AB128" s="229">
        <v>1.4E-3</v>
      </c>
      <c r="AC128" s="228">
        <v>1</v>
      </c>
      <c r="AD128" s="228">
        <v>0.25</v>
      </c>
      <c r="AE128" s="228">
        <v>0.75</v>
      </c>
      <c r="AF128" s="229">
        <v>1.4E-3</v>
      </c>
      <c r="AG128" s="228">
        <v>4.1500000000000004</v>
      </c>
      <c r="AH128" s="228">
        <v>3.3</v>
      </c>
      <c r="AI128" s="228">
        <v>0.85</v>
      </c>
      <c r="AJ128" s="229">
        <v>5.7000000000000002E-3</v>
      </c>
      <c r="AK128" s="228">
        <v>6</v>
      </c>
      <c r="AL128" s="228">
        <v>5.15</v>
      </c>
      <c r="AM128" s="228">
        <v>0.85</v>
      </c>
      <c r="AN128" s="229">
        <v>8.3000000000000001E-3</v>
      </c>
      <c r="AO128" s="228">
        <v>721.11</v>
      </c>
      <c r="AP128" s="228">
        <v>724.18</v>
      </c>
      <c r="AQ128" s="228">
        <v>0</v>
      </c>
      <c r="AR128" s="230">
        <v>2384400</v>
      </c>
      <c r="AS128" s="230">
        <v>1462800</v>
      </c>
      <c r="AT128" s="230">
        <v>921600</v>
      </c>
      <c r="AU128" s="229">
        <v>0.63</v>
      </c>
      <c r="AV128" s="230">
        <v>2184000</v>
      </c>
      <c r="AW128" s="230">
        <v>1378800</v>
      </c>
      <c r="AX128" s="230">
        <v>805200</v>
      </c>
      <c r="AY128" s="229">
        <v>0.58399999999999996</v>
      </c>
      <c r="AZ128" s="230">
        <v>192000</v>
      </c>
      <c r="BA128" s="230">
        <v>79200</v>
      </c>
      <c r="BB128" s="230">
        <v>112800</v>
      </c>
      <c r="BC128" s="229">
        <v>1.4241999999999999</v>
      </c>
      <c r="BD128" s="230">
        <v>8400</v>
      </c>
      <c r="BE128" s="230">
        <v>4800</v>
      </c>
      <c r="BF128" s="230">
        <v>3600</v>
      </c>
      <c r="BG128" s="229">
        <v>0.75</v>
      </c>
      <c r="BH128" s="230">
        <v>8686800</v>
      </c>
      <c r="BI128" s="230">
        <v>3472800</v>
      </c>
      <c r="BJ128" s="230">
        <v>5214000</v>
      </c>
      <c r="BK128" s="229">
        <v>1.5014000000000001</v>
      </c>
      <c r="BL128" s="230">
        <v>2530800</v>
      </c>
      <c r="BM128" s="230">
        <v>1495200</v>
      </c>
      <c r="BN128" s="230">
        <v>1035600</v>
      </c>
      <c r="BO128" s="229">
        <v>0.69259999999999999</v>
      </c>
      <c r="BP128" s="230">
        <v>13602000</v>
      </c>
      <c r="BQ128" s="230">
        <v>6430800</v>
      </c>
      <c r="BR128" s="230">
        <v>7171200</v>
      </c>
      <c r="BS128" s="229">
        <v>1.1151</v>
      </c>
      <c r="BT128" s="230">
        <v>1218636</v>
      </c>
      <c r="BU128" s="230">
        <v>2967552</v>
      </c>
      <c r="BV128" s="230">
        <v>-1748916</v>
      </c>
      <c r="BW128" s="229">
        <v>-0.58930000000000005</v>
      </c>
      <c r="BX128" s="230">
        <v>27572400</v>
      </c>
      <c r="BY128" s="230">
        <v>27710400</v>
      </c>
      <c r="BZ128" s="230">
        <v>-138000</v>
      </c>
      <c r="CA128" s="229">
        <v>-5.0000000000000001E-3</v>
      </c>
      <c r="CB128" s="230">
        <v>27368400</v>
      </c>
      <c r="CC128" s="230">
        <v>27529200</v>
      </c>
      <c r="CD128" s="230">
        <v>-160800</v>
      </c>
      <c r="CE128" s="229">
        <v>-5.7999999999999996E-3</v>
      </c>
      <c r="CF128" s="230">
        <v>194400</v>
      </c>
      <c r="CG128" s="230">
        <v>176400</v>
      </c>
      <c r="CH128" s="230">
        <v>18000</v>
      </c>
      <c r="CI128" s="229">
        <v>0.10199999999999999</v>
      </c>
      <c r="CJ128" s="230">
        <v>9600</v>
      </c>
      <c r="CK128" s="230">
        <v>4800</v>
      </c>
      <c r="CL128" s="230">
        <v>4800</v>
      </c>
      <c r="CM128" s="229">
        <v>1</v>
      </c>
      <c r="CN128" s="230">
        <v>3732000</v>
      </c>
      <c r="CO128" s="230">
        <v>3878400</v>
      </c>
      <c r="CP128" s="230">
        <v>-146400</v>
      </c>
      <c r="CQ128" s="229">
        <v>-3.7699999999999997E-2</v>
      </c>
      <c r="CR128" s="230">
        <v>2370000</v>
      </c>
      <c r="CS128" s="230">
        <v>2298000</v>
      </c>
      <c r="CT128" s="230">
        <v>72000</v>
      </c>
      <c r="CU128" s="229">
        <v>3.1300000000000001E-2</v>
      </c>
      <c r="CV128" s="230">
        <v>33674400</v>
      </c>
      <c r="CW128" s="230">
        <v>33886800</v>
      </c>
      <c r="CX128" s="230">
        <v>-212400</v>
      </c>
      <c r="CY128" s="229">
        <v>-6.3E-3</v>
      </c>
      <c r="CZ128" s="228">
        <v>19.579999999999998</v>
      </c>
      <c r="DA128" s="228">
        <v>19.14</v>
      </c>
      <c r="DB128" s="228">
        <v>0.44</v>
      </c>
      <c r="DC128" s="228">
        <v>0.44</v>
      </c>
      <c r="DD128" s="228">
        <v>25.84</v>
      </c>
      <c r="DE128" s="228">
        <v>25.74</v>
      </c>
      <c r="DF128" s="228">
        <v>-6.26</v>
      </c>
      <c r="DG128" s="228">
        <v>0.1</v>
      </c>
      <c r="DH128" s="228">
        <v>19.3</v>
      </c>
      <c r="DI128" s="228">
        <v>19.11</v>
      </c>
      <c r="DJ128" s="228">
        <v>0.19</v>
      </c>
      <c r="DK128" s="228">
        <v>0.19</v>
      </c>
      <c r="DL128" s="228">
        <v>20.53</v>
      </c>
      <c r="DM128" s="228">
        <v>19.2</v>
      </c>
      <c r="DN128" s="228">
        <v>1.33</v>
      </c>
      <c r="DO128" s="228">
        <v>1.33</v>
      </c>
      <c r="DP128" s="228">
        <v>0.64</v>
      </c>
      <c r="DQ128" s="228">
        <v>0.59</v>
      </c>
      <c r="DR128" s="228">
        <v>0.05</v>
      </c>
      <c r="DS128" s="229">
        <v>8.4699999999999998E-2</v>
      </c>
      <c r="DT128" s="228">
        <v>720</v>
      </c>
      <c r="DU128" s="228">
        <v>680</v>
      </c>
      <c r="DV128" s="228">
        <v>0.28999999999999998</v>
      </c>
      <c r="DW128" s="228">
        <v>0.43</v>
      </c>
      <c r="DX128" s="228">
        <v>-0.14000000000000001</v>
      </c>
      <c r="DY128" s="229">
        <v>-0.3256</v>
      </c>
      <c r="DZ128" s="229">
        <v>7.4000000000000003E-3</v>
      </c>
      <c r="EA128" s="230">
        <v>181200</v>
      </c>
      <c r="EB128" s="229">
        <v>4.3E-3</v>
      </c>
      <c r="EC128" s="229">
        <v>7.4000000000000003E-3</v>
      </c>
      <c r="ED128" s="228">
        <v>3.07</v>
      </c>
      <c r="EE128" s="229">
        <v>4.3E-3</v>
      </c>
      <c r="EF128" s="230">
        <v>770726</v>
      </c>
      <c r="EG128" s="230">
        <v>2647016</v>
      </c>
      <c r="EH128" s="229">
        <v>-0.70879999999999999</v>
      </c>
      <c r="EI128" s="229">
        <v>0.63239999999999996</v>
      </c>
      <c r="EJ128" s="231">
        <v>64048.34</v>
      </c>
      <c r="EK128" s="231">
        <v>17967.830000000002</v>
      </c>
      <c r="EL128" s="231">
        <v>17200.43</v>
      </c>
      <c r="EM128" s="231">
        <v>1301</v>
      </c>
      <c r="EN128" s="231">
        <v>99216.6</v>
      </c>
      <c r="EO128" s="231">
        <v>46434.85</v>
      </c>
      <c r="EP128" s="231">
        <v>52781.75</v>
      </c>
      <c r="EQ128" s="229">
        <v>1.1367</v>
      </c>
      <c r="ER128" s="231">
        <v>27648</v>
      </c>
      <c r="ES128" s="231">
        <v>16396</v>
      </c>
      <c r="ET128" s="231">
        <v>200375</v>
      </c>
      <c r="EU128" s="231">
        <v>79408529</v>
      </c>
      <c r="EV128" s="231">
        <v>244419</v>
      </c>
      <c r="EW128" s="231">
        <v>241398</v>
      </c>
      <c r="EX128" s="231">
        <v>3021</v>
      </c>
      <c r="EY128" s="229">
        <v>1.2500000000000001E-2</v>
      </c>
      <c r="EZ128" s="229">
        <v>0.42409999999999998</v>
      </c>
      <c r="FA128" s="227" t="s">
        <v>556</v>
      </c>
      <c r="FB128" s="161">
        <f t="shared" si="1"/>
        <v>204000</v>
      </c>
    </row>
    <row r="129" spans="1:158" ht="17.25" hidden="1" thickBot="1" x14ac:dyDescent="0.3">
      <c r="A129" s="226">
        <v>45946</v>
      </c>
      <c r="B129" s="227" t="s">
        <v>162</v>
      </c>
      <c r="C129" s="227" t="s">
        <v>255</v>
      </c>
      <c r="D129" s="228">
        <v>50</v>
      </c>
      <c r="E129" s="231">
        <v>16354</v>
      </c>
      <c r="F129" s="231">
        <v>16273</v>
      </c>
      <c r="G129" s="228">
        <v>81</v>
      </c>
      <c r="H129" s="229">
        <v>5.0000000000000001E-3</v>
      </c>
      <c r="I129" s="231">
        <v>16298</v>
      </c>
      <c r="J129" s="231">
        <v>16212</v>
      </c>
      <c r="K129" s="228">
        <v>86</v>
      </c>
      <c r="L129" s="229">
        <v>5.3E-3</v>
      </c>
      <c r="M129" s="231">
        <v>16354</v>
      </c>
      <c r="N129" s="231">
        <v>16273</v>
      </c>
      <c r="O129" s="228">
        <v>81</v>
      </c>
      <c r="P129" s="229">
        <v>5.0000000000000001E-3</v>
      </c>
      <c r="Q129" s="231">
        <v>16446</v>
      </c>
      <c r="R129" s="231">
        <v>16357</v>
      </c>
      <c r="S129" s="228">
        <v>89</v>
      </c>
      <c r="T129" s="229">
        <v>5.4000000000000003E-3</v>
      </c>
      <c r="U129" s="231">
        <v>16536</v>
      </c>
      <c r="V129" s="231">
        <v>16458</v>
      </c>
      <c r="W129" s="228">
        <v>78</v>
      </c>
      <c r="X129" s="229">
        <v>4.7000000000000002E-3</v>
      </c>
      <c r="Y129" s="228">
        <v>56</v>
      </c>
      <c r="Z129" s="228">
        <v>61</v>
      </c>
      <c r="AA129" s="228">
        <v>-5</v>
      </c>
      <c r="AB129" s="229">
        <v>3.3999999999999998E-3</v>
      </c>
      <c r="AC129" s="228">
        <v>56</v>
      </c>
      <c r="AD129" s="228">
        <v>61</v>
      </c>
      <c r="AE129" s="228">
        <v>-5</v>
      </c>
      <c r="AF129" s="229">
        <v>3.3999999999999998E-3</v>
      </c>
      <c r="AG129" s="228">
        <v>148</v>
      </c>
      <c r="AH129" s="228">
        <v>145</v>
      </c>
      <c r="AI129" s="228">
        <v>3</v>
      </c>
      <c r="AJ129" s="229">
        <v>9.1000000000000004E-3</v>
      </c>
      <c r="AK129" s="228">
        <v>238</v>
      </c>
      <c r="AL129" s="228">
        <v>246</v>
      </c>
      <c r="AM129" s="228">
        <v>-8</v>
      </c>
      <c r="AN129" s="229">
        <v>1.46E-2</v>
      </c>
      <c r="AO129" s="231">
        <v>16336.88</v>
      </c>
      <c r="AP129" s="231">
        <v>16432.169999999998</v>
      </c>
      <c r="AQ129" s="228">
        <v>0</v>
      </c>
      <c r="AR129" s="230">
        <v>373600</v>
      </c>
      <c r="AS129" s="230">
        <v>387650</v>
      </c>
      <c r="AT129" s="230">
        <v>-14050</v>
      </c>
      <c r="AU129" s="229">
        <v>-3.6200000000000003E-2</v>
      </c>
      <c r="AV129" s="230">
        <v>321350</v>
      </c>
      <c r="AW129" s="230">
        <v>340750</v>
      </c>
      <c r="AX129" s="230">
        <v>-19400</v>
      </c>
      <c r="AY129" s="229">
        <v>-5.6899999999999999E-2</v>
      </c>
      <c r="AZ129" s="230">
        <v>49700</v>
      </c>
      <c r="BA129" s="230">
        <v>43000</v>
      </c>
      <c r="BB129" s="230">
        <v>6700</v>
      </c>
      <c r="BC129" s="229">
        <v>0.15579999999999999</v>
      </c>
      <c r="BD129" s="230">
        <v>2550</v>
      </c>
      <c r="BE129" s="230">
        <v>3900</v>
      </c>
      <c r="BF129" s="230">
        <v>-1350</v>
      </c>
      <c r="BG129" s="229">
        <v>-0.34620000000000001</v>
      </c>
      <c r="BH129" s="230">
        <v>2600650</v>
      </c>
      <c r="BI129" s="230">
        <v>3033650</v>
      </c>
      <c r="BJ129" s="230">
        <v>-433000</v>
      </c>
      <c r="BK129" s="229">
        <v>-0.14269999999999999</v>
      </c>
      <c r="BL129" s="230">
        <v>1415100</v>
      </c>
      <c r="BM129" s="230">
        <v>2105650</v>
      </c>
      <c r="BN129" s="230">
        <v>-690550</v>
      </c>
      <c r="BO129" s="229">
        <v>-0.32800000000000001</v>
      </c>
      <c r="BP129" s="230">
        <v>4389350</v>
      </c>
      <c r="BQ129" s="230">
        <v>5526950</v>
      </c>
      <c r="BR129" s="230">
        <v>-1137600</v>
      </c>
      <c r="BS129" s="229">
        <v>-0.20580000000000001</v>
      </c>
      <c r="BT129" s="230">
        <v>291439</v>
      </c>
      <c r="BU129" s="230">
        <v>271764</v>
      </c>
      <c r="BV129" s="230">
        <v>19675</v>
      </c>
      <c r="BW129" s="229">
        <v>7.2400000000000006E-2</v>
      </c>
      <c r="BX129" s="230">
        <v>2820700</v>
      </c>
      <c r="BY129" s="230">
        <v>2826650</v>
      </c>
      <c r="BZ129" s="230">
        <v>-5950</v>
      </c>
      <c r="CA129" s="229">
        <v>-2.0999999999999999E-3</v>
      </c>
      <c r="CB129" s="230">
        <v>2663950</v>
      </c>
      <c r="CC129" s="230">
        <v>2695350</v>
      </c>
      <c r="CD129" s="230">
        <v>-31400</v>
      </c>
      <c r="CE129" s="229">
        <v>-1.1599999999999999E-2</v>
      </c>
      <c r="CF129" s="230">
        <v>137200</v>
      </c>
      <c r="CG129" s="230">
        <v>111950</v>
      </c>
      <c r="CH129" s="230">
        <v>25250</v>
      </c>
      <c r="CI129" s="229">
        <v>0.22550000000000001</v>
      </c>
      <c r="CJ129" s="230">
        <v>19550</v>
      </c>
      <c r="CK129" s="230">
        <v>19350</v>
      </c>
      <c r="CL129" s="228">
        <v>200</v>
      </c>
      <c r="CM129" s="229">
        <v>1.03E-2</v>
      </c>
      <c r="CN129" s="230">
        <v>3058100</v>
      </c>
      <c r="CO129" s="230">
        <v>3181300</v>
      </c>
      <c r="CP129" s="230">
        <v>-123200</v>
      </c>
      <c r="CQ129" s="229">
        <v>-3.8699999999999998E-2</v>
      </c>
      <c r="CR129" s="230">
        <v>1781400</v>
      </c>
      <c r="CS129" s="230">
        <v>1741250</v>
      </c>
      <c r="CT129" s="230">
        <v>40150</v>
      </c>
      <c r="CU129" s="229">
        <v>2.3099999999999999E-2</v>
      </c>
      <c r="CV129" s="230">
        <v>7660200</v>
      </c>
      <c r="CW129" s="230">
        <v>7749200</v>
      </c>
      <c r="CX129" s="230">
        <v>-89000</v>
      </c>
      <c r="CY129" s="229">
        <v>-1.15E-2</v>
      </c>
      <c r="CZ129" s="228">
        <v>18.899999999999999</v>
      </c>
      <c r="DA129" s="228">
        <v>19.72</v>
      </c>
      <c r="DB129" s="228">
        <v>-0.82</v>
      </c>
      <c r="DC129" s="228">
        <v>-0.82</v>
      </c>
      <c r="DD129" s="228">
        <v>25.73</v>
      </c>
      <c r="DE129" s="228">
        <v>25.78</v>
      </c>
      <c r="DF129" s="228">
        <v>-6.83</v>
      </c>
      <c r="DG129" s="228">
        <v>-0.05</v>
      </c>
      <c r="DH129" s="228">
        <v>18.600000000000001</v>
      </c>
      <c r="DI129" s="228">
        <v>19.600000000000001</v>
      </c>
      <c r="DJ129" s="228">
        <v>-1</v>
      </c>
      <c r="DK129" s="228">
        <v>-1</v>
      </c>
      <c r="DL129" s="228">
        <v>19.47</v>
      </c>
      <c r="DM129" s="228">
        <v>19.88</v>
      </c>
      <c r="DN129" s="228">
        <v>-0.41</v>
      </c>
      <c r="DO129" s="228">
        <v>-0.41</v>
      </c>
      <c r="DP129" s="228">
        <v>0.57999999999999996</v>
      </c>
      <c r="DQ129" s="228">
        <v>0.55000000000000004</v>
      </c>
      <c r="DR129" s="228">
        <v>0.03</v>
      </c>
      <c r="DS129" s="229">
        <v>5.45E-2</v>
      </c>
      <c r="DT129" s="231">
        <v>17000</v>
      </c>
      <c r="DU129" s="231">
        <v>15000</v>
      </c>
      <c r="DV129" s="228">
        <v>0.54</v>
      </c>
      <c r="DW129" s="228">
        <v>0.69</v>
      </c>
      <c r="DX129" s="228">
        <v>-0.15</v>
      </c>
      <c r="DY129" s="229">
        <v>-0.21740000000000001</v>
      </c>
      <c r="DZ129" s="229">
        <v>5.5599999999999997E-2</v>
      </c>
      <c r="EA129" s="230">
        <v>131300</v>
      </c>
      <c r="EB129" s="229">
        <v>5.5999999999999999E-3</v>
      </c>
      <c r="EC129" s="229">
        <v>5.5599999999999997E-2</v>
      </c>
      <c r="ED129" s="228">
        <v>95.29</v>
      </c>
      <c r="EE129" s="229">
        <v>5.7999999999999996E-3</v>
      </c>
      <c r="EF129" s="230">
        <v>170211</v>
      </c>
      <c r="EG129" s="230">
        <v>166692</v>
      </c>
      <c r="EH129" s="229">
        <v>2.1100000000000001E-2</v>
      </c>
      <c r="EI129" s="229">
        <v>0.58399999999999996</v>
      </c>
      <c r="EJ129" s="231">
        <v>437261.39</v>
      </c>
      <c r="EK129" s="231">
        <v>226651.51</v>
      </c>
      <c r="EL129" s="231">
        <v>61086.66</v>
      </c>
      <c r="EM129" s="231">
        <v>11328</v>
      </c>
      <c r="EN129" s="231">
        <v>724999.56</v>
      </c>
      <c r="EO129" s="231">
        <v>910799.86</v>
      </c>
      <c r="EP129" s="231">
        <v>-185800.3</v>
      </c>
      <c r="EQ129" s="229">
        <v>-0.20399999999999999</v>
      </c>
      <c r="ER129" s="231">
        <v>511951</v>
      </c>
      <c r="ES129" s="231">
        <v>274750</v>
      </c>
      <c r="ET129" s="231">
        <v>461459</v>
      </c>
      <c r="EU129" s="231">
        <v>16752897</v>
      </c>
      <c r="EV129" s="231">
        <v>1248160</v>
      </c>
      <c r="EW129" s="231">
        <v>1260935</v>
      </c>
      <c r="EX129" s="231">
        <v>-12775</v>
      </c>
      <c r="EY129" s="229">
        <v>-1.01E-2</v>
      </c>
      <c r="EZ129" s="229">
        <v>0.4572</v>
      </c>
      <c r="FA129" s="227" t="s">
        <v>556</v>
      </c>
      <c r="FB129" s="161">
        <f t="shared" si="1"/>
        <v>156750</v>
      </c>
    </row>
    <row r="130" spans="1:158" ht="17.25" hidden="1" thickBot="1" x14ac:dyDescent="0.3">
      <c r="A130" s="226">
        <v>45946</v>
      </c>
      <c r="B130" s="227" t="s">
        <v>170</v>
      </c>
      <c r="C130" s="227" t="s">
        <v>603</v>
      </c>
      <c r="D130" s="228">
        <v>525</v>
      </c>
      <c r="E130" s="231">
        <v>1178.7</v>
      </c>
      <c r="F130" s="231">
        <v>1159.3</v>
      </c>
      <c r="G130" s="228">
        <v>19.399999999999999</v>
      </c>
      <c r="H130" s="229">
        <v>1.67E-2</v>
      </c>
      <c r="I130" s="231">
        <v>1175.3</v>
      </c>
      <c r="J130" s="231">
        <v>1155.8</v>
      </c>
      <c r="K130" s="228">
        <v>19.5</v>
      </c>
      <c r="L130" s="229">
        <v>1.6899999999999998E-2</v>
      </c>
      <c r="M130" s="231">
        <v>1178.7</v>
      </c>
      <c r="N130" s="231">
        <v>1159.3</v>
      </c>
      <c r="O130" s="228">
        <v>19.399999999999999</v>
      </c>
      <c r="P130" s="229">
        <v>1.67E-2</v>
      </c>
      <c r="Q130" s="231">
        <v>1185.3</v>
      </c>
      <c r="R130" s="231">
        <v>1166</v>
      </c>
      <c r="S130" s="228">
        <v>19.3</v>
      </c>
      <c r="T130" s="229">
        <v>1.66E-2</v>
      </c>
      <c r="U130" s="231">
        <v>1192.2</v>
      </c>
      <c r="V130" s="231">
        <v>1173</v>
      </c>
      <c r="W130" s="228">
        <v>19.2</v>
      </c>
      <c r="X130" s="229">
        <v>1.6400000000000001E-2</v>
      </c>
      <c r="Y130" s="228">
        <v>3.4</v>
      </c>
      <c r="Z130" s="228">
        <v>3.5</v>
      </c>
      <c r="AA130" s="228">
        <v>-0.1</v>
      </c>
      <c r="AB130" s="229">
        <v>2.8999999999999998E-3</v>
      </c>
      <c r="AC130" s="228">
        <v>3.4</v>
      </c>
      <c r="AD130" s="228">
        <v>3.5</v>
      </c>
      <c r="AE130" s="228">
        <v>-0.1</v>
      </c>
      <c r="AF130" s="229">
        <v>2.8999999999999998E-3</v>
      </c>
      <c r="AG130" s="228">
        <v>10</v>
      </c>
      <c r="AH130" s="228">
        <v>10.199999999999999</v>
      </c>
      <c r="AI130" s="228">
        <v>-0.2</v>
      </c>
      <c r="AJ130" s="229">
        <v>8.5000000000000006E-3</v>
      </c>
      <c r="AK130" s="228">
        <v>16.899999999999999</v>
      </c>
      <c r="AL130" s="228">
        <v>17.2</v>
      </c>
      <c r="AM130" s="228">
        <v>-0.3</v>
      </c>
      <c r="AN130" s="229">
        <v>1.44E-2</v>
      </c>
      <c r="AO130" s="231">
        <v>1171.8800000000001</v>
      </c>
      <c r="AP130" s="231">
        <v>1179.1199999999999</v>
      </c>
      <c r="AQ130" s="228">
        <v>0</v>
      </c>
      <c r="AR130" s="230">
        <v>2010225</v>
      </c>
      <c r="AS130" s="230">
        <v>1556100</v>
      </c>
      <c r="AT130" s="230">
        <v>454125</v>
      </c>
      <c r="AU130" s="229">
        <v>0.2918</v>
      </c>
      <c r="AV130" s="230">
        <v>1864275</v>
      </c>
      <c r="AW130" s="230">
        <v>1388100</v>
      </c>
      <c r="AX130" s="230">
        <v>476175</v>
      </c>
      <c r="AY130" s="229">
        <v>0.34300000000000003</v>
      </c>
      <c r="AZ130" s="230">
        <v>141750</v>
      </c>
      <c r="BA130" s="230">
        <v>161700</v>
      </c>
      <c r="BB130" s="230">
        <v>-19950</v>
      </c>
      <c r="BC130" s="229">
        <v>-0.1234</v>
      </c>
      <c r="BD130" s="230">
        <v>4200</v>
      </c>
      <c r="BE130" s="230">
        <v>6300</v>
      </c>
      <c r="BF130" s="230">
        <v>-2100</v>
      </c>
      <c r="BG130" s="229">
        <v>-0.33329999999999999</v>
      </c>
      <c r="BH130" s="230">
        <v>5960850</v>
      </c>
      <c r="BI130" s="230">
        <v>4481400</v>
      </c>
      <c r="BJ130" s="230">
        <v>1479450</v>
      </c>
      <c r="BK130" s="229">
        <v>0.3301</v>
      </c>
      <c r="BL130" s="230">
        <v>2062725</v>
      </c>
      <c r="BM130" s="230">
        <v>2385075</v>
      </c>
      <c r="BN130" s="230">
        <v>-322350</v>
      </c>
      <c r="BO130" s="229">
        <v>-0.13519999999999999</v>
      </c>
      <c r="BP130" s="230">
        <v>10033800</v>
      </c>
      <c r="BQ130" s="230">
        <v>8422575</v>
      </c>
      <c r="BR130" s="230">
        <v>1611225</v>
      </c>
      <c r="BS130" s="229">
        <v>0.1913</v>
      </c>
      <c r="BT130" s="230">
        <v>2399211</v>
      </c>
      <c r="BU130" s="230">
        <v>1816746</v>
      </c>
      <c r="BV130" s="230">
        <v>582465</v>
      </c>
      <c r="BW130" s="229">
        <v>0.3206</v>
      </c>
      <c r="BX130" s="230">
        <v>16456650</v>
      </c>
      <c r="BY130" s="230">
        <v>16507575</v>
      </c>
      <c r="BZ130" s="230">
        <v>-50925</v>
      </c>
      <c r="CA130" s="229">
        <v>-3.0999999999999999E-3</v>
      </c>
      <c r="CB130" s="230">
        <v>16015650</v>
      </c>
      <c r="CC130" s="230">
        <v>16100175</v>
      </c>
      <c r="CD130" s="230">
        <v>-84525</v>
      </c>
      <c r="CE130" s="229">
        <v>-5.1999999999999998E-3</v>
      </c>
      <c r="CF130" s="230">
        <v>401100</v>
      </c>
      <c r="CG130" s="230">
        <v>367500</v>
      </c>
      <c r="CH130" s="230">
        <v>33600</v>
      </c>
      <c r="CI130" s="229">
        <v>9.1399999999999995E-2</v>
      </c>
      <c r="CJ130" s="230">
        <v>39900</v>
      </c>
      <c r="CK130" s="230">
        <v>39900</v>
      </c>
      <c r="CL130" s="228">
        <v>0</v>
      </c>
      <c r="CM130" s="229">
        <v>0</v>
      </c>
      <c r="CN130" s="230">
        <v>4208925</v>
      </c>
      <c r="CO130" s="230">
        <v>3971100</v>
      </c>
      <c r="CP130" s="230">
        <v>237825</v>
      </c>
      <c r="CQ130" s="229">
        <v>5.9900000000000002E-2</v>
      </c>
      <c r="CR130" s="230">
        <v>2842875</v>
      </c>
      <c r="CS130" s="230">
        <v>2767275</v>
      </c>
      <c r="CT130" s="230">
        <v>75600</v>
      </c>
      <c r="CU130" s="229">
        <v>2.7300000000000001E-2</v>
      </c>
      <c r="CV130" s="230">
        <v>23508450</v>
      </c>
      <c r="CW130" s="230">
        <v>23245950</v>
      </c>
      <c r="CX130" s="230">
        <v>262500</v>
      </c>
      <c r="CY130" s="229">
        <v>1.1299999999999999E-2</v>
      </c>
      <c r="CZ130" s="228">
        <v>28.27</v>
      </c>
      <c r="DA130" s="228">
        <v>28.04</v>
      </c>
      <c r="DB130" s="228">
        <v>0.23</v>
      </c>
      <c r="DC130" s="228">
        <v>0.23</v>
      </c>
      <c r="DD130" s="228">
        <v>41.16</v>
      </c>
      <c r="DE130" s="228">
        <v>41.2</v>
      </c>
      <c r="DF130" s="228">
        <v>-12.89</v>
      </c>
      <c r="DG130" s="228">
        <v>-0.04</v>
      </c>
      <c r="DH130" s="228">
        <v>27.92</v>
      </c>
      <c r="DI130" s="228">
        <v>27.81</v>
      </c>
      <c r="DJ130" s="228">
        <v>0.11</v>
      </c>
      <c r="DK130" s="228">
        <v>0.11</v>
      </c>
      <c r="DL130" s="228">
        <v>29.3</v>
      </c>
      <c r="DM130" s="228">
        <v>28.48</v>
      </c>
      <c r="DN130" s="228">
        <v>0.82</v>
      </c>
      <c r="DO130" s="228">
        <v>0.82</v>
      </c>
      <c r="DP130" s="228">
        <v>0.68</v>
      </c>
      <c r="DQ130" s="228">
        <v>0.7</v>
      </c>
      <c r="DR130" s="228">
        <v>-0.02</v>
      </c>
      <c r="DS130" s="229">
        <v>-2.86E-2</v>
      </c>
      <c r="DT130" s="231">
        <v>1200</v>
      </c>
      <c r="DU130" s="231">
        <v>1060</v>
      </c>
      <c r="DV130" s="228">
        <v>0.35</v>
      </c>
      <c r="DW130" s="228">
        <v>0.53</v>
      </c>
      <c r="DX130" s="228">
        <v>-0.18</v>
      </c>
      <c r="DY130" s="229">
        <v>-0.33960000000000001</v>
      </c>
      <c r="DZ130" s="229">
        <v>2.6800000000000001E-2</v>
      </c>
      <c r="EA130" s="230">
        <v>407400</v>
      </c>
      <c r="EB130" s="229">
        <v>5.5999999999999999E-3</v>
      </c>
      <c r="EC130" s="229">
        <v>2.6800000000000001E-2</v>
      </c>
      <c r="ED130" s="228">
        <v>7.24</v>
      </c>
      <c r="EE130" s="229">
        <v>6.1999999999999998E-3</v>
      </c>
      <c r="EF130" s="230">
        <v>1651141</v>
      </c>
      <c r="EG130" s="230">
        <v>1171648</v>
      </c>
      <c r="EH130" s="229">
        <v>0.40920000000000001</v>
      </c>
      <c r="EI130" s="229">
        <v>0.68820000000000003</v>
      </c>
      <c r="EJ130" s="231">
        <v>72201.16</v>
      </c>
      <c r="EK130" s="231">
        <v>23449.78</v>
      </c>
      <c r="EL130" s="231">
        <v>23568.31</v>
      </c>
      <c r="EM130" s="231">
        <v>3421</v>
      </c>
      <c r="EN130" s="231">
        <v>119219.25</v>
      </c>
      <c r="EO130" s="231">
        <v>99328.06</v>
      </c>
      <c r="EP130" s="231">
        <v>19891.189999999999</v>
      </c>
      <c r="EQ130" s="229">
        <v>0.20030000000000001</v>
      </c>
      <c r="ER130" s="231">
        <v>50237</v>
      </c>
      <c r="ES130" s="231">
        <v>31890</v>
      </c>
      <c r="ET130" s="231">
        <v>194006</v>
      </c>
      <c r="EU130" s="231">
        <v>97211768</v>
      </c>
      <c r="EV130" s="231">
        <v>276133</v>
      </c>
      <c r="EW130" s="231">
        <v>269608</v>
      </c>
      <c r="EX130" s="231">
        <v>6525</v>
      </c>
      <c r="EY130" s="229">
        <v>2.4199999999999999E-2</v>
      </c>
      <c r="EZ130" s="229">
        <v>0.24179999999999999</v>
      </c>
      <c r="FA130" s="227" t="s">
        <v>556</v>
      </c>
      <c r="FB130" s="161">
        <f t="shared" si="1"/>
        <v>441000</v>
      </c>
    </row>
    <row r="131" spans="1:158" ht="17.25" hidden="1" thickBot="1" x14ac:dyDescent="0.3">
      <c r="A131" s="226">
        <v>45946</v>
      </c>
      <c r="B131" s="227" t="s">
        <v>215</v>
      </c>
      <c r="C131" s="227" t="s">
        <v>674</v>
      </c>
      <c r="D131" s="228">
        <v>175</v>
      </c>
      <c r="E131" s="231">
        <v>2844</v>
      </c>
      <c r="F131" s="231">
        <v>2864.5</v>
      </c>
      <c r="G131" s="228">
        <v>-20.5</v>
      </c>
      <c r="H131" s="229">
        <v>-7.1999999999999998E-3</v>
      </c>
      <c r="I131" s="231">
        <v>2831.9</v>
      </c>
      <c r="J131" s="231">
        <v>2852.4</v>
      </c>
      <c r="K131" s="228">
        <v>-20.5</v>
      </c>
      <c r="L131" s="229">
        <v>-7.1999999999999998E-3</v>
      </c>
      <c r="M131" s="231">
        <v>2844</v>
      </c>
      <c r="N131" s="231">
        <v>2864.5</v>
      </c>
      <c r="O131" s="228">
        <v>-20.5</v>
      </c>
      <c r="P131" s="229">
        <v>-7.1999999999999998E-3</v>
      </c>
      <c r="Q131" s="231">
        <v>2852.8</v>
      </c>
      <c r="R131" s="231">
        <v>2873.4</v>
      </c>
      <c r="S131" s="228">
        <v>-20.6</v>
      </c>
      <c r="T131" s="229">
        <v>-7.1999999999999998E-3</v>
      </c>
      <c r="U131" s="231">
        <v>2870.2</v>
      </c>
      <c r="V131" s="231">
        <v>2891.2</v>
      </c>
      <c r="W131" s="228">
        <v>-21</v>
      </c>
      <c r="X131" s="229">
        <v>-7.3000000000000001E-3</v>
      </c>
      <c r="Y131" s="228">
        <v>12.1</v>
      </c>
      <c r="Z131" s="228">
        <v>12.1</v>
      </c>
      <c r="AA131" s="228">
        <v>0</v>
      </c>
      <c r="AB131" s="229">
        <v>4.3E-3</v>
      </c>
      <c r="AC131" s="228">
        <v>12.1</v>
      </c>
      <c r="AD131" s="228">
        <v>12.1</v>
      </c>
      <c r="AE131" s="228">
        <v>0</v>
      </c>
      <c r="AF131" s="229">
        <v>4.3E-3</v>
      </c>
      <c r="AG131" s="228">
        <v>20.9</v>
      </c>
      <c r="AH131" s="228">
        <v>21</v>
      </c>
      <c r="AI131" s="228">
        <v>-0.1</v>
      </c>
      <c r="AJ131" s="229">
        <v>7.4000000000000003E-3</v>
      </c>
      <c r="AK131" s="228">
        <v>38.299999999999997</v>
      </c>
      <c r="AL131" s="228">
        <v>38.799999999999997</v>
      </c>
      <c r="AM131" s="228">
        <v>-0.5</v>
      </c>
      <c r="AN131" s="229">
        <v>1.35E-2</v>
      </c>
      <c r="AO131" s="231">
        <v>2863.42</v>
      </c>
      <c r="AP131" s="231">
        <v>2870.24</v>
      </c>
      <c r="AQ131" s="228">
        <v>0</v>
      </c>
      <c r="AR131" s="230">
        <v>786100</v>
      </c>
      <c r="AS131" s="230">
        <v>872550</v>
      </c>
      <c r="AT131" s="230">
        <v>-86450</v>
      </c>
      <c r="AU131" s="229">
        <v>-9.9099999999999994E-2</v>
      </c>
      <c r="AV131" s="230">
        <v>677600</v>
      </c>
      <c r="AW131" s="230">
        <v>753200</v>
      </c>
      <c r="AX131" s="230">
        <v>-75600</v>
      </c>
      <c r="AY131" s="229">
        <v>-0.1004</v>
      </c>
      <c r="AZ131" s="230">
        <v>102725</v>
      </c>
      <c r="BA131" s="230">
        <v>113400</v>
      </c>
      <c r="BB131" s="230">
        <v>-10675</v>
      </c>
      <c r="BC131" s="229">
        <v>-9.4100000000000003E-2</v>
      </c>
      <c r="BD131" s="230">
        <v>5775</v>
      </c>
      <c r="BE131" s="230">
        <v>5950</v>
      </c>
      <c r="BF131" s="228">
        <v>-175</v>
      </c>
      <c r="BG131" s="229">
        <v>-2.9399999999999999E-2</v>
      </c>
      <c r="BH131" s="230">
        <v>2138150</v>
      </c>
      <c r="BI131" s="230">
        <v>4251100</v>
      </c>
      <c r="BJ131" s="230">
        <v>-2112950</v>
      </c>
      <c r="BK131" s="229">
        <v>-0.497</v>
      </c>
      <c r="BL131" s="230">
        <v>725900</v>
      </c>
      <c r="BM131" s="230">
        <v>1182650</v>
      </c>
      <c r="BN131" s="230">
        <v>-456750</v>
      </c>
      <c r="BO131" s="229">
        <v>-0.38619999999999999</v>
      </c>
      <c r="BP131" s="230">
        <v>3650150</v>
      </c>
      <c r="BQ131" s="230">
        <v>6306300</v>
      </c>
      <c r="BR131" s="230">
        <v>-2656150</v>
      </c>
      <c r="BS131" s="229">
        <v>-0.42120000000000002</v>
      </c>
      <c r="BT131" s="230">
        <v>833957</v>
      </c>
      <c r="BU131" s="230">
        <v>828065</v>
      </c>
      <c r="BV131" s="230">
        <v>5892</v>
      </c>
      <c r="BW131" s="229">
        <v>7.1000000000000004E-3</v>
      </c>
      <c r="BX131" s="230">
        <v>3726450</v>
      </c>
      <c r="BY131" s="230">
        <v>3701600</v>
      </c>
      <c r="BZ131" s="230">
        <v>24850</v>
      </c>
      <c r="CA131" s="229">
        <v>6.7000000000000002E-3</v>
      </c>
      <c r="CB131" s="230">
        <v>3400075</v>
      </c>
      <c r="CC131" s="230">
        <v>3426675</v>
      </c>
      <c r="CD131" s="230">
        <v>-26600</v>
      </c>
      <c r="CE131" s="229">
        <v>-7.7999999999999996E-3</v>
      </c>
      <c r="CF131" s="230">
        <v>308000</v>
      </c>
      <c r="CG131" s="230">
        <v>260400</v>
      </c>
      <c r="CH131" s="230">
        <v>47600</v>
      </c>
      <c r="CI131" s="229">
        <v>0.18279999999999999</v>
      </c>
      <c r="CJ131" s="230">
        <v>18375</v>
      </c>
      <c r="CK131" s="230">
        <v>14525</v>
      </c>
      <c r="CL131" s="230">
        <v>3850</v>
      </c>
      <c r="CM131" s="229">
        <v>0.2651</v>
      </c>
      <c r="CN131" s="230">
        <v>2951200</v>
      </c>
      <c r="CO131" s="230">
        <v>2931950</v>
      </c>
      <c r="CP131" s="230">
        <v>19250</v>
      </c>
      <c r="CQ131" s="229">
        <v>6.6E-3</v>
      </c>
      <c r="CR131" s="230">
        <v>1416800</v>
      </c>
      <c r="CS131" s="230">
        <v>1400700</v>
      </c>
      <c r="CT131" s="230">
        <v>16100</v>
      </c>
      <c r="CU131" s="229">
        <v>1.15E-2</v>
      </c>
      <c r="CV131" s="230">
        <v>8094450</v>
      </c>
      <c r="CW131" s="230">
        <v>8034250</v>
      </c>
      <c r="CX131" s="230">
        <v>60200</v>
      </c>
      <c r="CY131" s="229">
        <v>7.4999999999999997E-3</v>
      </c>
      <c r="CZ131" s="228">
        <v>36.409999999999997</v>
      </c>
      <c r="DA131" s="228">
        <v>36.39</v>
      </c>
      <c r="DB131" s="228">
        <v>0.02</v>
      </c>
      <c r="DC131" s="228">
        <v>0.02</v>
      </c>
      <c r="DD131" s="228">
        <v>59.84</v>
      </c>
      <c r="DE131" s="228">
        <v>59.98</v>
      </c>
      <c r="DF131" s="228">
        <v>-23.43</v>
      </c>
      <c r="DG131" s="228">
        <v>-0.14000000000000001</v>
      </c>
      <c r="DH131" s="228">
        <v>37.020000000000003</v>
      </c>
      <c r="DI131" s="228">
        <v>36.950000000000003</v>
      </c>
      <c r="DJ131" s="228">
        <v>7.0000000000000007E-2</v>
      </c>
      <c r="DK131" s="228">
        <v>7.0000000000000007E-2</v>
      </c>
      <c r="DL131" s="228">
        <v>34.630000000000003</v>
      </c>
      <c r="DM131" s="228">
        <v>34.39</v>
      </c>
      <c r="DN131" s="228">
        <v>0.24</v>
      </c>
      <c r="DO131" s="228">
        <v>0.24</v>
      </c>
      <c r="DP131" s="228">
        <v>0.48</v>
      </c>
      <c r="DQ131" s="228">
        <v>0.48</v>
      </c>
      <c r="DR131" s="228">
        <v>0</v>
      </c>
      <c r="DS131" s="229">
        <v>0</v>
      </c>
      <c r="DT131" s="231">
        <v>3000</v>
      </c>
      <c r="DU131" s="231">
        <v>2800</v>
      </c>
      <c r="DV131" s="228">
        <v>0.34</v>
      </c>
      <c r="DW131" s="228">
        <v>0.28000000000000003</v>
      </c>
      <c r="DX131" s="228">
        <v>0.06</v>
      </c>
      <c r="DY131" s="229">
        <v>0.21429999999999999</v>
      </c>
      <c r="DZ131" s="229">
        <v>8.7599999999999997E-2</v>
      </c>
      <c r="EA131" s="230">
        <v>274925</v>
      </c>
      <c r="EB131" s="229">
        <v>3.0999999999999999E-3</v>
      </c>
      <c r="EC131" s="229">
        <v>8.7599999999999997E-2</v>
      </c>
      <c r="ED131" s="228">
        <v>6.82</v>
      </c>
      <c r="EE131" s="229">
        <v>2.3999999999999998E-3</v>
      </c>
      <c r="EF131" s="230">
        <v>372455</v>
      </c>
      <c r="EG131" s="230">
        <v>234447</v>
      </c>
      <c r="EH131" s="229">
        <v>0.5887</v>
      </c>
      <c r="EI131" s="229">
        <v>0.4466</v>
      </c>
      <c r="EJ131" s="231">
        <v>64483.839999999997</v>
      </c>
      <c r="EK131" s="231">
        <v>20478.419999999998</v>
      </c>
      <c r="EL131" s="231">
        <v>22518.03</v>
      </c>
      <c r="EM131" s="231">
        <v>4147</v>
      </c>
      <c r="EN131" s="231">
        <v>107480.29</v>
      </c>
      <c r="EO131" s="231">
        <v>186953.7</v>
      </c>
      <c r="EP131" s="231">
        <v>-79473.41</v>
      </c>
      <c r="EQ131" s="229">
        <v>-0.42509999999999998</v>
      </c>
      <c r="ER131" s="231">
        <v>89114</v>
      </c>
      <c r="ES131" s="231">
        <v>39653</v>
      </c>
      <c r="ET131" s="231">
        <v>106012</v>
      </c>
      <c r="EU131" s="231">
        <v>11364224</v>
      </c>
      <c r="EV131" s="231">
        <v>234779</v>
      </c>
      <c r="EW131" s="231">
        <v>233946</v>
      </c>
      <c r="EX131" s="228">
        <v>833</v>
      </c>
      <c r="EY131" s="229">
        <v>3.5999999999999999E-3</v>
      </c>
      <c r="EZ131" s="229">
        <v>0.71230000000000004</v>
      </c>
      <c r="FA131" s="227" t="s">
        <v>567</v>
      </c>
      <c r="FB131" s="161">
        <f t="shared" ref="FB131:FB138" si="2">BX131-CB131</f>
        <v>326375</v>
      </c>
    </row>
    <row r="132" spans="1:158" ht="17.25" hidden="1" thickBot="1" x14ac:dyDescent="0.3">
      <c r="A132" s="226">
        <v>45946</v>
      </c>
      <c r="B132" s="227" t="s">
        <v>175</v>
      </c>
      <c r="C132" s="227" t="s">
        <v>517</v>
      </c>
      <c r="D132" s="228">
        <v>125</v>
      </c>
      <c r="E132" s="231">
        <v>9360.5</v>
      </c>
      <c r="F132" s="231">
        <v>9579.5</v>
      </c>
      <c r="G132" s="228">
        <v>-219</v>
      </c>
      <c r="H132" s="229">
        <v>-2.29E-2</v>
      </c>
      <c r="I132" s="231">
        <v>9330.5</v>
      </c>
      <c r="J132" s="231">
        <v>9541</v>
      </c>
      <c r="K132" s="228">
        <v>-210.5</v>
      </c>
      <c r="L132" s="229">
        <v>-2.2100000000000002E-2</v>
      </c>
      <c r="M132" s="231">
        <v>9360.5</v>
      </c>
      <c r="N132" s="231">
        <v>9579.5</v>
      </c>
      <c r="O132" s="228">
        <v>-219</v>
      </c>
      <c r="P132" s="229">
        <v>-2.29E-2</v>
      </c>
      <c r="Q132" s="231">
        <v>9414</v>
      </c>
      <c r="R132" s="231">
        <v>9630</v>
      </c>
      <c r="S132" s="228">
        <v>-216</v>
      </c>
      <c r="T132" s="229">
        <v>-2.24E-2</v>
      </c>
      <c r="U132" s="231">
        <v>9463</v>
      </c>
      <c r="V132" s="231">
        <v>9670.5</v>
      </c>
      <c r="W132" s="228">
        <v>-207.5</v>
      </c>
      <c r="X132" s="229">
        <v>-2.1499999999999998E-2</v>
      </c>
      <c r="Y132" s="228">
        <v>30</v>
      </c>
      <c r="Z132" s="228">
        <v>38.5</v>
      </c>
      <c r="AA132" s="228">
        <v>-8.5</v>
      </c>
      <c r="AB132" s="229">
        <v>3.2000000000000002E-3</v>
      </c>
      <c r="AC132" s="228">
        <v>30</v>
      </c>
      <c r="AD132" s="228">
        <v>38.5</v>
      </c>
      <c r="AE132" s="228">
        <v>-8.5</v>
      </c>
      <c r="AF132" s="229">
        <v>3.2000000000000002E-3</v>
      </c>
      <c r="AG132" s="228">
        <v>83.5</v>
      </c>
      <c r="AH132" s="228">
        <v>89</v>
      </c>
      <c r="AI132" s="228">
        <v>-5.5</v>
      </c>
      <c r="AJ132" s="229">
        <v>8.8999999999999999E-3</v>
      </c>
      <c r="AK132" s="228">
        <v>132.5</v>
      </c>
      <c r="AL132" s="228">
        <v>129.5</v>
      </c>
      <c r="AM132" s="228">
        <v>3</v>
      </c>
      <c r="AN132" s="229">
        <v>1.4200000000000001E-2</v>
      </c>
      <c r="AO132" s="231">
        <v>9414.92</v>
      </c>
      <c r="AP132" s="231">
        <v>9476</v>
      </c>
      <c r="AQ132" s="228">
        <v>0</v>
      </c>
      <c r="AR132" s="230">
        <v>1430375</v>
      </c>
      <c r="AS132" s="230">
        <v>1166250</v>
      </c>
      <c r="AT132" s="230">
        <v>264125</v>
      </c>
      <c r="AU132" s="229">
        <v>0.22650000000000001</v>
      </c>
      <c r="AV132" s="230">
        <v>1172625</v>
      </c>
      <c r="AW132" s="230">
        <v>1022375</v>
      </c>
      <c r="AX132" s="230">
        <v>150250</v>
      </c>
      <c r="AY132" s="229">
        <v>0.14699999999999999</v>
      </c>
      <c r="AZ132" s="230">
        <v>242375</v>
      </c>
      <c r="BA132" s="230">
        <v>123375</v>
      </c>
      <c r="BB132" s="230">
        <v>119000</v>
      </c>
      <c r="BC132" s="229">
        <v>0.96450000000000002</v>
      </c>
      <c r="BD132" s="230">
        <v>15375</v>
      </c>
      <c r="BE132" s="230">
        <v>20500</v>
      </c>
      <c r="BF132" s="230">
        <v>-5125</v>
      </c>
      <c r="BG132" s="229">
        <v>-0.25</v>
      </c>
      <c r="BH132" s="230">
        <v>7439500</v>
      </c>
      <c r="BI132" s="230">
        <v>10069875</v>
      </c>
      <c r="BJ132" s="230">
        <v>-2630375</v>
      </c>
      <c r="BK132" s="229">
        <v>-0.26119999999999999</v>
      </c>
      <c r="BL132" s="230">
        <v>6523750</v>
      </c>
      <c r="BM132" s="230">
        <v>5893750</v>
      </c>
      <c r="BN132" s="230">
        <v>630000</v>
      </c>
      <c r="BO132" s="229">
        <v>0.1069</v>
      </c>
      <c r="BP132" s="230">
        <v>15393625</v>
      </c>
      <c r="BQ132" s="230">
        <v>17129875</v>
      </c>
      <c r="BR132" s="230">
        <v>-1736250</v>
      </c>
      <c r="BS132" s="229">
        <v>-0.1014</v>
      </c>
      <c r="BT132" s="230">
        <v>875856</v>
      </c>
      <c r="BU132" s="230">
        <v>1082498</v>
      </c>
      <c r="BV132" s="230">
        <v>-206642</v>
      </c>
      <c r="BW132" s="229">
        <v>-0.19089999999999999</v>
      </c>
      <c r="BX132" s="230">
        <v>2898000</v>
      </c>
      <c r="BY132" s="230">
        <v>2936750</v>
      </c>
      <c r="BZ132" s="230">
        <v>-38750</v>
      </c>
      <c r="CA132" s="229">
        <v>-1.32E-2</v>
      </c>
      <c r="CB132" s="230">
        <v>2683250</v>
      </c>
      <c r="CC132" s="230">
        <v>2763625</v>
      </c>
      <c r="CD132" s="230">
        <v>-80375</v>
      </c>
      <c r="CE132" s="229">
        <v>-2.9100000000000001E-2</v>
      </c>
      <c r="CF132" s="230">
        <v>186375</v>
      </c>
      <c r="CG132" s="230">
        <v>145125</v>
      </c>
      <c r="CH132" s="230">
        <v>41250</v>
      </c>
      <c r="CI132" s="229">
        <v>0.28420000000000001</v>
      </c>
      <c r="CJ132" s="230">
        <v>28375</v>
      </c>
      <c r="CK132" s="230">
        <v>28000</v>
      </c>
      <c r="CL132" s="228">
        <v>375</v>
      </c>
      <c r="CM132" s="229">
        <v>1.34E-2</v>
      </c>
      <c r="CN132" s="230">
        <v>3200250</v>
      </c>
      <c r="CO132" s="230">
        <v>2911375</v>
      </c>
      <c r="CP132" s="230">
        <v>288875</v>
      </c>
      <c r="CQ132" s="229">
        <v>9.9199999999999997E-2</v>
      </c>
      <c r="CR132" s="230">
        <v>2784500</v>
      </c>
      <c r="CS132" s="230">
        <v>2956250</v>
      </c>
      <c r="CT132" s="230">
        <v>-171750</v>
      </c>
      <c r="CU132" s="229">
        <v>-5.8099999999999999E-2</v>
      </c>
      <c r="CV132" s="230">
        <v>8882750</v>
      </c>
      <c r="CW132" s="230">
        <v>8804375</v>
      </c>
      <c r="CX132" s="230">
        <v>78375</v>
      </c>
      <c r="CY132" s="229">
        <v>8.8999999999999999E-3</v>
      </c>
      <c r="CZ132" s="228">
        <v>37.28</v>
      </c>
      <c r="DA132" s="228">
        <v>37.270000000000003</v>
      </c>
      <c r="DB132" s="228">
        <v>0.01</v>
      </c>
      <c r="DC132" s="228">
        <v>0.01</v>
      </c>
      <c r="DD132" s="228">
        <v>47.55</v>
      </c>
      <c r="DE132" s="228">
        <v>47.57</v>
      </c>
      <c r="DF132" s="228">
        <v>-10.27</v>
      </c>
      <c r="DG132" s="228">
        <v>-0.02</v>
      </c>
      <c r="DH132" s="228">
        <v>36.700000000000003</v>
      </c>
      <c r="DI132" s="228">
        <v>35.96</v>
      </c>
      <c r="DJ132" s="228">
        <v>0.74</v>
      </c>
      <c r="DK132" s="228">
        <v>0.74</v>
      </c>
      <c r="DL132" s="228">
        <v>37.94</v>
      </c>
      <c r="DM132" s="228">
        <v>39.49</v>
      </c>
      <c r="DN132" s="228">
        <v>-1.55</v>
      </c>
      <c r="DO132" s="228">
        <v>-1.55</v>
      </c>
      <c r="DP132" s="228">
        <v>0.87</v>
      </c>
      <c r="DQ132" s="228">
        <v>1.02</v>
      </c>
      <c r="DR132" s="228">
        <v>-0.15</v>
      </c>
      <c r="DS132" s="229">
        <v>-0.14710000000000001</v>
      </c>
      <c r="DT132" s="231">
        <v>10000</v>
      </c>
      <c r="DU132" s="231">
        <v>8000</v>
      </c>
      <c r="DV132" s="228">
        <v>0.88</v>
      </c>
      <c r="DW132" s="228">
        <v>0.59</v>
      </c>
      <c r="DX132" s="228">
        <v>0.28999999999999998</v>
      </c>
      <c r="DY132" s="229">
        <v>0.49149999999999999</v>
      </c>
      <c r="DZ132" s="229">
        <v>7.4099999999999999E-2</v>
      </c>
      <c r="EA132" s="230">
        <v>173125</v>
      </c>
      <c r="EB132" s="229">
        <v>5.7000000000000002E-3</v>
      </c>
      <c r="EC132" s="229">
        <v>7.4099999999999999E-2</v>
      </c>
      <c r="ED132" s="228">
        <v>61.08</v>
      </c>
      <c r="EE132" s="229">
        <v>6.4999999999999997E-3</v>
      </c>
      <c r="EF132" s="230">
        <v>292326</v>
      </c>
      <c r="EG132" s="230">
        <v>360451</v>
      </c>
      <c r="EH132" s="229">
        <v>-0.189</v>
      </c>
      <c r="EI132" s="229">
        <v>0.33379999999999999</v>
      </c>
      <c r="EJ132" s="231">
        <v>738525.33</v>
      </c>
      <c r="EK132" s="231">
        <v>592373.85</v>
      </c>
      <c r="EL132" s="231">
        <v>134832.79</v>
      </c>
      <c r="EM132" s="231">
        <v>14141</v>
      </c>
      <c r="EN132" s="231">
        <v>1465731.97</v>
      </c>
      <c r="EO132" s="231">
        <v>1656826.8799999999</v>
      </c>
      <c r="EP132" s="231">
        <v>-191094.91</v>
      </c>
      <c r="EQ132" s="229">
        <v>-0.1153</v>
      </c>
      <c r="ER132" s="231">
        <v>303983</v>
      </c>
      <c r="ES132" s="231">
        <v>235371</v>
      </c>
      <c r="ET132" s="231">
        <v>271396</v>
      </c>
      <c r="EU132" s="231">
        <v>7635422</v>
      </c>
      <c r="EV132" s="231">
        <v>810750</v>
      </c>
      <c r="EW132" s="231">
        <v>806923</v>
      </c>
      <c r="EX132" s="231">
        <v>3827</v>
      </c>
      <c r="EY132" s="229">
        <v>4.7000000000000002E-3</v>
      </c>
      <c r="EZ132" s="229">
        <v>1.1634</v>
      </c>
      <c r="FA132" s="227" t="s">
        <v>568</v>
      </c>
      <c r="FB132" s="161">
        <f t="shared" si="2"/>
        <v>214750</v>
      </c>
    </row>
    <row r="133" spans="1:158" ht="17.25" hidden="1" thickBot="1" x14ac:dyDescent="0.3">
      <c r="A133" s="226">
        <v>45946</v>
      </c>
      <c r="B133" s="227" t="s">
        <v>175</v>
      </c>
      <c r="C133" s="227" t="s">
        <v>257</v>
      </c>
      <c r="D133" s="228">
        <v>800</v>
      </c>
      <c r="E133" s="231">
        <v>1556.3</v>
      </c>
      <c r="F133" s="231">
        <v>1616.3</v>
      </c>
      <c r="G133" s="228">
        <v>-60</v>
      </c>
      <c r="H133" s="229">
        <v>-3.7100000000000001E-2</v>
      </c>
      <c r="I133" s="231">
        <v>1552.4</v>
      </c>
      <c r="J133" s="231">
        <v>1609.1</v>
      </c>
      <c r="K133" s="228">
        <v>-56.7</v>
      </c>
      <c r="L133" s="229">
        <v>-3.5200000000000002E-2</v>
      </c>
      <c r="M133" s="231">
        <v>1556.3</v>
      </c>
      <c r="N133" s="231">
        <v>1616.3</v>
      </c>
      <c r="O133" s="228">
        <v>-60</v>
      </c>
      <c r="P133" s="229">
        <v>-3.7100000000000001E-2</v>
      </c>
      <c r="Q133" s="231">
        <v>1564.8</v>
      </c>
      <c r="R133" s="231">
        <v>1625.2</v>
      </c>
      <c r="S133" s="228">
        <v>-60.4</v>
      </c>
      <c r="T133" s="229">
        <v>-3.7199999999999997E-2</v>
      </c>
      <c r="U133" s="231">
        <v>1568.5</v>
      </c>
      <c r="V133" s="231">
        <v>1635</v>
      </c>
      <c r="W133" s="228">
        <v>-66.5</v>
      </c>
      <c r="X133" s="229">
        <v>-4.07E-2</v>
      </c>
      <c r="Y133" s="228">
        <v>3.9</v>
      </c>
      <c r="Z133" s="228">
        <v>7.2</v>
      </c>
      <c r="AA133" s="228">
        <v>-3.3</v>
      </c>
      <c r="AB133" s="229">
        <v>2.5000000000000001E-3</v>
      </c>
      <c r="AC133" s="228">
        <v>3.9</v>
      </c>
      <c r="AD133" s="228">
        <v>7.2</v>
      </c>
      <c r="AE133" s="228">
        <v>-3.3</v>
      </c>
      <c r="AF133" s="229">
        <v>2.5000000000000001E-3</v>
      </c>
      <c r="AG133" s="228">
        <v>12.4</v>
      </c>
      <c r="AH133" s="228">
        <v>16.100000000000001</v>
      </c>
      <c r="AI133" s="228">
        <v>-3.7</v>
      </c>
      <c r="AJ133" s="229">
        <v>8.0000000000000002E-3</v>
      </c>
      <c r="AK133" s="228">
        <v>16.100000000000001</v>
      </c>
      <c r="AL133" s="228">
        <v>25.9</v>
      </c>
      <c r="AM133" s="228">
        <v>-9.8000000000000007</v>
      </c>
      <c r="AN133" s="229">
        <v>1.04E-2</v>
      </c>
      <c r="AO133" s="231">
        <v>1566.49</v>
      </c>
      <c r="AP133" s="231">
        <v>1576.49</v>
      </c>
      <c r="AQ133" s="228">
        <v>0</v>
      </c>
      <c r="AR133" s="230">
        <v>2464800</v>
      </c>
      <c r="AS133" s="230">
        <v>796800</v>
      </c>
      <c r="AT133" s="230">
        <v>1668000</v>
      </c>
      <c r="AU133" s="229">
        <v>2.0933999999999999</v>
      </c>
      <c r="AV133" s="230">
        <v>2257600</v>
      </c>
      <c r="AW133" s="230">
        <v>748000</v>
      </c>
      <c r="AX133" s="230">
        <v>1509600</v>
      </c>
      <c r="AY133" s="229">
        <v>2.0182000000000002</v>
      </c>
      <c r="AZ133" s="230">
        <v>194400</v>
      </c>
      <c r="BA133" s="230">
        <v>47200</v>
      </c>
      <c r="BB133" s="230">
        <v>147200</v>
      </c>
      <c r="BC133" s="229">
        <v>3.1185999999999998</v>
      </c>
      <c r="BD133" s="230">
        <v>12800</v>
      </c>
      <c r="BE133" s="230">
        <v>1600</v>
      </c>
      <c r="BF133" s="230">
        <v>11200</v>
      </c>
      <c r="BG133" s="229">
        <v>7</v>
      </c>
      <c r="BH133" s="230">
        <v>5014400</v>
      </c>
      <c r="BI133" s="230">
        <v>1855200</v>
      </c>
      <c r="BJ133" s="230">
        <v>3159200</v>
      </c>
      <c r="BK133" s="229">
        <v>1.7029000000000001</v>
      </c>
      <c r="BL133" s="230">
        <v>2344000</v>
      </c>
      <c r="BM133" s="230">
        <v>554400</v>
      </c>
      <c r="BN133" s="230">
        <v>1789600</v>
      </c>
      <c r="BO133" s="229">
        <v>3.2280000000000002</v>
      </c>
      <c r="BP133" s="230">
        <v>9823200</v>
      </c>
      <c r="BQ133" s="230">
        <v>3206400</v>
      </c>
      <c r="BR133" s="230">
        <v>6616800</v>
      </c>
      <c r="BS133" s="229">
        <v>2.0636000000000001</v>
      </c>
      <c r="BT133" s="230">
        <v>990907</v>
      </c>
      <c r="BU133" s="230">
        <v>506946</v>
      </c>
      <c r="BV133" s="230">
        <v>483961</v>
      </c>
      <c r="BW133" s="229">
        <v>0.95469999999999999</v>
      </c>
      <c r="BX133" s="230">
        <v>5941600</v>
      </c>
      <c r="BY133" s="230">
        <v>6087200</v>
      </c>
      <c r="BZ133" s="230">
        <v>-145600</v>
      </c>
      <c r="CA133" s="229">
        <v>-2.3900000000000001E-2</v>
      </c>
      <c r="CB133" s="230">
        <v>5785600</v>
      </c>
      <c r="CC133" s="230">
        <v>6005600</v>
      </c>
      <c r="CD133" s="230">
        <v>-220000</v>
      </c>
      <c r="CE133" s="229">
        <v>-3.6600000000000001E-2</v>
      </c>
      <c r="CF133" s="230">
        <v>144000</v>
      </c>
      <c r="CG133" s="230">
        <v>77600</v>
      </c>
      <c r="CH133" s="230">
        <v>66400</v>
      </c>
      <c r="CI133" s="229">
        <v>0.85570000000000002</v>
      </c>
      <c r="CJ133" s="230">
        <v>12000</v>
      </c>
      <c r="CK133" s="230">
        <v>4000</v>
      </c>
      <c r="CL133" s="230">
        <v>8000</v>
      </c>
      <c r="CM133" s="229">
        <v>2</v>
      </c>
      <c r="CN133" s="230">
        <v>2109600</v>
      </c>
      <c r="CO133" s="230">
        <v>1264800</v>
      </c>
      <c r="CP133" s="230">
        <v>844800</v>
      </c>
      <c r="CQ133" s="229">
        <v>0.66790000000000005</v>
      </c>
      <c r="CR133" s="230">
        <v>1116800</v>
      </c>
      <c r="CS133" s="230">
        <v>781600</v>
      </c>
      <c r="CT133" s="230">
        <v>335200</v>
      </c>
      <c r="CU133" s="229">
        <v>0.4289</v>
      </c>
      <c r="CV133" s="230">
        <v>9168000</v>
      </c>
      <c r="CW133" s="230">
        <v>8133600</v>
      </c>
      <c r="CX133" s="230">
        <v>1034400</v>
      </c>
      <c r="CY133" s="229">
        <v>0.12720000000000001</v>
      </c>
      <c r="CZ133" s="228">
        <v>26.19</v>
      </c>
      <c r="DA133" s="228">
        <v>23.89</v>
      </c>
      <c r="DB133" s="228">
        <v>2.2999999999999998</v>
      </c>
      <c r="DC133" s="228">
        <v>2.2999999999999998</v>
      </c>
      <c r="DD133" s="228">
        <v>30.73</v>
      </c>
      <c r="DE133" s="228">
        <v>30.38</v>
      </c>
      <c r="DF133" s="228">
        <v>-4.54</v>
      </c>
      <c r="DG133" s="228">
        <v>0.35</v>
      </c>
      <c r="DH133" s="228">
        <v>26.72</v>
      </c>
      <c r="DI133" s="228">
        <v>23.53</v>
      </c>
      <c r="DJ133" s="228">
        <v>3.19</v>
      </c>
      <c r="DK133" s="228">
        <v>3.19</v>
      </c>
      <c r="DL133" s="228">
        <v>25.04</v>
      </c>
      <c r="DM133" s="228">
        <v>25.11</v>
      </c>
      <c r="DN133" s="228">
        <v>-7.0000000000000007E-2</v>
      </c>
      <c r="DO133" s="228">
        <v>-7.0000000000000007E-2</v>
      </c>
      <c r="DP133" s="228">
        <v>0.53</v>
      </c>
      <c r="DQ133" s="228">
        <v>0.62</v>
      </c>
      <c r="DR133" s="228">
        <v>-0.09</v>
      </c>
      <c r="DS133" s="229">
        <v>-0.1452</v>
      </c>
      <c r="DT133" s="231">
        <v>1700</v>
      </c>
      <c r="DU133" s="231">
        <v>1460</v>
      </c>
      <c r="DV133" s="228">
        <v>0.47</v>
      </c>
      <c r="DW133" s="228">
        <v>0.3</v>
      </c>
      <c r="DX133" s="228">
        <v>0.17</v>
      </c>
      <c r="DY133" s="229">
        <v>0.56669999999999998</v>
      </c>
      <c r="DZ133" s="229">
        <v>2.63E-2</v>
      </c>
      <c r="EA133" s="230">
        <v>81600</v>
      </c>
      <c r="EB133" s="229">
        <v>5.4999999999999997E-3</v>
      </c>
      <c r="EC133" s="229">
        <v>2.63E-2</v>
      </c>
      <c r="ED133" s="228">
        <v>10</v>
      </c>
      <c r="EE133" s="229">
        <v>6.4000000000000003E-3</v>
      </c>
      <c r="EF133" s="230">
        <v>507153</v>
      </c>
      <c r="EG133" s="230">
        <v>286616</v>
      </c>
      <c r="EH133" s="229">
        <v>0.76949999999999996</v>
      </c>
      <c r="EI133" s="229">
        <v>0.51180000000000003</v>
      </c>
      <c r="EJ133" s="231">
        <v>82205.89</v>
      </c>
      <c r="EK133" s="231">
        <v>36824.94</v>
      </c>
      <c r="EL133" s="231">
        <v>38632.61</v>
      </c>
      <c r="EM133" s="231">
        <v>1447</v>
      </c>
      <c r="EN133" s="231">
        <v>157663.44</v>
      </c>
      <c r="EO133" s="231">
        <v>52895.88</v>
      </c>
      <c r="EP133" s="231">
        <v>104767.56</v>
      </c>
      <c r="EQ133" s="229">
        <v>1.9805999999999999</v>
      </c>
      <c r="ER133" s="231">
        <v>34768</v>
      </c>
      <c r="ES133" s="231">
        <v>17154</v>
      </c>
      <c r="ET133" s="231">
        <v>92483</v>
      </c>
      <c r="EU133" s="231">
        <v>34712157</v>
      </c>
      <c r="EV133" s="231">
        <v>144404</v>
      </c>
      <c r="EW133" s="231">
        <v>131542</v>
      </c>
      <c r="EX133" s="231">
        <v>12862</v>
      </c>
      <c r="EY133" s="229">
        <v>9.7799999999999998E-2</v>
      </c>
      <c r="EZ133" s="229">
        <v>0.2641</v>
      </c>
      <c r="FA133" s="227" t="s">
        <v>568</v>
      </c>
      <c r="FB133" s="161">
        <f t="shared" si="2"/>
        <v>156000</v>
      </c>
    </row>
    <row r="134" spans="1:158" ht="17.25" hidden="1" thickBot="1" x14ac:dyDescent="0.3">
      <c r="A134" s="226">
        <v>45946</v>
      </c>
      <c r="B134" s="227" t="s">
        <v>181</v>
      </c>
      <c r="C134" s="227" t="s">
        <v>563</v>
      </c>
      <c r="D134" s="228">
        <v>140</v>
      </c>
      <c r="E134" s="231">
        <v>13321.8</v>
      </c>
      <c r="F134" s="231">
        <v>13217.3</v>
      </c>
      <c r="G134" s="228">
        <v>104.5</v>
      </c>
      <c r="H134" s="229">
        <v>7.9000000000000008E-3</v>
      </c>
      <c r="I134" s="231">
        <v>13260.85</v>
      </c>
      <c r="J134" s="231">
        <v>13161.95</v>
      </c>
      <c r="K134" s="228">
        <v>98.9</v>
      </c>
      <c r="L134" s="229">
        <v>7.4999999999999997E-3</v>
      </c>
      <c r="M134" s="231">
        <v>13321.8</v>
      </c>
      <c r="N134" s="231">
        <v>13217.3</v>
      </c>
      <c r="O134" s="228">
        <v>104.5</v>
      </c>
      <c r="P134" s="229">
        <v>7.9000000000000008E-3</v>
      </c>
      <c r="Q134" s="231">
        <v>13370.35</v>
      </c>
      <c r="R134" s="231">
        <v>13270.9</v>
      </c>
      <c r="S134" s="228">
        <v>99.45</v>
      </c>
      <c r="T134" s="229">
        <v>7.4999999999999997E-3</v>
      </c>
      <c r="U134" s="231">
        <v>13422.6</v>
      </c>
      <c r="V134" s="231">
        <v>13325.9</v>
      </c>
      <c r="W134" s="228">
        <v>96.7</v>
      </c>
      <c r="X134" s="229">
        <v>7.3000000000000001E-3</v>
      </c>
      <c r="Y134" s="228">
        <v>60.95</v>
      </c>
      <c r="Z134" s="228">
        <v>55.35</v>
      </c>
      <c r="AA134" s="228">
        <v>5.6</v>
      </c>
      <c r="AB134" s="229">
        <v>4.5999999999999999E-3</v>
      </c>
      <c r="AC134" s="228">
        <v>60.95</v>
      </c>
      <c r="AD134" s="228">
        <v>55.35</v>
      </c>
      <c r="AE134" s="228">
        <v>5.6</v>
      </c>
      <c r="AF134" s="229">
        <v>4.5999999999999999E-3</v>
      </c>
      <c r="AG134" s="228">
        <v>109.5</v>
      </c>
      <c r="AH134" s="228">
        <v>108.95</v>
      </c>
      <c r="AI134" s="228">
        <v>0.55000000000000004</v>
      </c>
      <c r="AJ134" s="229">
        <v>8.3000000000000001E-3</v>
      </c>
      <c r="AK134" s="228">
        <v>161.75</v>
      </c>
      <c r="AL134" s="228">
        <v>163.95</v>
      </c>
      <c r="AM134" s="228">
        <v>-2.2000000000000002</v>
      </c>
      <c r="AN134" s="229">
        <v>1.2200000000000001E-2</v>
      </c>
      <c r="AO134" s="231">
        <v>13303.59</v>
      </c>
      <c r="AP134" s="231">
        <v>13355.1</v>
      </c>
      <c r="AQ134" s="228">
        <v>0</v>
      </c>
      <c r="AR134" s="230">
        <v>910560</v>
      </c>
      <c r="AS134" s="230">
        <v>557060</v>
      </c>
      <c r="AT134" s="230">
        <v>353500</v>
      </c>
      <c r="AU134" s="229">
        <v>0.63460000000000005</v>
      </c>
      <c r="AV134" s="230">
        <v>845460</v>
      </c>
      <c r="AW134" s="230">
        <v>506660</v>
      </c>
      <c r="AX134" s="230">
        <v>338800</v>
      </c>
      <c r="AY134" s="229">
        <v>0.66869999999999996</v>
      </c>
      <c r="AZ134" s="230">
        <v>58380</v>
      </c>
      <c r="BA134" s="230">
        <v>46480</v>
      </c>
      <c r="BB134" s="230">
        <v>11900</v>
      </c>
      <c r="BC134" s="229">
        <v>0.25600000000000001</v>
      </c>
      <c r="BD134" s="230">
        <v>6720</v>
      </c>
      <c r="BE134" s="230">
        <v>3920</v>
      </c>
      <c r="BF134" s="230">
        <v>2800</v>
      </c>
      <c r="BG134" s="229">
        <v>0.71430000000000005</v>
      </c>
      <c r="BH134" s="230">
        <v>20401360</v>
      </c>
      <c r="BI134" s="230">
        <v>18156600</v>
      </c>
      <c r="BJ134" s="230">
        <v>2244760</v>
      </c>
      <c r="BK134" s="229">
        <v>0.1236</v>
      </c>
      <c r="BL134" s="230">
        <v>19932780</v>
      </c>
      <c r="BM134" s="230">
        <v>17720780</v>
      </c>
      <c r="BN134" s="230">
        <v>2212000</v>
      </c>
      <c r="BO134" s="229">
        <v>0.12479999999999999</v>
      </c>
      <c r="BP134" s="230">
        <v>41244700</v>
      </c>
      <c r="BQ134" s="230">
        <v>36434440</v>
      </c>
      <c r="BR134" s="230">
        <v>4810260</v>
      </c>
      <c r="BS134" s="229">
        <v>0.13200000000000001</v>
      </c>
      <c r="BT134" s="228">
        <v>0</v>
      </c>
      <c r="BU134" s="228">
        <v>0</v>
      </c>
      <c r="BV134" s="228">
        <v>0</v>
      </c>
      <c r="BW134" s="229">
        <v>0</v>
      </c>
      <c r="BX134" s="230">
        <v>2859080</v>
      </c>
      <c r="BY134" s="230">
        <v>2760660</v>
      </c>
      <c r="BZ134" s="230">
        <v>98420</v>
      </c>
      <c r="CA134" s="229">
        <v>3.5700000000000003E-2</v>
      </c>
      <c r="CB134" s="230">
        <v>2736580</v>
      </c>
      <c r="CC134" s="230">
        <v>2657760</v>
      </c>
      <c r="CD134" s="230">
        <v>78820</v>
      </c>
      <c r="CE134" s="229">
        <v>2.9700000000000001E-2</v>
      </c>
      <c r="CF134" s="230">
        <v>114520</v>
      </c>
      <c r="CG134" s="230">
        <v>96600</v>
      </c>
      <c r="CH134" s="230">
        <v>17920</v>
      </c>
      <c r="CI134" s="229">
        <v>0.1855</v>
      </c>
      <c r="CJ134" s="230">
        <v>7980</v>
      </c>
      <c r="CK134" s="230">
        <v>6300</v>
      </c>
      <c r="CL134" s="230">
        <v>1680</v>
      </c>
      <c r="CM134" s="229">
        <v>0.26669999999999999</v>
      </c>
      <c r="CN134" s="230">
        <v>7051100</v>
      </c>
      <c r="CO134" s="230">
        <v>7050400</v>
      </c>
      <c r="CP134" s="228">
        <v>700</v>
      </c>
      <c r="CQ134" s="229">
        <v>1E-4</v>
      </c>
      <c r="CR134" s="230">
        <v>9488080</v>
      </c>
      <c r="CS134" s="230">
        <v>8289120</v>
      </c>
      <c r="CT134" s="230">
        <v>1198960</v>
      </c>
      <c r="CU134" s="229">
        <v>0.14460000000000001</v>
      </c>
      <c r="CV134" s="230">
        <v>19398260</v>
      </c>
      <c r="CW134" s="230">
        <v>18100180</v>
      </c>
      <c r="CX134" s="230">
        <v>1298080</v>
      </c>
      <c r="CY134" s="229">
        <v>7.17E-2</v>
      </c>
      <c r="CZ134" s="228">
        <v>15.15</v>
      </c>
      <c r="DA134" s="228">
        <v>15.31</v>
      </c>
      <c r="DB134" s="228">
        <v>-0.16</v>
      </c>
      <c r="DC134" s="228">
        <v>-0.16</v>
      </c>
      <c r="DD134" s="228">
        <v>22.89</v>
      </c>
      <c r="DE134" s="228">
        <v>22.92</v>
      </c>
      <c r="DF134" s="228">
        <v>-7.74</v>
      </c>
      <c r="DG134" s="228">
        <v>-0.03</v>
      </c>
      <c r="DH134" s="228">
        <v>13.03</v>
      </c>
      <c r="DI134" s="228">
        <v>14.07</v>
      </c>
      <c r="DJ134" s="228">
        <v>-1.04</v>
      </c>
      <c r="DK134" s="228">
        <v>-1.04</v>
      </c>
      <c r="DL134" s="228">
        <v>17.329999999999998</v>
      </c>
      <c r="DM134" s="228">
        <v>16.579999999999998</v>
      </c>
      <c r="DN134" s="228">
        <v>0.75</v>
      </c>
      <c r="DO134" s="228">
        <v>0.75</v>
      </c>
      <c r="DP134" s="228">
        <v>1.35</v>
      </c>
      <c r="DQ134" s="228">
        <v>1.18</v>
      </c>
      <c r="DR134" s="228">
        <v>0.17</v>
      </c>
      <c r="DS134" s="229">
        <v>0.14410000000000001</v>
      </c>
      <c r="DT134" s="231">
        <v>13500</v>
      </c>
      <c r="DU134" s="231">
        <v>12500</v>
      </c>
      <c r="DV134" s="228">
        <v>0.98</v>
      </c>
      <c r="DW134" s="228">
        <v>0.98</v>
      </c>
      <c r="DX134" s="228">
        <v>0</v>
      </c>
      <c r="DY134" s="229">
        <v>0</v>
      </c>
      <c r="DZ134" s="229">
        <v>4.2799999999999998E-2</v>
      </c>
      <c r="EA134" s="230">
        <v>102900</v>
      </c>
      <c r="EB134" s="229">
        <v>3.5999999999999999E-3</v>
      </c>
      <c r="EC134" s="229">
        <v>4.2799999999999998E-2</v>
      </c>
      <c r="ED134" s="228">
        <v>51.51</v>
      </c>
      <c r="EE134" s="229">
        <v>3.8999999999999998E-3</v>
      </c>
      <c r="EF134" s="228">
        <v>0</v>
      </c>
      <c r="EG134" s="228">
        <v>0</v>
      </c>
      <c r="EH134" s="229">
        <v>0</v>
      </c>
      <c r="EI134" s="229">
        <v>0</v>
      </c>
      <c r="EJ134" s="231">
        <v>2758509.26</v>
      </c>
      <c r="EK134" s="231">
        <v>2576715.64</v>
      </c>
      <c r="EL134" s="231">
        <v>121174.99</v>
      </c>
      <c r="EM134" s="228">
        <v>0</v>
      </c>
      <c r="EN134" s="231">
        <v>5456399.8899999997</v>
      </c>
      <c r="EO134" s="231">
        <v>4810022.4400000004</v>
      </c>
      <c r="EP134" s="231">
        <v>646377.44999999995</v>
      </c>
      <c r="EQ134" s="229">
        <v>0.13439999999999999</v>
      </c>
      <c r="ER134" s="231">
        <v>944229</v>
      </c>
      <c r="ES134" s="231">
        <v>1204976</v>
      </c>
      <c r="ET134" s="231">
        <v>380945</v>
      </c>
      <c r="EU134" s="228">
        <v>0</v>
      </c>
      <c r="EV134" s="231">
        <v>2530150</v>
      </c>
      <c r="EW134" s="231">
        <v>2353927</v>
      </c>
      <c r="EX134" s="231">
        <v>176223</v>
      </c>
      <c r="EY134" s="229">
        <v>7.4899999999999994E-2</v>
      </c>
      <c r="EZ134" s="229">
        <v>0</v>
      </c>
      <c r="FA134" s="227" t="s">
        <v>555</v>
      </c>
      <c r="FB134" s="161">
        <f t="shared" si="2"/>
        <v>122500</v>
      </c>
    </row>
    <row r="135" spans="1:158" ht="17.25" hidden="1" thickBot="1" x14ac:dyDescent="0.3">
      <c r="A135" s="226">
        <v>45946</v>
      </c>
      <c r="B135" s="227" t="s">
        <v>162</v>
      </c>
      <c r="C135" s="227" t="s">
        <v>559</v>
      </c>
      <c r="D135" s="228">
        <v>6150</v>
      </c>
      <c r="E135" s="228">
        <v>107.65</v>
      </c>
      <c r="F135" s="228">
        <v>105.22</v>
      </c>
      <c r="G135" s="228">
        <v>2.4300000000000002</v>
      </c>
      <c r="H135" s="229">
        <v>2.3099999999999999E-2</v>
      </c>
      <c r="I135" s="228">
        <v>107.27</v>
      </c>
      <c r="J135" s="228">
        <v>104.78</v>
      </c>
      <c r="K135" s="228">
        <v>2.4900000000000002</v>
      </c>
      <c r="L135" s="229">
        <v>2.3800000000000002E-2</v>
      </c>
      <c r="M135" s="228">
        <v>107.65</v>
      </c>
      <c r="N135" s="228">
        <v>105.22</v>
      </c>
      <c r="O135" s="228">
        <v>2.4300000000000002</v>
      </c>
      <c r="P135" s="229">
        <v>2.3099999999999999E-2</v>
      </c>
      <c r="Q135" s="228">
        <v>108.24</v>
      </c>
      <c r="R135" s="228">
        <v>105.78</v>
      </c>
      <c r="S135" s="228">
        <v>2.46</v>
      </c>
      <c r="T135" s="229">
        <v>2.3300000000000001E-2</v>
      </c>
      <c r="U135" s="228">
        <v>108.96</v>
      </c>
      <c r="V135" s="228">
        <v>106.32</v>
      </c>
      <c r="W135" s="228">
        <v>2.64</v>
      </c>
      <c r="X135" s="229">
        <v>2.4799999999999999E-2</v>
      </c>
      <c r="Y135" s="228">
        <v>0.38</v>
      </c>
      <c r="Z135" s="228">
        <v>0.44</v>
      </c>
      <c r="AA135" s="228">
        <v>-0.06</v>
      </c>
      <c r="AB135" s="229">
        <v>3.5000000000000001E-3</v>
      </c>
      <c r="AC135" s="228">
        <v>0.38</v>
      </c>
      <c r="AD135" s="228">
        <v>0.44</v>
      </c>
      <c r="AE135" s="228">
        <v>-0.06</v>
      </c>
      <c r="AF135" s="229">
        <v>3.5000000000000001E-3</v>
      </c>
      <c r="AG135" s="228">
        <v>0.97</v>
      </c>
      <c r="AH135" s="228">
        <v>1</v>
      </c>
      <c r="AI135" s="228">
        <v>-0.03</v>
      </c>
      <c r="AJ135" s="229">
        <v>8.9999999999999993E-3</v>
      </c>
      <c r="AK135" s="228">
        <v>1.69</v>
      </c>
      <c r="AL135" s="228">
        <v>1.54</v>
      </c>
      <c r="AM135" s="228">
        <v>0.15</v>
      </c>
      <c r="AN135" s="229">
        <v>1.5800000000000002E-2</v>
      </c>
      <c r="AO135" s="228">
        <v>107.85</v>
      </c>
      <c r="AP135" s="228">
        <v>108.48</v>
      </c>
      <c r="AQ135" s="228">
        <v>0</v>
      </c>
      <c r="AR135" s="230">
        <v>40048800</v>
      </c>
      <c r="AS135" s="230">
        <v>18739050</v>
      </c>
      <c r="AT135" s="230">
        <v>21309750</v>
      </c>
      <c r="AU135" s="229">
        <v>1.1372</v>
      </c>
      <c r="AV135" s="230">
        <v>33825000</v>
      </c>
      <c r="AW135" s="230">
        <v>16568100</v>
      </c>
      <c r="AX135" s="230">
        <v>17256900</v>
      </c>
      <c r="AY135" s="229">
        <v>1.0416000000000001</v>
      </c>
      <c r="AZ135" s="230">
        <v>5590350</v>
      </c>
      <c r="BA135" s="230">
        <v>2023350</v>
      </c>
      <c r="BB135" s="230">
        <v>3567000</v>
      </c>
      <c r="BC135" s="229">
        <v>1.7628999999999999</v>
      </c>
      <c r="BD135" s="230">
        <v>633450</v>
      </c>
      <c r="BE135" s="230">
        <v>147600</v>
      </c>
      <c r="BF135" s="230">
        <v>485850</v>
      </c>
      <c r="BG135" s="229">
        <v>3.2917000000000001</v>
      </c>
      <c r="BH135" s="230">
        <v>139605000</v>
      </c>
      <c r="BI135" s="230">
        <v>60300750</v>
      </c>
      <c r="BJ135" s="230">
        <v>79304250</v>
      </c>
      <c r="BK135" s="229">
        <v>1.3150999999999999</v>
      </c>
      <c r="BL135" s="230">
        <v>59458200</v>
      </c>
      <c r="BM135" s="230">
        <v>21094500</v>
      </c>
      <c r="BN135" s="230">
        <v>38363700</v>
      </c>
      <c r="BO135" s="229">
        <v>1.8187</v>
      </c>
      <c r="BP135" s="230">
        <v>239112000</v>
      </c>
      <c r="BQ135" s="230">
        <v>100134300</v>
      </c>
      <c r="BR135" s="230">
        <v>138977700</v>
      </c>
      <c r="BS135" s="229">
        <v>1.3878999999999999</v>
      </c>
      <c r="BT135" s="230">
        <v>20072519</v>
      </c>
      <c r="BU135" s="230">
        <v>14165331</v>
      </c>
      <c r="BV135" s="230">
        <v>5907188</v>
      </c>
      <c r="BW135" s="229">
        <v>0.41699999999999998</v>
      </c>
      <c r="BX135" s="230">
        <v>169764600</v>
      </c>
      <c r="BY135" s="230">
        <v>168436200</v>
      </c>
      <c r="BZ135" s="230">
        <v>1328400</v>
      </c>
      <c r="CA135" s="229">
        <v>7.9000000000000008E-3</v>
      </c>
      <c r="CB135" s="230">
        <v>160828650</v>
      </c>
      <c r="CC135" s="230">
        <v>160318200</v>
      </c>
      <c r="CD135" s="230">
        <v>510450</v>
      </c>
      <c r="CE135" s="229">
        <v>3.2000000000000002E-3</v>
      </c>
      <c r="CF135" s="230">
        <v>8222550</v>
      </c>
      <c r="CG135" s="230">
        <v>7373850</v>
      </c>
      <c r="CH135" s="230">
        <v>848700</v>
      </c>
      <c r="CI135" s="229">
        <v>0.11509999999999999</v>
      </c>
      <c r="CJ135" s="230">
        <v>713400</v>
      </c>
      <c r="CK135" s="230">
        <v>744150</v>
      </c>
      <c r="CL135" s="230">
        <v>-30750</v>
      </c>
      <c r="CM135" s="229">
        <v>-4.1300000000000003E-2</v>
      </c>
      <c r="CN135" s="230">
        <v>64021500</v>
      </c>
      <c r="CO135" s="230">
        <v>66629100</v>
      </c>
      <c r="CP135" s="230">
        <v>-2607600</v>
      </c>
      <c r="CQ135" s="229">
        <v>-3.9100000000000003E-2</v>
      </c>
      <c r="CR135" s="230">
        <v>36592500</v>
      </c>
      <c r="CS135" s="230">
        <v>32379750</v>
      </c>
      <c r="CT135" s="230">
        <v>4212750</v>
      </c>
      <c r="CU135" s="229">
        <v>0.13009999999999999</v>
      </c>
      <c r="CV135" s="230">
        <v>270378600</v>
      </c>
      <c r="CW135" s="230">
        <v>267445050</v>
      </c>
      <c r="CX135" s="230">
        <v>2933550</v>
      </c>
      <c r="CY135" s="229">
        <v>1.0999999999999999E-2</v>
      </c>
      <c r="CZ135" s="228">
        <v>30.68</v>
      </c>
      <c r="DA135" s="228">
        <v>32.090000000000003</v>
      </c>
      <c r="DB135" s="228">
        <v>-1.41</v>
      </c>
      <c r="DC135" s="228">
        <v>-1.41</v>
      </c>
      <c r="DD135" s="228">
        <v>41.04</v>
      </c>
      <c r="DE135" s="228">
        <v>41.02</v>
      </c>
      <c r="DF135" s="228">
        <v>-10.36</v>
      </c>
      <c r="DG135" s="228">
        <v>0.02</v>
      </c>
      <c r="DH135" s="228">
        <v>30.78</v>
      </c>
      <c r="DI135" s="228">
        <v>32.19</v>
      </c>
      <c r="DJ135" s="228">
        <v>-1.41</v>
      </c>
      <c r="DK135" s="228">
        <v>-1.41</v>
      </c>
      <c r="DL135" s="228">
        <v>30.44</v>
      </c>
      <c r="DM135" s="228">
        <v>31.81</v>
      </c>
      <c r="DN135" s="228">
        <v>-1.37</v>
      </c>
      <c r="DO135" s="228">
        <v>-1.37</v>
      </c>
      <c r="DP135" s="228">
        <v>0.56999999999999995</v>
      </c>
      <c r="DQ135" s="228">
        <v>0.49</v>
      </c>
      <c r="DR135" s="228">
        <v>0.08</v>
      </c>
      <c r="DS135" s="229">
        <v>0.1633</v>
      </c>
      <c r="DT135" s="228">
        <v>110</v>
      </c>
      <c r="DU135" s="228">
        <v>100</v>
      </c>
      <c r="DV135" s="228">
        <v>0.43</v>
      </c>
      <c r="DW135" s="228">
        <v>0.35</v>
      </c>
      <c r="DX135" s="228">
        <v>0.08</v>
      </c>
      <c r="DY135" s="229">
        <v>0.2286</v>
      </c>
      <c r="DZ135" s="229">
        <v>5.2600000000000001E-2</v>
      </c>
      <c r="EA135" s="230">
        <v>8118000</v>
      </c>
      <c r="EB135" s="229">
        <v>5.4999999999999997E-3</v>
      </c>
      <c r="EC135" s="229">
        <v>5.2600000000000001E-2</v>
      </c>
      <c r="ED135" s="228">
        <v>0.63</v>
      </c>
      <c r="EE135" s="229">
        <v>5.7999999999999996E-3</v>
      </c>
      <c r="EF135" s="230">
        <v>6884919</v>
      </c>
      <c r="EG135" s="230">
        <v>6958693</v>
      </c>
      <c r="EH135" s="229">
        <v>-1.06E-2</v>
      </c>
      <c r="EI135" s="229">
        <v>0.34300000000000003</v>
      </c>
      <c r="EJ135" s="231">
        <v>155734.01</v>
      </c>
      <c r="EK135" s="231">
        <v>62913.9</v>
      </c>
      <c r="EL135" s="231">
        <v>43235.42</v>
      </c>
      <c r="EM135" s="231">
        <v>3874</v>
      </c>
      <c r="EN135" s="231">
        <v>261883.33</v>
      </c>
      <c r="EO135" s="231">
        <v>108278.32</v>
      </c>
      <c r="EP135" s="231">
        <v>153605.01</v>
      </c>
      <c r="EQ135" s="229">
        <v>1.4186000000000001</v>
      </c>
      <c r="ER135" s="231">
        <v>71322</v>
      </c>
      <c r="ES135" s="231">
        <v>37611</v>
      </c>
      <c r="ET135" s="231">
        <v>182809</v>
      </c>
      <c r="EU135" s="231">
        <v>542522848</v>
      </c>
      <c r="EV135" s="231">
        <v>291743</v>
      </c>
      <c r="EW135" s="231">
        <v>284229</v>
      </c>
      <c r="EX135" s="231">
        <v>7514</v>
      </c>
      <c r="EY135" s="229">
        <v>2.64E-2</v>
      </c>
      <c r="EZ135" s="229">
        <v>0.49840000000000001</v>
      </c>
      <c r="FA135" s="227" t="s">
        <v>555</v>
      </c>
      <c r="FB135" s="161">
        <f t="shared" si="2"/>
        <v>8935950</v>
      </c>
    </row>
    <row r="136" spans="1:158" ht="17.25" hidden="1" thickBot="1" x14ac:dyDescent="0.3">
      <c r="A136" s="226">
        <v>45946</v>
      </c>
      <c r="B136" s="227" t="s">
        <v>221</v>
      </c>
      <c r="C136" s="227" t="s">
        <v>487</v>
      </c>
      <c r="D136" s="228">
        <v>275</v>
      </c>
      <c r="E136" s="231">
        <v>2792.7</v>
      </c>
      <c r="F136" s="231">
        <v>2793.9</v>
      </c>
      <c r="G136" s="228">
        <v>-1.2</v>
      </c>
      <c r="H136" s="229">
        <v>-4.0000000000000002E-4</v>
      </c>
      <c r="I136" s="231">
        <v>2783.6</v>
      </c>
      <c r="J136" s="231">
        <v>2781.9</v>
      </c>
      <c r="K136" s="228">
        <v>1.7</v>
      </c>
      <c r="L136" s="229">
        <v>5.9999999999999995E-4</v>
      </c>
      <c r="M136" s="231">
        <v>2792.7</v>
      </c>
      <c r="N136" s="231">
        <v>2793.9</v>
      </c>
      <c r="O136" s="228">
        <v>-1.2</v>
      </c>
      <c r="P136" s="229">
        <v>-4.0000000000000002E-4</v>
      </c>
      <c r="Q136" s="231">
        <v>2808.2</v>
      </c>
      <c r="R136" s="231">
        <v>2808.9</v>
      </c>
      <c r="S136" s="228">
        <v>-0.7</v>
      </c>
      <c r="T136" s="229">
        <v>-2.0000000000000001E-4</v>
      </c>
      <c r="U136" s="231">
        <v>2818</v>
      </c>
      <c r="V136" s="231">
        <v>2830</v>
      </c>
      <c r="W136" s="228">
        <v>-12</v>
      </c>
      <c r="X136" s="229">
        <v>-4.1999999999999997E-3</v>
      </c>
      <c r="Y136" s="228">
        <v>9.1</v>
      </c>
      <c r="Z136" s="228">
        <v>12</v>
      </c>
      <c r="AA136" s="228">
        <v>-2.9</v>
      </c>
      <c r="AB136" s="229">
        <v>3.3E-3</v>
      </c>
      <c r="AC136" s="228">
        <v>9.1</v>
      </c>
      <c r="AD136" s="228">
        <v>12</v>
      </c>
      <c r="AE136" s="228">
        <v>-2.9</v>
      </c>
      <c r="AF136" s="229">
        <v>3.3E-3</v>
      </c>
      <c r="AG136" s="228">
        <v>24.6</v>
      </c>
      <c r="AH136" s="228">
        <v>27</v>
      </c>
      <c r="AI136" s="228">
        <v>-2.4</v>
      </c>
      <c r="AJ136" s="229">
        <v>8.8000000000000005E-3</v>
      </c>
      <c r="AK136" s="228">
        <v>34.4</v>
      </c>
      <c r="AL136" s="228">
        <v>48.1</v>
      </c>
      <c r="AM136" s="228">
        <v>-13.7</v>
      </c>
      <c r="AN136" s="229">
        <v>1.24E-2</v>
      </c>
      <c r="AO136" s="231">
        <v>2785.4</v>
      </c>
      <c r="AP136" s="231">
        <v>2797.53</v>
      </c>
      <c r="AQ136" s="228">
        <v>0</v>
      </c>
      <c r="AR136" s="230">
        <v>441100</v>
      </c>
      <c r="AS136" s="230">
        <v>802725</v>
      </c>
      <c r="AT136" s="230">
        <v>-361625</v>
      </c>
      <c r="AU136" s="229">
        <v>-0.45050000000000001</v>
      </c>
      <c r="AV136" s="230">
        <v>413875</v>
      </c>
      <c r="AW136" s="230">
        <v>762575</v>
      </c>
      <c r="AX136" s="230">
        <v>-348700</v>
      </c>
      <c r="AY136" s="229">
        <v>-0.45729999999999998</v>
      </c>
      <c r="AZ136" s="230">
        <v>26675</v>
      </c>
      <c r="BA136" s="230">
        <v>39600</v>
      </c>
      <c r="BB136" s="230">
        <v>-12925</v>
      </c>
      <c r="BC136" s="229">
        <v>-0.32640000000000002</v>
      </c>
      <c r="BD136" s="228">
        <v>550</v>
      </c>
      <c r="BE136" s="228">
        <v>550</v>
      </c>
      <c r="BF136" s="228">
        <v>0</v>
      </c>
      <c r="BG136" s="229">
        <v>0</v>
      </c>
      <c r="BH136" s="230">
        <v>891825</v>
      </c>
      <c r="BI136" s="230">
        <v>1743775</v>
      </c>
      <c r="BJ136" s="230">
        <v>-851950</v>
      </c>
      <c r="BK136" s="229">
        <v>-0.48859999999999998</v>
      </c>
      <c r="BL136" s="230">
        <v>393525</v>
      </c>
      <c r="BM136" s="230">
        <v>623425</v>
      </c>
      <c r="BN136" s="230">
        <v>-229900</v>
      </c>
      <c r="BO136" s="229">
        <v>-0.36880000000000002</v>
      </c>
      <c r="BP136" s="230">
        <v>1726450</v>
      </c>
      <c r="BQ136" s="230">
        <v>3169925</v>
      </c>
      <c r="BR136" s="230">
        <v>-1443475</v>
      </c>
      <c r="BS136" s="229">
        <v>-0.45540000000000003</v>
      </c>
      <c r="BT136" s="230">
        <v>193428</v>
      </c>
      <c r="BU136" s="230">
        <v>368201</v>
      </c>
      <c r="BV136" s="230">
        <v>-174773</v>
      </c>
      <c r="BW136" s="229">
        <v>-0.47470000000000001</v>
      </c>
      <c r="BX136" s="230">
        <v>4010875</v>
      </c>
      <c r="BY136" s="230">
        <v>4062025</v>
      </c>
      <c r="BZ136" s="230">
        <v>-51150</v>
      </c>
      <c r="CA136" s="229">
        <v>-1.26E-2</v>
      </c>
      <c r="CB136" s="230">
        <v>3927550</v>
      </c>
      <c r="CC136" s="230">
        <v>3983100</v>
      </c>
      <c r="CD136" s="230">
        <v>-55550</v>
      </c>
      <c r="CE136" s="229">
        <v>-1.3899999999999999E-2</v>
      </c>
      <c r="CF136" s="230">
        <v>78925</v>
      </c>
      <c r="CG136" s="230">
        <v>75075</v>
      </c>
      <c r="CH136" s="230">
        <v>3850</v>
      </c>
      <c r="CI136" s="229">
        <v>5.1299999999999998E-2</v>
      </c>
      <c r="CJ136" s="230">
        <v>4400</v>
      </c>
      <c r="CK136" s="230">
        <v>3850</v>
      </c>
      <c r="CL136" s="228">
        <v>550</v>
      </c>
      <c r="CM136" s="229">
        <v>0.1429</v>
      </c>
      <c r="CN136" s="230">
        <v>1255650</v>
      </c>
      <c r="CO136" s="230">
        <v>1285350</v>
      </c>
      <c r="CP136" s="230">
        <v>-29700</v>
      </c>
      <c r="CQ136" s="229">
        <v>-2.3099999999999999E-2</v>
      </c>
      <c r="CR136" s="230">
        <v>680350</v>
      </c>
      <c r="CS136" s="230">
        <v>656150</v>
      </c>
      <c r="CT136" s="230">
        <v>24200</v>
      </c>
      <c r="CU136" s="229">
        <v>3.6900000000000002E-2</v>
      </c>
      <c r="CV136" s="230">
        <v>5946875</v>
      </c>
      <c r="CW136" s="230">
        <v>6003525</v>
      </c>
      <c r="CX136" s="230">
        <v>-56650</v>
      </c>
      <c r="CY136" s="229">
        <v>-9.4000000000000004E-3</v>
      </c>
      <c r="CZ136" s="228">
        <v>29.7</v>
      </c>
      <c r="DA136" s="228">
        <v>30.06</v>
      </c>
      <c r="DB136" s="228">
        <v>-0.36</v>
      </c>
      <c r="DC136" s="228">
        <v>-0.36</v>
      </c>
      <c r="DD136" s="228">
        <v>37.520000000000003</v>
      </c>
      <c r="DE136" s="228">
        <v>37.61</v>
      </c>
      <c r="DF136" s="228">
        <v>-7.82</v>
      </c>
      <c r="DG136" s="228">
        <v>-0.09</v>
      </c>
      <c r="DH136" s="228">
        <v>29.69</v>
      </c>
      <c r="DI136" s="228">
        <v>29.87</v>
      </c>
      <c r="DJ136" s="228">
        <v>-0.18</v>
      </c>
      <c r="DK136" s="228">
        <v>-0.18</v>
      </c>
      <c r="DL136" s="228">
        <v>29.7</v>
      </c>
      <c r="DM136" s="228">
        <v>30.6</v>
      </c>
      <c r="DN136" s="228">
        <v>-0.9</v>
      </c>
      <c r="DO136" s="228">
        <v>-0.9</v>
      </c>
      <c r="DP136" s="228">
        <v>0.54</v>
      </c>
      <c r="DQ136" s="228">
        <v>0.51</v>
      </c>
      <c r="DR136" s="228">
        <v>0.03</v>
      </c>
      <c r="DS136" s="229">
        <v>5.8799999999999998E-2</v>
      </c>
      <c r="DT136" s="231">
        <v>2900</v>
      </c>
      <c r="DU136" s="231">
        <v>2600</v>
      </c>
      <c r="DV136" s="228">
        <v>0.44</v>
      </c>
      <c r="DW136" s="228">
        <v>0.36</v>
      </c>
      <c r="DX136" s="228">
        <v>0.08</v>
      </c>
      <c r="DY136" s="229">
        <v>0.22220000000000001</v>
      </c>
      <c r="DZ136" s="229">
        <v>2.0799999999999999E-2</v>
      </c>
      <c r="EA136" s="230">
        <v>78925</v>
      </c>
      <c r="EB136" s="229">
        <v>5.5999999999999999E-3</v>
      </c>
      <c r="EC136" s="229">
        <v>2.0799999999999999E-2</v>
      </c>
      <c r="ED136" s="228">
        <v>12.13</v>
      </c>
      <c r="EE136" s="229">
        <v>4.4000000000000003E-3</v>
      </c>
      <c r="EF136" s="230">
        <v>70582</v>
      </c>
      <c r="EG136" s="230">
        <v>187300</v>
      </c>
      <c r="EH136" s="229">
        <v>-0.62319999999999998</v>
      </c>
      <c r="EI136" s="229">
        <v>0.3649</v>
      </c>
      <c r="EJ136" s="231">
        <v>25806.58</v>
      </c>
      <c r="EK136" s="231">
        <v>10953.33</v>
      </c>
      <c r="EL136" s="231">
        <v>12289.81</v>
      </c>
      <c r="EM136" s="231">
        <v>2528</v>
      </c>
      <c r="EN136" s="231">
        <v>49049.72</v>
      </c>
      <c r="EO136" s="231">
        <v>90395.59</v>
      </c>
      <c r="EP136" s="231">
        <v>-41345.870000000003</v>
      </c>
      <c r="EQ136" s="229">
        <v>-0.45739999999999997</v>
      </c>
      <c r="ER136" s="231">
        <v>36697</v>
      </c>
      <c r="ES136" s="231">
        <v>18127</v>
      </c>
      <c r="ET136" s="231">
        <v>112025</v>
      </c>
      <c r="EU136" s="231">
        <v>14652855</v>
      </c>
      <c r="EV136" s="231">
        <v>166849</v>
      </c>
      <c r="EW136" s="231">
        <v>168555</v>
      </c>
      <c r="EX136" s="231">
        <v>-1706</v>
      </c>
      <c r="EY136" s="229">
        <v>-1.01E-2</v>
      </c>
      <c r="EZ136" s="229">
        <v>0.40589999999999998</v>
      </c>
      <c r="FA136" s="227" t="s">
        <v>568</v>
      </c>
      <c r="FB136" s="161">
        <f t="shared" si="2"/>
        <v>83325</v>
      </c>
    </row>
    <row r="137" spans="1:158" ht="17.25" hidden="1" thickBot="1" x14ac:dyDescent="0.3">
      <c r="A137" s="226">
        <v>45946</v>
      </c>
      <c r="B137" s="227" t="s">
        <v>175</v>
      </c>
      <c r="C137" s="227" t="s">
        <v>262</v>
      </c>
      <c r="D137" s="228">
        <v>275</v>
      </c>
      <c r="E137" s="231">
        <v>3275.2</v>
      </c>
      <c r="F137" s="231">
        <v>3272.2</v>
      </c>
      <c r="G137" s="228">
        <v>3</v>
      </c>
      <c r="H137" s="229">
        <v>8.9999999999999998E-4</v>
      </c>
      <c r="I137" s="231">
        <v>3268.5</v>
      </c>
      <c r="J137" s="231">
        <v>3260.3</v>
      </c>
      <c r="K137" s="228">
        <v>8.1999999999999993</v>
      </c>
      <c r="L137" s="229">
        <v>2.5000000000000001E-3</v>
      </c>
      <c r="M137" s="231">
        <v>3275.2</v>
      </c>
      <c r="N137" s="231">
        <v>3272.2</v>
      </c>
      <c r="O137" s="228">
        <v>3</v>
      </c>
      <c r="P137" s="229">
        <v>8.9999999999999998E-4</v>
      </c>
      <c r="Q137" s="231">
        <v>3291.1</v>
      </c>
      <c r="R137" s="231">
        <v>3281.3</v>
      </c>
      <c r="S137" s="228">
        <v>9.8000000000000007</v>
      </c>
      <c r="T137" s="229">
        <v>3.0000000000000001E-3</v>
      </c>
      <c r="U137" s="231">
        <v>3290.7</v>
      </c>
      <c r="V137" s="231">
        <v>3283.4</v>
      </c>
      <c r="W137" s="228">
        <v>7.3</v>
      </c>
      <c r="X137" s="229">
        <v>2.2000000000000001E-3</v>
      </c>
      <c r="Y137" s="228">
        <v>6.7</v>
      </c>
      <c r="Z137" s="228">
        <v>11.9</v>
      </c>
      <c r="AA137" s="228">
        <v>-5.2</v>
      </c>
      <c r="AB137" s="229">
        <v>2E-3</v>
      </c>
      <c r="AC137" s="228">
        <v>6.7</v>
      </c>
      <c r="AD137" s="228">
        <v>11.9</v>
      </c>
      <c r="AE137" s="228">
        <v>-5.2</v>
      </c>
      <c r="AF137" s="229">
        <v>2E-3</v>
      </c>
      <c r="AG137" s="228">
        <v>22.6</v>
      </c>
      <c r="AH137" s="228">
        <v>21</v>
      </c>
      <c r="AI137" s="228">
        <v>1.6</v>
      </c>
      <c r="AJ137" s="229">
        <v>6.8999999999999999E-3</v>
      </c>
      <c r="AK137" s="228">
        <v>22.2</v>
      </c>
      <c r="AL137" s="228">
        <v>23.1</v>
      </c>
      <c r="AM137" s="228">
        <v>-0.9</v>
      </c>
      <c r="AN137" s="229">
        <v>6.7999999999999996E-3</v>
      </c>
      <c r="AO137" s="231">
        <v>3276.76</v>
      </c>
      <c r="AP137" s="231">
        <v>3290.67</v>
      </c>
      <c r="AQ137" s="228">
        <v>0</v>
      </c>
      <c r="AR137" s="230">
        <v>673750</v>
      </c>
      <c r="AS137" s="230">
        <v>851125</v>
      </c>
      <c r="AT137" s="230">
        <v>-177375</v>
      </c>
      <c r="AU137" s="229">
        <v>-0.2084</v>
      </c>
      <c r="AV137" s="230">
        <v>528000</v>
      </c>
      <c r="AW137" s="230">
        <v>791450</v>
      </c>
      <c r="AX137" s="230">
        <v>-263450</v>
      </c>
      <c r="AY137" s="229">
        <v>-0.33289999999999997</v>
      </c>
      <c r="AZ137" s="230">
        <v>137225</v>
      </c>
      <c r="BA137" s="230">
        <v>51975</v>
      </c>
      <c r="BB137" s="230">
        <v>85250</v>
      </c>
      <c r="BC137" s="229">
        <v>1.6402000000000001</v>
      </c>
      <c r="BD137" s="230">
        <v>8525</v>
      </c>
      <c r="BE137" s="230">
        <v>7700</v>
      </c>
      <c r="BF137" s="228">
        <v>825</v>
      </c>
      <c r="BG137" s="229">
        <v>0.1071</v>
      </c>
      <c r="BH137" s="230">
        <v>2960925</v>
      </c>
      <c r="BI137" s="230">
        <v>4007850</v>
      </c>
      <c r="BJ137" s="230">
        <v>-1046925</v>
      </c>
      <c r="BK137" s="229">
        <v>-0.26119999999999999</v>
      </c>
      <c r="BL137" s="230">
        <v>1684925</v>
      </c>
      <c r="BM137" s="230">
        <v>2585000</v>
      </c>
      <c r="BN137" s="230">
        <v>-900075</v>
      </c>
      <c r="BO137" s="229">
        <v>-0.34820000000000001</v>
      </c>
      <c r="BP137" s="230">
        <v>5319600</v>
      </c>
      <c r="BQ137" s="230">
        <v>7443975</v>
      </c>
      <c r="BR137" s="230">
        <v>-2124375</v>
      </c>
      <c r="BS137" s="229">
        <v>-0.28539999999999999</v>
      </c>
      <c r="BT137" s="230">
        <v>244244</v>
      </c>
      <c r="BU137" s="230">
        <v>540246</v>
      </c>
      <c r="BV137" s="230">
        <v>-296002</v>
      </c>
      <c r="BW137" s="229">
        <v>-0.54790000000000005</v>
      </c>
      <c r="BX137" s="230">
        <v>2700775</v>
      </c>
      <c r="BY137" s="230">
        <v>2701325</v>
      </c>
      <c r="BZ137" s="228">
        <v>-550</v>
      </c>
      <c r="CA137" s="229">
        <v>-2.0000000000000001E-4</v>
      </c>
      <c r="CB137" s="230">
        <v>2529725</v>
      </c>
      <c r="CC137" s="230">
        <v>2567125</v>
      </c>
      <c r="CD137" s="230">
        <v>-37400</v>
      </c>
      <c r="CE137" s="229">
        <v>-1.46E-2</v>
      </c>
      <c r="CF137" s="230">
        <v>141075</v>
      </c>
      <c r="CG137" s="230">
        <v>106700</v>
      </c>
      <c r="CH137" s="230">
        <v>34375</v>
      </c>
      <c r="CI137" s="229">
        <v>0.32219999999999999</v>
      </c>
      <c r="CJ137" s="230">
        <v>29975</v>
      </c>
      <c r="CK137" s="230">
        <v>27500</v>
      </c>
      <c r="CL137" s="230">
        <v>2475</v>
      </c>
      <c r="CM137" s="229">
        <v>0.09</v>
      </c>
      <c r="CN137" s="230">
        <v>2526150</v>
      </c>
      <c r="CO137" s="230">
        <v>2345750</v>
      </c>
      <c r="CP137" s="230">
        <v>180400</v>
      </c>
      <c r="CQ137" s="229">
        <v>7.6899999999999996E-2</v>
      </c>
      <c r="CR137" s="230">
        <v>1779800</v>
      </c>
      <c r="CS137" s="230">
        <v>1645600</v>
      </c>
      <c r="CT137" s="230">
        <v>134200</v>
      </c>
      <c r="CU137" s="229">
        <v>8.1600000000000006E-2</v>
      </c>
      <c r="CV137" s="230">
        <v>7006725</v>
      </c>
      <c r="CW137" s="230">
        <v>6692675</v>
      </c>
      <c r="CX137" s="230">
        <v>314050</v>
      </c>
      <c r="CY137" s="229">
        <v>4.6899999999999997E-2</v>
      </c>
      <c r="CZ137" s="228">
        <v>28.51</v>
      </c>
      <c r="DA137" s="228">
        <v>28.09</v>
      </c>
      <c r="DB137" s="228">
        <v>0.42</v>
      </c>
      <c r="DC137" s="228">
        <v>0.42</v>
      </c>
      <c r="DD137" s="228">
        <v>36.04</v>
      </c>
      <c r="DE137" s="228">
        <v>36.130000000000003</v>
      </c>
      <c r="DF137" s="228">
        <v>-7.53</v>
      </c>
      <c r="DG137" s="228">
        <v>-0.09</v>
      </c>
      <c r="DH137" s="228">
        <v>27.65</v>
      </c>
      <c r="DI137" s="228">
        <v>27.27</v>
      </c>
      <c r="DJ137" s="228">
        <v>0.38</v>
      </c>
      <c r="DK137" s="228">
        <v>0.38</v>
      </c>
      <c r="DL137" s="228">
        <v>30.03</v>
      </c>
      <c r="DM137" s="228">
        <v>29.36</v>
      </c>
      <c r="DN137" s="228">
        <v>0.67</v>
      </c>
      <c r="DO137" s="228">
        <v>0.67</v>
      </c>
      <c r="DP137" s="228">
        <v>0.7</v>
      </c>
      <c r="DQ137" s="228">
        <v>0.7</v>
      </c>
      <c r="DR137" s="228">
        <v>0</v>
      </c>
      <c r="DS137" s="229">
        <v>0</v>
      </c>
      <c r="DT137" s="231">
        <v>3200</v>
      </c>
      <c r="DU137" s="231">
        <v>3100</v>
      </c>
      <c r="DV137" s="228">
        <v>0.56999999999999995</v>
      </c>
      <c r="DW137" s="228">
        <v>0.64</v>
      </c>
      <c r="DX137" s="228">
        <v>-7.0000000000000007E-2</v>
      </c>
      <c r="DY137" s="229">
        <v>-0.1094</v>
      </c>
      <c r="DZ137" s="229">
        <v>6.3299999999999995E-2</v>
      </c>
      <c r="EA137" s="230">
        <v>134200</v>
      </c>
      <c r="EB137" s="229">
        <v>4.8999999999999998E-3</v>
      </c>
      <c r="EC137" s="229">
        <v>6.3299999999999995E-2</v>
      </c>
      <c r="ED137" s="228">
        <v>13.91</v>
      </c>
      <c r="EE137" s="229">
        <v>4.1999999999999997E-3</v>
      </c>
      <c r="EF137" s="230">
        <v>119464</v>
      </c>
      <c r="EG137" s="230">
        <v>295084</v>
      </c>
      <c r="EH137" s="229">
        <v>-0.59519999999999995</v>
      </c>
      <c r="EI137" s="229">
        <v>0.48909999999999998</v>
      </c>
      <c r="EJ137" s="231">
        <v>100284.23</v>
      </c>
      <c r="EK137" s="231">
        <v>53767.16</v>
      </c>
      <c r="EL137" s="231">
        <v>22097.86</v>
      </c>
      <c r="EM137" s="231">
        <v>3489</v>
      </c>
      <c r="EN137" s="231">
        <v>176149.25</v>
      </c>
      <c r="EO137" s="231">
        <v>246975.75</v>
      </c>
      <c r="EP137" s="231">
        <v>-70826.5</v>
      </c>
      <c r="EQ137" s="229">
        <v>-0.2868</v>
      </c>
      <c r="ER137" s="231">
        <v>82716</v>
      </c>
      <c r="ES137" s="231">
        <v>54723</v>
      </c>
      <c r="ET137" s="231">
        <v>88483</v>
      </c>
      <c r="EU137" s="231">
        <v>16050690</v>
      </c>
      <c r="EV137" s="231">
        <v>225922</v>
      </c>
      <c r="EW137" s="231">
        <v>215637</v>
      </c>
      <c r="EX137" s="231">
        <v>10285</v>
      </c>
      <c r="EY137" s="229">
        <v>4.7699999999999999E-2</v>
      </c>
      <c r="EZ137" s="229">
        <v>0.4365</v>
      </c>
      <c r="FA137" s="227" t="s">
        <v>556</v>
      </c>
      <c r="FB137" s="161">
        <f t="shared" si="2"/>
        <v>171050</v>
      </c>
    </row>
    <row r="138" spans="1:158" ht="17.25" hidden="1" thickBot="1" x14ac:dyDescent="0.3">
      <c r="A138" s="226">
        <v>45946</v>
      </c>
      <c r="B138" s="227" t="s">
        <v>227</v>
      </c>
      <c r="C138" s="227" t="s">
        <v>263</v>
      </c>
      <c r="D138" s="228">
        <v>3750</v>
      </c>
      <c r="E138" s="228">
        <v>227.14</v>
      </c>
      <c r="F138" s="228">
        <v>226.61</v>
      </c>
      <c r="G138" s="228">
        <v>0.53</v>
      </c>
      <c r="H138" s="229">
        <v>2.3E-3</v>
      </c>
      <c r="I138" s="228">
        <v>226.84</v>
      </c>
      <c r="J138" s="228">
        <v>226.55</v>
      </c>
      <c r="K138" s="228">
        <v>0.28999999999999998</v>
      </c>
      <c r="L138" s="229">
        <v>1.2999999999999999E-3</v>
      </c>
      <c r="M138" s="228">
        <v>227.14</v>
      </c>
      <c r="N138" s="228">
        <v>226.61</v>
      </c>
      <c r="O138" s="228">
        <v>0.53</v>
      </c>
      <c r="P138" s="229">
        <v>2.3E-3</v>
      </c>
      <c r="Q138" s="228">
        <v>227.44</v>
      </c>
      <c r="R138" s="228">
        <v>227.18</v>
      </c>
      <c r="S138" s="228">
        <v>0.26</v>
      </c>
      <c r="T138" s="229">
        <v>1.1000000000000001E-3</v>
      </c>
      <c r="U138" s="228">
        <v>228.27</v>
      </c>
      <c r="V138" s="228">
        <v>227.53</v>
      </c>
      <c r="W138" s="228">
        <v>0.74</v>
      </c>
      <c r="X138" s="229">
        <v>3.3E-3</v>
      </c>
      <c r="Y138" s="228">
        <v>0.3</v>
      </c>
      <c r="Z138" s="228">
        <v>0.06</v>
      </c>
      <c r="AA138" s="228">
        <v>0.24</v>
      </c>
      <c r="AB138" s="229">
        <v>1.2999999999999999E-3</v>
      </c>
      <c r="AC138" s="228">
        <v>0.3</v>
      </c>
      <c r="AD138" s="228">
        <v>0.06</v>
      </c>
      <c r="AE138" s="228">
        <v>0.24</v>
      </c>
      <c r="AF138" s="229">
        <v>1.2999999999999999E-3</v>
      </c>
      <c r="AG138" s="228">
        <v>0.6</v>
      </c>
      <c r="AH138" s="228">
        <v>0.63</v>
      </c>
      <c r="AI138" s="228">
        <v>-0.03</v>
      </c>
      <c r="AJ138" s="229">
        <v>2.5999999999999999E-3</v>
      </c>
      <c r="AK138" s="228">
        <v>1.43</v>
      </c>
      <c r="AL138" s="228">
        <v>0.98</v>
      </c>
      <c r="AM138" s="228">
        <v>0.45</v>
      </c>
      <c r="AN138" s="229">
        <v>6.3E-3</v>
      </c>
      <c r="AO138" s="228">
        <v>226.81</v>
      </c>
      <c r="AP138" s="228">
        <v>226.82</v>
      </c>
      <c r="AQ138" s="228">
        <v>0</v>
      </c>
      <c r="AR138" s="230">
        <v>12135000</v>
      </c>
      <c r="AS138" s="230">
        <v>14531250</v>
      </c>
      <c r="AT138" s="230">
        <v>-2396250</v>
      </c>
      <c r="AU138" s="229">
        <v>-0.16489999999999999</v>
      </c>
      <c r="AV138" s="230">
        <v>10027500</v>
      </c>
      <c r="AW138" s="230">
        <v>12873750</v>
      </c>
      <c r="AX138" s="230">
        <v>-2846250</v>
      </c>
      <c r="AY138" s="229">
        <v>-0.22109999999999999</v>
      </c>
      <c r="AZ138" s="230">
        <v>2025000</v>
      </c>
      <c r="BA138" s="230">
        <v>1488750</v>
      </c>
      <c r="BB138" s="230">
        <v>536250</v>
      </c>
      <c r="BC138" s="229">
        <v>0.36020000000000002</v>
      </c>
      <c r="BD138" s="230">
        <v>82500</v>
      </c>
      <c r="BE138" s="230">
        <v>168750</v>
      </c>
      <c r="BF138" s="230">
        <v>-86250</v>
      </c>
      <c r="BG138" s="229">
        <v>-0.5111</v>
      </c>
      <c r="BH138" s="230">
        <v>32430000</v>
      </c>
      <c r="BI138" s="230">
        <v>27855000</v>
      </c>
      <c r="BJ138" s="230">
        <v>4575000</v>
      </c>
      <c r="BK138" s="229">
        <v>0.16420000000000001</v>
      </c>
      <c r="BL138" s="230">
        <v>16215000</v>
      </c>
      <c r="BM138" s="230">
        <v>15633750</v>
      </c>
      <c r="BN138" s="230">
        <v>581250</v>
      </c>
      <c r="BO138" s="229">
        <v>3.7199999999999997E-2</v>
      </c>
      <c r="BP138" s="230">
        <v>60780000</v>
      </c>
      <c r="BQ138" s="230">
        <v>58020000</v>
      </c>
      <c r="BR138" s="230">
        <v>2760000</v>
      </c>
      <c r="BS138" s="229">
        <v>4.7600000000000003E-2</v>
      </c>
      <c r="BT138" s="230">
        <v>6648382</v>
      </c>
      <c r="BU138" s="230">
        <v>12908300</v>
      </c>
      <c r="BV138" s="230">
        <v>-6259918</v>
      </c>
      <c r="BW138" s="229">
        <v>-0.48499999999999999</v>
      </c>
      <c r="BX138" s="230">
        <v>82376250</v>
      </c>
      <c r="BY138" s="230">
        <v>81622500</v>
      </c>
      <c r="BZ138" s="230">
        <v>753750</v>
      </c>
      <c r="CA138" s="229">
        <v>9.1999999999999998E-3</v>
      </c>
      <c r="CB138" s="230">
        <v>76676250</v>
      </c>
      <c r="CC138" s="230">
        <v>76886250</v>
      </c>
      <c r="CD138" s="230">
        <v>-210000</v>
      </c>
      <c r="CE138" s="229">
        <v>-2.7000000000000001E-3</v>
      </c>
      <c r="CF138" s="230">
        <v>5212500</v>
      </c>
      <c r="CG138" s="230">
        <v>4271250</v>
      </c>
      <c r="CH138" s="230">
        <v>941250</v>
      </c>
      <c r="CI138" s="229">
        <v>0.22040000000000001</v>
      </c>
      <c r="CJ138" s="230">
        <v>487500</v>
      </c>
      <c r="CK138" s="230">
        <v>465000</v>
      </c>
      <c r="CL138" s="230">
        <v>22500</v>
      </c>
      <c r="CM138" s="229">
        <v>4.8399999999999999E-2</v>
      </c>
      <c r="CN138" s="230">
        <v>35088750</v>
      </c>
      <c r="CO138" s="230">
        <v>35876250</v>
      </c>
      <c r="CP138" s="230">
        <v>-787500</v>
      </c>
      <c r="CQ138" s="229">
        <v>-2.1999999999999999E-2</v>
      </c>
      <c r="CR138" s="230">
        <v>25323750</v>
      </c>
      <c r="CS138" s="230">
        <v>25012500</v>
      </c>
      <c r="CT138" s="230">
        <v>311250</v>
      </c>
      <c r="CU138" s="229">
        <v>1.24E-2</v>
      </c>
      <c r="CV138" s="230">
        <v>142788750</v>
      </c>
      <c r="CW138" s="230">
        <v>142511250</v>
      </c>
      <c r="CX138" s="230">
        <v>277500</v>
      </c>
      <c r="CY138" s="229">
        <v>1.9E-3</v>
      </c>
      <c r="CZ138" s="228">
        <v>30.74</v>
      </c>
      <c r="DA138" s="228">
        <v>31.6</v>
      </c>
      <c r="DB138" s="228">
        <v>-0.86</v>
      </c>
      <c r="DC138" s="228">
        <v>-0.86</v>
      </c>
      <c r="DD138" s="228">
        <v>47.63</v>
      </c>
      <c r="DE138" s="228">
        <v>47.75</v>
      </c>
      <c r="DF138" s="228">
        <v>-16.89</v>
      </c>
      <c r="DG138" s="228">
        <v>-0.12</v>
      </c>
      <c r="DH138" s="228">
        <v>30.62</v>
      </c>
      <c r="DI138" s="228">
        <v>31.3</v>
      </c>
      <c r="DJ138" s="228">
        <v>-0.68</v>
      </c>
      <c r="DK138" s="228">
        <v>-0.68</v>
      </c>
      <c r="DL138" s="228">
        <v>30.97</v>
      </c>
      <c r="DM138" s="228">
        <v>32.130000000000003</v>
      </c>
      <c r="DN138" s="228">
        <v>-1.1599999999999999</v>
      </c>
      <c r="DO138" s="228">
        <v>-1.1599999999999999</v>
      </c>
      <c r="DP138" s="228">
        <v>0.72</v>
      </c>
      <c r="DQ138" s="228">
        <v>0.7</v>
      </c>
      <c r="DR138" s="228">
        <v>0.02</v>
      </c>
      <c r="DS138" s="229">
        <v>2.86E-2</v>
      </c>
      <c r="DT138" s="228">
        <v>230</v>
      </c>
      <c r="DU138" s="228">
        <v>220</v>
      </c>
      <c r="DV138" s="228">
        <v>0.5</v>
      </c>
      <c r="DW138" s="228">
        <v>0.56000000000000005</v>
      </c>
      <c r="DX138" s="228">
        <v>-0.06</v>
      </c>
      <c r="DY138" s="229">
        <v>-0.1071</v>
      </c>
      <c r="DZ138" s="229">
        <v>6.9199999999999998E-2</v>
      </c>
      <c r="EA138" s="230">
        <v>4736250</v>
      </c>
      <c r="EB138" s="229">
        <v>1.2999999999999999E-3</v>
      </c>
      <c r="EC138" s="229">
        <v>6.9199999999999998E-2</v>
      </c>
      <c r="ED138" s="228">
        <v>0.01</v>
      </c>
      <c r="EE138" s="229">
        <v>0</v>
      </c>
      <c r="EF138" s="230">
        <v>3211692</v>
      </c>
      <c r="EG138" s="230">
        <v>8626812</v>
      </c>
      <c r="EH138" s="229">
        <v>-0.62770000000000004</v>
      </c>
      <c r="EI138" s="229">
        <v>0.48309999999999997</v>
      </c>
      <c r="EJ138" s="231">
        <v>76193.88</v>
      </c>
      <c r="EK138" s="231">
        <v>36527.49</v>
      </c>
      <c r="EL138" s="231">
        <v>27524.95</v>
      </c>
      <c r="EM138" s="231">
        <v>5343</v>
      </c>
      <c r="EN138" s="231">
        <v>140246.32</v>
      </c>
      <c r="EO138" s="231">
        <v>133634.68</v>
      </c>
      <c r="EP138" s="231">
        <v>6611.64</v>
      </c>
      <c r="EQ138" s="229">
        <v>4.9500000000000002E-2</v>
      </c>
      <c r="ER138" s="231">
        <v>80712</v>
      </c>
      <c r="ES138" s="231">
        <v>54507</v>
      </c>
      <c r="ET138" s="231">
        <v>187131</v>
      </c>
      <c r="EU138" s="231">
        <v>134225816</v>
      </c>
      <c r="EV138" s="231">
        <v>322350</v>
      </c>
      <c r="EW138" s="231">
        <v>321392</v>
      </c>
      <c r="EX138" s="228">
        <v>958</v>
      </c>
      <c r="EY138" s="229">
        <v>3.0000000000000001E-3</v>
      </c>
      <c r="EZ138" s="229">
        <v>1.0638000000000001</v>
      </c>
      <c r="FA138" s="227" t="s">
        <v>555</v>
      </c>
      <c r="FB138" s="161">
        <f t="shared" si="2"/>
        <v>5700000</v>
      </c>
    </row>
    <row r="139" spans="1:158" ht="17.25" hidden="1" thickBot="1" x14ac:dyDescent="0.3">
      <c r="A139" s="226">
        <v>45946</v>
      </c>
      <c r="B139" s="227" t="s">
        <v>615</v>
      </c>
      <c r="C139" s="227" t="s">
        <v>264</v>
      </c>
      <c r="D139" s="228">
        <v>375</v>
      </c>
      <c r="E139" s="231">
        <v>1349.4</v>
      </c>
      <c r="F139" s="231">
        <v>1337.6</v>
      </c>
      <c r="G139" s="228">
        <v>11.8</v>
      </c>
      <c r="H139" s="229">
        <v>8.8000000000000005E-3</v>
      </c>
      <c r="I139" s="231">
        <v>1348.5</v>
      </c>
      <c r="J139" s="231">
        <v>1334.8</v>
      </c>
      <c r="K139" s="228">
        <v>13.7</v>
      </c>
      <c r="L139" s="229">
        <v>1.03E-2</v>
      </c>
      <c r="M139" s="231">
        <v>1349.4</v>
      </c>
      <c r="N139" s="231">
        <v>1337.6</v>
      </c>
      <c r="O139" s="228">
        <v>11.8</v>
      </c>
      <c r="P139" s="229">
        <v>8.8000000000000005E-3</v>
      </c>
      <c r="Q139" s="231">
        <v>1356.1</v>
      </c>
      <c r="R139" s="231">
        <v>1342.4</v>
      </c>
      <c r="S139" s="228">
        <v>13.7</v>
      </c>
      <c r="T139" s="229">
        <v>1.0200000000000001E-2</v>
      </c>
      <c r="U139" s="231">
        <v>1370</v>
      </c>
      <c r="V139" s="231">
        <v>1351.9</v>
      </c>
      <c r="W139" s="228">
        <v>18.100000000000001</v>
      </c>
      <c r="X139" s="229">
        <v>1.34E-2</v>
      </c>
      <c r="Y139" s="228">
        <v>0.9</v>
      </c>
      <c r="Z139" s="228">
        <v>2.8</v>
      </c>
      <c r="AA139" s="228">
        <v>-1.9</v>
      </c>
      <c r="AB139" s="229">
        <v>6.9999999999999999E-4</v>
      </c>
      <c r="AC139" s="228">
        <v>0.9</v>
      </c>
      <c r="AD139" s="228">
        <v>2.8</v>
      </c>
      <c r="AE139" s="228">
        <v>-1.9</v>
      </c>
      <c r="AF139" s="229">
        <v>6.9999999999999999E-4</v>
      </c>
      <c r="AG139" s="228">
        <v>7.6</v>
      </c>
      <c r="AH139" s="228">
        <v>7.6</v>
      </c>
      <c r="AI139" s="228">
        <v>0</v>
      </c>
      <c r="AJ139" s="229">
        <v>5.5999999999999999E-3</v>
      </c>
      <c r="AK139" s="228">
        <v>21.5</v>
      </c>
      <c r="AL139" s="228">
        <v>17.100000000000001</v>
      </c>
      <c r="AM139" s="228">
        <v>4.4000000000000004</v>
      </c>
      <c r="AN139" s="229">
        <v>1.5900000000000001E-2</v>
      </c>
      <c r="AO139" s="231">
        <v>1352.89</v>
      </c>
      <c r="AP139" s="231">
        <v>1356.77</v>
      </c>
      <c r="AQ139" s="228">
        <v>0</v>
      </c>
      <c r="AR139" s="230">
        <v>912750</v>
      </c>
      <c r="AS139" s="230">
        <v>590250</v>
      </c>
      <c r="AT139" s="230">
        <v>322500</v>
      </c>
      <c r="AU139" s="229">
        <v>0.5464</v>
      </c>
      <c r="AV139" s="230">
        <v>822000</v>
      </c>
      <c r="AW139" s="230">
        <v>552375</v>
      </c>
      <c r="AX139" s="230">
        <v>269625</v>
      </c>
      <c r="AY139" s="229">
        <v>0.48809999999999998</v>
      </c>
      <c r="AZ139" s="230">
        <v>85875</v>
      </c>
      <c r="BA139" s="230">
        <v>34125</v>
      </c>
      <c r="BB139" s="230">
        <v>51750</v>
      </c>
      <c r="BC139" s="229">
        <v>1.5165</v>
      </c>
      <c r="BD139" s="230">
        <v>4875</v>
      </c>
      <c r="BE139" s="230">
        <v>3750</v>
      </c>
      <c r="BF139" s="230">
        <v>1125</v>
      </c>
      <c r="BG139" s="229">
        <v>0.3</v>
      </c>
      <c r="BH139" s="230">
        <v>2155125</v>
      </c>
      <c r="BI139" s="230">
        <v>1492500</v>
      </c>
      <c r="BJ139" s="230">
        <v>662625</v>
      </c>
      <c r="BK139" s="229">
        <v>0.44400000000000001</v>
      </c>
      <c r="BL139" s="230">
        <v>760125</v>
      </c>
      <c r="BM139" s="230">
        <v>531000</v>
      </c>
      <c r="BN139" s="230">
        <v>229125</v>
      </c>
      <c r="BO139" s="229">
        <v>0.43149999999999999</v>
      </c>
      <c r="BP139" s="230">
        <v>3828000</v>
      </c>
      <c r="BQ139" s="230">
        <v>2613750</v>
      </c>
      <c r="BR139" s="230">
        <v>1214250</v>
      </c>
      <c r="BS139" s="229">
        <v>0.46460000000000001</v>
      </c>
      <c r="BT139" s="230">
        <v>604497</v>
      </c>
      <c r="BU139" s="230">
        <v>589204</v>
      </c>
      <c r="BV139" s="230">
        <v>15293</v>
      </c>
      <c r="BW139" s="229">
        <v>2.5999999999999999E-2</v>
      </c>
      <c r="BX139" s="230">
        <v>10039125</v>
      </c>
      <c r="BY139" s="230">
        <v>10196625</v>
      </c>
      <c r="BZ139" s="230">
        <v>-157500</v>
      </c>
      <c r="CA139" s="229">
        <v>-1.54E-2</v>
      </c>
      <c r="CB139" s="230">
        <v>9888750</v>
      </c>
      <c r="CC139" s="230">
        <v>10050375</v>
      </c>
      <c r="CD139" s="230">
        <v>-161625</v>
      </c>
      <c r="CE139" s="229">
        <v>-1.61E-2</v>
      </c>
      <c r="CF139" s="230">
        <v>133500</v>
      </c>
      <c r="CG139" s="230">
        <v>126375</v>
      </c>
      <c r="CH139" s="230">
        <v>7125</v>
      </c>
      <c r="CI139" s="229">
        <v>5.6399999999999999E-2</v>
      </c>
      <c r="CJ139" s="230">
        <v>16875</v>
      </c>
      <c r="CK139" s="230">
        <v>19875</v>
      </c>
      <c r="CL139" s="230">
        <v>-3000</v>
      </c>
      <c r="CM139" s="229">
        <v>-0.15090000000000001</v>
      </c>
      <c r="CN139" s="230">
        <v>1947375</v>
      </c>
      <c r="CO139" s="230">
        <v>2251500</v>
      </c>
      <c r="CP139" s="230">
        <v>-304125</v>
      </c>
      <c r="CQ139" s="229">
        <v>-0.1351</v>
      </c>
      <c r="CR139" s="230">
        <v>1167750</v>
      </c>
      <c r="CS139" s="230">
        <v>1189875</v>
      </c>
      <c r="CT139" s="230">
        <v>-22125</v>
      </c>
      <c r="CU139" s="229">
        <v>-1.8599999999999998E-2</v>
      </c>
      <c r="CV139" s="230">
        <v>13154250</v>
      </c>
      <c r="CW139" s="230">
        <v>13638000</v>
      </c>
      <c r="CX139" s="230">
        <v>-483750</v>
      </c>
      <c r="CY139" s="229">
        <v>-3.5499999999999997E-2</v>
      </c>
      <c r="CZ139" s="228">
        <v>28.17</v>
      </c>
      <c r="DA139" s="228">
        <v>28.55</v>
      </c>
      <c r="DB139" s="228">
        <v>-0.38</v>
      </c>
      <c r="DC139" s="228">
        <v>-0.38</v>
      </c>
      <c r="DD139" s="228">
        <v>38.1</v>
      </c>
      <c r="DE139" s="228">
        <v>38.17</v>
      </c>
      <c r="DF139" s="228">
        <v>-9.93</v>
      </c>
      <c r="DG139" s="228">
        <v>-7.0000000000000007E-2</v>
      </c>
      <c r="DH139" s="228">
        <v>28.49</v>
      </c>
      <c r="DI139" s="228">
        <v>28.98</v>
      </c>
      <c r="DJ139" s="228">
        <v>-0.49</v>
      </c>
      <c r="DK139" s="228">
        <v>-0.49</v>
      </c>
      <c r="DL139" s="228">
        <v>27.26</v>
      </c>
      <c r="DM139" s="228">
        <v>27.35</v>
      </c>
      <c r="DN139" s="228">
        <v>-0.09</v>
      </c>
      <c r="DO139" s="228">
        <v>-0.09</v>
      </c>
      <c r="DP139" s="228">
        <v>0.6</v>
      </c>
      <c r="DQ139" s="228">
        <v>0.53</v>
      </c>
      <c r="DR139" s="228">
        <v>7.0000000000000007E-2</v>
      </c>
      <c r="DS139" s="229">
        <v>0.1321</v>
      </c>
      <c r="DT139" s="231">
        <v>1400</v>
      </c>
      <c r="DU139" s="231">
        <v>1300</v>
      </c>
      <c r="DV139" s="228">
        <v>0.35</v>
      </c>
      <c r="DW139" s="228">
        <v>0.36</v>
      </c>
      <c r="DX139" s="228">
        <v>-0.01</v>
      </c>
      <c r="DY139" s="229">
        <v>-2.7799999999999998E-2</v>
      </c>
      <c r="DZ139" s="229">
        <v>1.4999999999999999E-2</v>
      </c>
      <c r="EA139" s="230">
        <v>146250</v>
      </c>
      <c r="EB139" s="229">
        <v>5.0000000000000001E-3</v>
      </c>
      <c r="EC139" s="229">
        <v>1.4999999999999999E-2</v>
      </c>
      <c r="ED139" s="228">
        <v>3.88</v>
      </c>
      <c r="EE139" s="229">
        <v>2.8999999999999998E-3</v>
      </c>
      <c r="EF139" s="230">
        <v>346418</v>
      </c>
      <c r="EG139" s="230">
        <v>411268</v>
      </c>
      <c r="EH139" s="229">
        <v>-0.15770000000000001</v>
      </c>
      <c r="EI139" s="229">
        <v>0.57310000000000005</v>
      </c>
      <c r="EJ139" s="231">
        <v>30253.34</v>
      </c>
      <c r="EK139" s="231">
        <v>10070.9</v>
      </c>
      <c r="EL139" s="231">
        <v>12352.4</v>
      </c>
      <c r="EM139" s="231">
        <v>3020</v>
      </c>
      <c r="EN139" s="231">
        <v>52676.639999999999</v>
      </c>
      <c r="EO139" s="231">
        <v>35760.879999999997</v>
      </c>
      <c r="EP139" s="231">
        <v>16915.759999999998</v>
      </c>
      <c r="EQ139" s="229">
        <v>0.47299999999999998</v>
      </c>
      <c r="ER139" s="231">
        <v>27586</v>
      </c>
      <c r="ES139" s="231">
        <v>15446</v>
      </c>
      <c r="ET139" s="231">
        <v>135480</v>
      </c>
      <c r="EU139" s="231">
        <v>60530911</v>
      </c>
      <c r="EV139" s="231">
        <v>178512</v>
      </c>
      <c r="EW139" s="231">
        <v>183922</v>
      </c>
      <c r="EX139" s="231">
        <v>-5410</v>
      </c>
      <c r="EY139" s="229">
        <v>-2.9399999999999999E-2</v>
      </c>
      <c r="EZ139" s="229">
        <v>0.21729999999999999</v>
      </c>
      <c r="FA139" s="227" t="s">
        <v>556</v>
      </c>
      <c r="FB139" s="161">
        <f>BX139-CB139</f>
        <v>150375</v>
      </c>
    </row>
    <row r="140" spans="1:158" ht="17.25" hidden="1" thickBot="1" x14ac:dyDescent="0.3">
      <c r="A140" s="226">
        <v>45946</v>
      </c>
      <c r="B140" s="227" t="s">
        <v>206</v>
      </c>
      <c r="C140" s="227" t="s">
        <v>550</v>
      </c>
      <c r="D140" s="228">
        <v>6500</v>
      </c>
      <c r="E140" s="228">
        <v>112.76</v>
      </c>
      <c r="F140" s="228">
        <v>112.31</v>
      </c>
      <c r="G140" s="228">
        <v>0.45</v>
      </c>
      <c r="H140" s="229">
        <v>4.0000000000000001E-3</v>
      </c>
      <c r="I140" s="228">
        <v>112.36</v>
      </c>
      <c r="J140" s="228">
        <v>111.87</v>
      </c>
      <c r="K140" s="228">
        <v>0.49</v>
      </c>
      <c r="L140" s="229">
        <v>4.4000000000000003E-3</v>
      </c>
      <c r="M140" s="228">
        <v>112.76</v>
      </c>
      <c r="N140" s="228">
        <v>112.31</v>
      </c>
      <c r="O140" s="228">
        <v>0.45</v>
      </c>
      <c r="P140" s="229">
        <v>4.0000000000000001E-3</v>
      </c>
      <c r="Q140" s="228">
        <v>113.4</v>
      </c>
      <c r="R140" s="228">
        <v>112.86</v>
      </c>
      <c r="S140" s="228">
        <v>0.54</v>
      </c>
      <c r="T140" s="229">
        <v>4.7999999999999996E-3</v>
      </c>
      <c r="U140" s="228">
        <v>114.28</v>
      </c>
      <c r="V140" s="228">
        <v>113.4</v>
      </c>
      <c r="W140" s="228">
        <v>0.88</v>
      </c>
      <c r="X140" s="229">
        <v>7.7999999999999996E-3</v>
      </c>
      <c r="Y140" s="228">
        <v>0.4</v>
      </c>
      <c r="Z140" s="228">
        <v>0.44</v>
      </c>
      <c r="AA140" s="228">
        <v>-0.04</v>
      </c>
      <c r="AB140" s="229">
        <v>3.5999999999999999E-3</v>
      </c>
      <c r="AC140" s="228">
        <v>0.4</v>
      </c>
      <c r="AD140" s="228">
        <v>0.44</v>
      </c>
      <c r="AE140" s="228">
        <v>-0.04</v>
      </c>
      <c r="AF140" s="229">
        <v>3.5999999999999999E-3</v>
      </c>
      <c r="AG140" s="228">
        <v>1.04</v>
      </c>
      <c r="AH140" s="228">
        <v>0.99</v>
      </c>
      <c r="AI140" s="228">
        <v>0.05</v>
      </c>
      <c r="AJ140" s="229">
        <v>9.2999999999999992E-3</v>
      </c>
      <c r="AK140" s="228">
        <v>1.92</v>
      </c>
      <c r="AL140" s="228">
        <v>1.53</v>
      </c>
      <c r="AM140" s="228">
        <v>0.39</v>
      </c>
      <c r="AN140" s="229">
        <v>1.7100000000000001E-2</v>
      </c>
      <c r="AO140" s="228">
        <v>113.78</v>
      </c>
      <c r="AP140" s="228">
        <v>114.33</v>
      </c>
      <c r="AQ140" s="228">
        <v>0</v>
      </c>
      <c r="AR140" s="230">
        <v>15509000</v>
      </c>
      <c r="AS140" s="230">
        <v>13136500</v>
      </c>
      <c r="AT140" s="230">
        <v>2372500</v>
      </c>
      <c r="AU140" s="229">
        <v>0.18060000000000001</v>
      </c>
      <c r="AV140" s="230">
        <v>13045500</v>
      </c>
      <c r="AW140" s="230">
        <v>11141000</v>
      </c>
      <c r="AX140" s="230">
        <v>1904500</v>
      </c>
      <c r="AY140" s="229">
        <v>0.1709</v>
      </c>
      <c r="AZ140" s="230">
        <v>2359500</v>
      </c>
      <c r="BA140" s="230">
        <v>1924000</v>
      </c>
      <c r="BB140" s="230">
        <v>435500</v>
      </c>
      <c r="BC140" s="229">
        <v>0.22639999999999999</v>
      </c>
      <c r="BD140" s="230">
        <v>104000</v>
      </c>
      <c r="BE140" s="230">
        <v>71500</v>
      </c>
      <c r="BF140" s="230">
        <v>32500</v>
      </c>
      <c r="BG140" s="229">
        <v>0.45450000000000002</v>
      </c>
      <c r="BH140" s="230">
        <v>31733000</v>
      </c>
      <c r="BI140" s="230">
        <v>29146000</v>
      </c>
      <c r="BJ140" s="230">
        <v>2587000</v>
      </c>
      <c r="BK140" s="229">
        <v>8.8800000000000004E-2</v>
      </c>
      <c r="BL140" s="230">
        <v>12252500</v>
      </c>
      <c r="BM140" s="230">
        <v>9867000</v>
      </c>
      <c r="BN140" s="230">
        <v>2385500</v>
      </c>
      <c r="BO140" s="229">
        <v>0.24179999999999999</v>
      </c>
      <c r="BP140" s="230">
        <v>59494500</v>
      </c>
      <c r="BQ140" s="230">
        <v>52149500</v>
      </c>
      <c r="BR140" s="230">
        <v>7345000</v>
      </c>
      <c r="BS140" s="229">
        <v>0.14080000000000001</v>
      </c>
      <c r="BT140" s="230">
        <v>10010057</v>
      </c>
      <c r="BU140" s="230">
        <v>7126151</v>
      </c>
      <c r="BV140" s="230">
        <v>2883906</v>
      </c>
      <c r="BW140" s="229">
        <v>0.4047</v>
      </c>
      <c r="BX140" s="230">
        <v>61516000</v>
      </c>
      <c r="BY140" s="230">
        <v>62484500</v>
      </c>
      <c r="BZ140" s="230">
        <v>-968500</v>
      </c>
      <c r="CA140" s="229">
        <v>-1.55E-2</v>
      </c>
      <c r="CB140" s="230">
        <v>57148000</v>
      </c>
      <c r="CC140" s="230">
        <v>58526000</v>
      </c>
      <c r="CD140" s="230">
        <v>-1378000</v>
      </c>
      <c r="CE140" s="229">
        <v>-2.35E-2</v>
      </c>
      <c r="CF140" s="230">
        <v>3965000</v>
      </c>
      <c r="CG140" s="230">
        <v>3575000</v>
      </c>
      <c r="CH140" s="230">
        <v>390000</v>
      </c>
      <c r="CI140" s="229">
        <v>0.1091</v>
      </c>
      <c r="CJ140" s="230">
        <v>403000</v>
      </c>
      <c r="CK140" s="230">
        <v>383500</v>
      </c>
      <c r="CL140" s="230">
        <v>19500</v>
      </c>
      <c r="CM140" s="229">
        <v>5.0799999999999998E-2</v>
      </c>
      <c r="CN140" s="230">
        <v>33442500</v>
      </c>
      <c r="CO140" s="230">
        <v>34534500</v>
      </c>
      <c r="CP140" s="230">
        <v>-1092000</v>
      </c>
      <c r="CQ140" s="229">
        <v>-3.1600000000000003E-2</v>
      </c>
      <c r="CR140" s="230">
        <v>17478500</v>
      </c>
      <c r="CS140" s="230">
        <v>17218500</v>
      </c>
      <c r="CT140" s="230">
        <v>260000</v>
      </c>
      <c r="CU140" s="229">
        <v>1.5100000000000001E-2</v>
      </c>
      <c r="CV140" s="230">
        <v>112437000</v>
      </c>
      <c r="CW140" s="230">
        <v>114237500</v>
      </c>
      <c r="CX140" s="230">
        <v>-1800500</v>
      </c>
      <c r="CY140" s="229">
        <v>-1.5800000000000002E-2</v>
      </c>
      <c r="CZ140" s="228">
        <v>33.630000000000003</v>
      </c>
      <c r="DA140" s="228">
        <v>35.15</v>
      </c>
      <c r="DB140" s="228">
        <v>-1.52</v>
      </c>
      <c r="DC140" s="228">
        <v>-1.52</v>
      </c>
      <c r="DD140" s="228">
        <v>52.75</v>
      </c>
      <c r="DE140" s="228">
        <v>52.88</v>
      </c>
      <c r="DF140" s="228">
        <v>-19.12</v>
      </c>
      <c r="DG140" s="228">
        <v>-0.13</v>
      </c>
      <c r="DH140" s="228">
        <v>34.1</v>
      </c>
      <c r="DI140" s="228">
        <v>35.549999999999997</v>
      </c>
      <c r="DJ140" s="228">
        <v>-1.45</v>
      </c>
      <c r="DK140" s="228">
        <v>-1.45</v>
      </c>
      <c r="DL140" s="228">
        <v>32.409999999999997</v>
      </c>
      <c r="DM140" s="228">
        <v>33.97</v>
      </c>
      <c r="DN140" s="228">
        <v>-1.56</v>
      </c>
      <c r="DO140" s="228">
        <v>-1.56</v>
      </c>
      <c r="DP140" s="228">
        <v>0.52</v>
      </c>
      <c r="DQ140" s="228">
        <v>0.5</v>
      </c>
      <c r="DR140" s="228">
        <v>0.02</v>
      </c>
      <c r="DS140" s="229">
        <v>0.04</v>
      </c>
      <c r="DT140" s="228">
        <v>115</v>
      </c>
      <c r="DU140" s="228">
        <v>110</v>
      </c>
      <c r="DV140" s="228">
        <v>0.39</v>
      </c>
      <c r="DW140" s="228">
        <v>0.34</v>
      </c>
      <c r="DX140" s="228">
        <v>0.05</v>
      </c>
      <c r="DY140" s="229">
        <v>0.14710000000000001</v>
      </c>
      <c r="DZ140" s="229">
        <v>7.0999999999999994E-2</v>
      </c>
      <c r="EA140" s="230">
        <v>3958500</v>
      </c>
      <c r="EB140" s="229">
        <v>5.7000000000000002E-3</v>
      </c>
      <c r="EC140" s="229">
        <v>7.0999999999999994E-2</v>
      </c>
      <c r="ED140" s="228">
        <v>0.55000000000000004</v>
      </c>
      <c r="EE140" s="229">
        <v>4.7999999999999996E-3</v>
      </c>
      <c r="EF140" s="230">
        <v>3676267</v>
      </c>
      <c r="EG140" s="230">
        <v>2414778</v>
      </c>
      <c r="EH140" s="229">
        <v>0.52239999999999998</v>
      </c>
      <c r="EI140" s="229">
        <v>0.36730000000000002</v>
      </c>
      <c r="EJ140" s="231">
        <v>37487.980000000003</v>
      </c>
      <c r="EK140" s="231">
        <v>13694.57</v>
      </c>
      <c r="EL140" s="231">
        <v>17659.87</v>
      </c>
      <c r="EM140" s="231">
        <v>1988</v>
      </c>
      <c r="EN140" s="231">
        <v>68842.42</v>
      </c>
      <c r="EO140" s="231">
        <v>59545.77</v>
      </c>
      <c r="EP140" s="231">
        <v>9296.65</v>
      </c>
      <c r="EQ140" s="229">
        <v>0.15609999999999999</v>
      </c>
      <c r="ER140" s="231">
        <v>39080</v>
      </c>
      <c r="ES140" s="231">
        <v>18690</v>
      </c>
      <c r="ET140" s="231">
        <v>69397</v>
      </c>
      <c r="EU140" s="231">
        <v>154894704</v>
      </c>
      <c r="EV140" s="231">
        <v>127167</v>
      </c>
      <c r="EW140" s="231">
        <v>128855</v>
      </c>
      <c r="EX140" s="231">
        <v>-1688</v>
      </c>
      <c r="EY140" s="229">
        <v>-1.3100000000000001E-2</v>
      </c>
      <c r="EZ140" s="229">
        <v>0.72589999999999999</v>
      </c>
      <c r="FA140" s="227" t="s">
        <v>556</v>
      </c>
      <c r="FB140" s="161">
        <f>BX140-CB140</f>
        <v>4368000</v>
      </c>
    </row>
    <row r="141" spans="1:158" ht="17.25" hidden="1" thickBot="1" x14ac:dyDescent="0.3">
      <c r="A141" s="226">
        <v>45946</v>
      </c>
      <c r="B141" s="227" t="s">
        <v>215</v>
      </c>
      <c r="C141" s="227" t="s">
        <v>591</v>
      </c>
      <c r="D141" s="228">
        <v>2700</v>
      </c>
      <c r="E141" s="228">
        <v>210.62</v>
      </c>
      <c r="F141" s="228">
        <v>212.66</v>
      </c>
      <c r="G141" s="228">
        <v>-2.04</v>
      </c>
      <c r="H141" s="229">
        <v>-9.5999999999999992E-3</v>
      </c>
      <c r="I141" s="228">
        <v>209.78</v>
      </c>
      <c r="J141" s="228">
        <v>211.69</v>
      </c>
      <c r="K141" s="228">
        <v>-1.91</v>
      </c>
      <c r="L141" s="229">
        <v>-8.9999999999999993E-3</v>
      </c>
      <c r="M141" s="228">
        <v>210.62</v>
      </c>
      <c r="N141" s="228">
        <v>212.66</v>
      </c>
      <c r="O141" s="228">
        <v>-2.04</v>
      </c>
      <c r="P141" s="229">
        <v>-9.5999999999999992E-3</v>
      </c>
      <c r="Q141" s="228">
        <v>211.91</v>
      </c>
      <c r="R141" s="228">
        <v>213.81</v>
      </c>
      <c r="S141" s="228">
        <v>-1.9</v>
      </c>
      <c r="T141" s="229">
        <v>-8.8999999999999999E-3</v>
      </c>
      <c r="U141" s="228">
        <v>212.95</v>
      </c>
      <c r="V141" s="228">
        <v>214.59</v>
      </c>
      <c r="W141" s="228">
        <v>-1.64</v>
      </c>
      <c r="X141" s="229">
        <v>-7.6E-3</v>
      </c>
      <c r="Y141" s="228">
        <v>0.84</v>
      </c>
      <c r="Z141" s="228">
        <v>0.97</v>
      </c>
      <c r="AA141" s="228">
        <v>-0.13</v>
      </c>
      <c r="AB141" s="229">
        <v>4.0000000000000001E-3</v>
      </c>
      <c r="AC141" s="228">
        <v>0.84</v>
      </c>
      <c r="AD141" s="228">
        <v>0.97</v>
      </c>
      <c r="AE141" s="228">
        <v>-0.13</v>
      </c>
      <c r="AF141" s="229">
        <v>4.0000000000000001E-3</v>
      </c>
      <c r="AG141" s="228">
        <v>2.13</v>
      </c>
      <c r="AH141" s="228">
        <v>2.12</v>
      </c>
      <c r="AI141" s="228">
        <v>0.01</v>
      </c>
      <c r="AJ141" s="229">
        <v>1.0200000000000001E-2</v>
      </c>
      <c r="AK141" s="228">
        <v>3.17</v>
      </c>
      <c r="AL141" s="228">
        <v>2.9</v>
      </c>
      <c r="AM141" s="228">
        <v>0.27</v>
      </c>
      <c r="AN141" s="229">
        <v>1.5100000000000001E-2</v>
      </c>
      <c r="AO141" s="228">
        <v>211.07</v>
      </c>
      <c r="AP141" s="228">
        <v>212.37</v>
      </c>
      <c r="AQ141" s="228">
        <v>0</v>
      </c>
      <c r="AR141" s="230">
        <v>2295000</v>
      </c>
      <c r="AS141" s="230">
        <v>9828000</v>
      </c>
      <c r="AT141" s="230">
        <v>-7533000</v>
      </c>
      <c r="AU141" s="229">
        <v>-0.76649999999999996</v>
      </c>
      <c r="AV141" s="230">
        <v>1838700</v>
      </c>
      <c r="AW141" s="230">
        <v>8893800</v>
      </c>
      <c r="AX141" s="230">
        <v>-7055100</v>
      </c>
      <c r="AY141" s="229">
        <v>-0.79330000000000001</v>
      </c>
      <c r="AZ141" s="230">
        <v>423900</v>
      </c>
      <c r="BA141" s="230">
        <v>855900</v>
      </c>
      <c r="BB141" s="230">
        <v>-432000</v>
      </c>
      <c r="BC141" s="229">
        <v>-0.50470000000000004</v>
      </c>
      <c r="BD141" s="230">
        <v>32400</v>
      </c>
      <c r="BE141" s="230">
        <v>78300</v>
      </c>
      <c r="BF141" s="230">
        <v>-45900</v>
      </c>
      <c r="BG141" s="229">
        <v>-0.58620000000000005</v>
      </c>
      <c r="BH141" s="230">
        <v>3491100</v>
      </c>
      <c r="BI141" s="230">
        <v>25142400</v>
      </c>
      <c r="BJ141" s="230">
        <v>-21651300</v>
      </c>
      <c r="BK141" s="229">
        <v>-0.86109999999999998</v>
      </c>
      <c r="BL141" s="230">
        <v>1547100</v>
      </c>
      <c r="BM141" s="230">
        <v>9965700</v>
      </c>
      <c r="BN141" s="230">
        <v>-8418600</v>
      </c>
      <c r="BO141" s="229">
        <v>-0.8448</v>
      </c>
      <c r="BP141" s="230">
        <v>7333200</v>
      </c>
      <c r="BQ141" s="230">
        <v>44936100</v>
      </c>
      <c r="BR141" s="230">
        <v>-37602900</v>
      </c>
      <c r="BS141" s="229">
        <v>-0.83679999999999999</v>
      </c>
      <c r="BT141" s="230">
        <v>1290867</v>
      </c>
      <c r="BU141" s="230">
        <v>4435216</v>
      </c>
      <c r="BV141" s="230">
        <v>-3144349</v>
      </c>
      <c r="BW141" s="229">
        <v>-0.70899999999999996</v>
      </c>
      <c r="BX141" s="230">
        <v>19021500</v>
      </c>
      <c r="BY141" s="230">
        <v>18948600</v>
      </c>
      <c r="BZ141" s="230">
        <v>72900</v>
      </c>
      <c r="CA141" s="229">
        <v>3.8E-3</v>
      </c>
      <c r="CB141" s="230">
        <v>17655300</v>
      </c>
      <c r="CC141" s="230">
        <v>17763300</v>
      </c>
      <c r="CD141" s="230">
        <v>-108000</v>
      </c>
      <c r="CE141" s="229">
        <v>-6.1000000000000004E-3</v>
      </c>
      <c r="CF141" s="230">
        <v>1244700</v>
      </c>
      <c r="CG141" s="230">
        <v>1096200</v>
      </c>
      <c r="CH141" s="230">
        <v>148500</v>
      </c>
      <c r="CI141" s="229">
        <v>0.13550000000000001</v>
      </c>
      <c r="CJ141" s="230">
        <v>121500</v>
      </c>
      <c r="CK141" s="230">
        <v>89100</v>
      </c>
      <c r="CL141" s="230">
        <v>32400</v>
      </c>
      <c r="CM141" s="229">
        <v>0.36359999999999998</v>
      </c>
      <c r="CN141" s="230">
        <v>8453700</v>
      </c>
      <c r="CO141" s="230">
        <v>8410500</v>
      </c>
      <c r="CP141" s="230">
        <v>43200</v>
      </c>
      <c r="CQ141" s="229">
        <v>5.1000000000000004E-3</v>
      </c>
      <c r="CR141" s="230">
        <v>4141800</v>
      </c>
      <c r="CS141" s="230">
        <v>4263300</v>
      </c>
      <c r="CT141" s="230">
        <v>-121500</v>
      </c>
      <c r="CU141" s="229">
        <v>-2.8500000000000001E-2</v>
      </c>
      <c r="CV141" s="230">
        <v>31617000</v>
      </c>
      <c r="CW141" s="230">
        <v>31622400</v>
      </c>
      <c r="CX141" s="230">
        <v>-5400</v>
      </c>
      <c r="CY141" s="229">
        <v>-2.0000000000000001E-4</v>
      </c>
      <c r="CZ141" s="228">
        <v>27.7</v>
      </c>
      <c r="DA141" s="228">
        <v>27.11</v>
      </c>
      <c r="DB141" s="228">
        <v>0.59</v>
      </c>
      <c r="DC141" s="228">
        <v>0.59</v>
      </c>
      <c r="DD141" s="228">
        <v>47.44</v>
      </c>
      <c r="DE141" s="228">
        <v>47.54</v>
      </c>
      <c r="DF141" s="228">
        <v>-19.739999999999998</v>
      </c>
      <c r="DG141" s="228">
        <v>-0.1</v>
      </c>
      <c r="DH141" s="228">
        <v>27.88</v>
      </c>
      <c r="DI141" s="228">
        <v>27.12</v>
      </c>
      <c r="DJ141" s="228">
        <v>0.76</v>
      </c>
      <c r="DK141" s="228">
        <v>0.76</v>
      </c>
      <c r="DL141" s="228">
        <v>27.31</v>
      </c>
      <c r="DM141" s="228">
        <v>27.08</v>
      </c>
      <c r="DN141" s="228">
        <v>0.23</v>
      </c>
      <c r="DO141" s="228">
        <v>0.23</v>
      </c>
      <c r="DP141" s="228">
        <v>0.49</v>
      </c>
      <c r="DQ141" s="228">
        <v>0.51</v>
      </c>
      <c r="DR141" s="228">
        <v>-0.02</v>
      </c>
      <c r="DS141" s="229">
        <v>-3.9199999999999999E-2</v>
      </c>
      <c r="DT141" s="228">
        <v>210</v>
      </c>
      <c r="DU141" s="228">
        <v>210</v>
      </c>
      <c r="DV141" s="228">
        <v>0.44</v>
      </c>
      <c r="DW141" s="228">
        <v>0.4</v>
      </c>
      <c r="DX141" s="228">
        <v>0.04</v>
      </c>
      <c r="DY141" s="229">
        <v>0.1</v>
      </c>
      <c r="DZ141" s="229">
        <v>7.1800000000000003E-2</v>
      </c>
      <c r="EA141" s="230">
        <v>1185300</v>
      </c>
      <c r="EB141" s="229">
        <v>6.1000000000000004E-3</v>
      </c>
      <c r="EC141" s="229">
        <v>7.1800000000000003E-2</v>
      </c>
      <c r="ED141" s="228">
        <v>1.3</v>
      </c>
      <c r="EE141" s="229">
        <v>6.1999999999999998E-3</v>
      </c>
      <c r="EF141" s="230">
        <v>513200</v>
      </c>
      <c r="EG141" s="230">
        <v>1339617</v>
      </c>
      <c r="EH141" s="229">
        <v>-0.6169</v>
      </c>
      <c r="EI141" s="229">
        <v>0.39760000000000001</v>
      </c>
      <c r="EJ141" s="231">
        <v>7606.82</v>
      </c>
      <c r="EK141" s="231">
        <v>3312.28</v>
      </c>
      <c r="EL141" s="231">
        <v>4850.37</v>
      </c>
      <c r="EM141" s="231">
        <v>1493</v>
      </c>
      <c r="EN141" s="231">
        <v>15769.47</v>
      </c>
      <c r="EO141" s="231">
        <v>95859.33</v>
      </c>
      <c r="EP141" s="231">
        <v>-80089.86</v>
      </c>
      <c r="EQ141" s="229">
        <v>-0.83550000000000002</v>
      </c>
      <c r="ER141" s="231">
        <v>18325</v>
      </c>
      <c r="ES141" s="231">
        <v>8604</v>
      </c>
      <c r="ET141" s="231">
        <v>40082</v>
      </c>
      <c r="EU141" s="231">
        <v>72342848</v>
      </c>
      <c r="EV141" s="231">
        <v>67011</v>
      </c>
      <c r="EW141" s="231">
        <v>67411</v>
      </c>
      <c r="EX141" s="228">
        <v>-400</v>
      </c>
      <c r="EY141" s="229">
        <v>-5.8999999999999999E-3</v>
      </c>
      <c r="EZ141" s="229">
        <v>0.437</v>
      </c>
      <c r="FA141" s="227" t="s">
        <v>567</v>
      </c>
      <c r="FB141" s="161">
        <f>BX216-CB216</f>
        <v>1221300</v>
      </c>
    </row>
    <row r="142" spans="1:158" ht="17.25" hidden="1" thickBot="1" x14ac:dyDescent="0.3">
      <c r="A142" s="226">
        <v>45946</v>
      </c>
      <c r="B142" s="227" t="s">
        <v>168</v>
      </c>
      <c r="C142" s="227" t="s">
        <v>265</v>
      </c>
      <c r="D142" s="228">
        <v>500</v>
      </c>
      <c r="E142" s="231">
        <v>1282</v>
      </c>
      <c r="F142" s="231">
        <v>1226.5999999999999</v>
      </c>
      <c r="G142" s="228">
        <v>55.4</v>
      </c>
      <c r="H142" s="229">
        <v>4.5199999999999997E-2</v>
      </c>
      <c r="I142" s="231">
        <v>1276.5999999999999</v>
      </c>
      <c r="J142" s="231">
        <v>1221.4000000000001</v>
      </c>
      <c r="K142" s="228">
        <v>55.2</v>
      </c>
      <c r="L142" s="229">
        <v>4.5199999999999997E-2</v>
      </c>
      <c r="M142" s="231">
        <v>1282</v>
      </c>
      <c r="N142" s="231">
        <v>1226.5999999999999</v>
      </c>
      <c r="O142" s="228">
        <v>55.4</v>
      </c>
      <c r="P142" s="229">
        <v>4.5199999999999997E-2</v>
      </c>
      <c r="Q142" s="231">
        <v>1288.8</v>
      </c>
      <c r="R142" s="231">
        <v>1232.9000000000001</v>
      </c>
      <c r="S142" s="228">
        <v>55.9</v>
      </c>
      <c r="T142" s="229">
        <v>4.53E-2</v>
      </c>
      <c r="U142" s="231">
        <v>1295.2</v>
      </c>
      <c r="V142" s="231">
        <v>1240</v>
      </c>
      <c r="W142" s="228">
        <v>55.2</v>
      </c>
      <c r="X142" s="229">
        <v>4.4499999999999998E-2</v>
      </c>
      <c r="Y142" s="228">
        <v>5.4</v>
      </c>
      <c r="Z142" s="228">
        <v>5.2</v>
      </c>
      <c r="AA142" s="228">
        <v>0.2</v>
      </c>
      <c r="AB142" s="229">
        <v>4.1999999999999997E-3</v>
      </c>
      <c r="AC142" s="228">
        <v>5.4</v>
      </c>
      <c r="AD142" s="228">
        <v>5.2</v>
      </c>
      <c r="AE142" s="228">
        <v>0.2</v>
      </c>
      <c r="AF142" s="229">
        <v>4.1999999999999997E-3</v>
      </c>
      <c r="AG142" s="228">
        <v>12.2</v>
      </c>
      <c r="AH142" s="228">
        <v>11.5</v>
      </c>
      <c r="AI142" s="228">
        <v>0.7</v>
      </c>
      <c r="AJ142" s="229">
        <v>9.5999999999999992E-3</v>
      </c>
      <c r="AK142" s="228">
        <v>18.600000000000001</v>
      </c>
      <c r="AL142" s="228">
        <v>18.600000000000001</v>
      </c>
      <c r="AM142" s="228">
        <v>0</v>
      </c>
      <c r="AN142" s="229">
        <v>1.46E-2</v>
      </c>
      <c r="AO142" s="231">
        <v>1266</v>
      </c>
      <c r="AP142" s="231">
        <v>1273.1400000000001</v>
      </c>
      <c r="AQ142" s="228">
        <v>0</v>
      </c>
      <c r="AR142" s="230">
        <v>14603000</v>
      </c>
      <c r="AS142" s="230">
        <v>6679000</v>
      </c>
      <c r="AT142" s="230">
        <v>7924000</v>
      </c>
      <c r="AU142" s="229">
        <v>1.1863999999999999</v>
      </c>
      <c r="AV142" s="230">
        <v>12751500</v>
      </c>
      <c r="AW142" s="230">
        <v>4958000</v>
      </c>
      <c r="AX142" s="230">
        <v>7793500</v>
      </c>
      <c r="AY142" s="229">
        <v>1.5719000000000001</v>
      </c>
      <c r="AZ142" s="230">
        <v>1780000</v>
      </c>
      <c r="BA142" s="230">
        <v>1706500</v>
      </c>
      <c r="BB142" s="230">
        <v>73500</v>
      </c>
      <c r="BC142" s="229">
        <v>4.3099999999999999E-2</v>
      </c>
      <c r="BD142" s="230">
        <v>71500</v>
      </c>
      <c r="BE142" s="230">
        <v>14500</v>
      </c>
      <c r="BF142" s="230">
        <v>57000</v>
      </c>
      <c r="BG142" s="229">
        <v>3.931</v>
      </c>
      <c r="BH142" s="230">
        <v>72071500</v>
      </c>
      <c r="BI142" s="230">
        <v>18641500</v>
      </c>
      <c r="BJ142" s="230">
        <v>53430000</v>
      </c>
      <c r="BK142" s="229">
        <v>2.8662000000000001</v>
      </c>
      <c r="BL142" s="230">
        <v>49937000</v>
      </c>
      <c r="BM142" s="230">
        <v>8972500</v>
      </c>
      <c r="BN142" s="230">
        <v>40964500</v>
      </c>
      <c r="BO142" s="229">
        <v>4.5655999999999999</v>
      </c>
      <c r="BP142" s="230">
        <v>136611500</v>
      </c>
      <c r="BQ142" s="230">
        <v>34293000</v>
      </c>
      <c r="BR142" s="230">
        <v>102318500</v>
      </c>
      <c r="BS142" s="229">
        <v>2.9836999999999998</v>
      </c>
      <c r="BT142" s="230">
        <v>7325053</v>
      </c>
      <c r="BU142" s="230">
        <v>2360473</v>
      </c>
      <c r="BV142" s="230">
        <v>4964580</v>
      </c>
      <c r="BW142" s="229">
        <v>2.1032000000000002</v>
      </c>
      <c r="BX142" s="230">
        <v>20317500</v>
      </c>
      <c r="BY142" s="230">
        <v>20002500</v>
      </c>
      <c r="BZ142" s="230">
        <v>315000</v>
      </c>
      <c r="CA142" s="229">
        <v>1.5699999999999999E-2</v>
      </c>
      <c r="CB142" s="230">
        <v>18331000</v>
      </c>
      <c r="CC142" s="230">
        <v>18349000</v>
      </c>
      <c r="CD142" s="230">
        <v>-18000</v>
      </c>
      <c r="CE142" s="229">
        <v>-1E-3</v>
      </c>
      <c r="CF142" s="230">
        <v>1939000</v>
      </c>
      <c r="CG142" s="230">
        <v>1621500</v>
      </c>
      <c r="CH142" s="230">
        <v>317500</v>
      </c>
      <c r="CI142" s="229">
        <v>0.1958</v>
      </c>
      <c r="CJ142" s="230">
        <v>47500</v>
      </c>
      <c r="CK142" s="230">
        <v>32000</v>
      </c>
      <c r="CL142" s="230">
        <v>15500</v>
      </c>
      <c r="CM142" s="229">
        <v>0.4844</v>
      </c>
      <c r="CN142" s="230">
        <v>8974500</v>
      </c>
      <c r="CO142" s="230">
        <v>5087000</v>
      </c>
      <c r="CP142" s="230">
        <v>3887500</v>
      </c>
      <c r="CQ142" s="229">
        <v>0.76419999999999999</v>
      </c>
      <c r="CR142" s="230">
        <v>9150500</v>
      </c>
      <c r="CS142" s="230">
        <v>3884000</v>
      </c>
      <c r="CT142" s="230">
        <v>5266500</v>
      </c>
      <c r="CU142" s="229">
        <v>1.3559000000000001</v>
      </c>
      <c r="CV142" s="230">
        <v>38442500</v>
      </c>
      <c r="CW142" s="230">
        <v>28973500</v>
      </c>
      <c r="CX142" s="230">
        <v>9469000</v>
      </c>
      <c r="CY142" s="229">
        <v>0.32679999999999998</v>
      </c>
      <c r="CZ142" s="228">
        <v>23.28</v>
      </c>
      <c r="DA142" s="228">
        <v>24.29</v>
      </c>
      <c r="DB142" s="228">
        <v>-1.01</v>
      </c>
      <c r="DC142" s="228">
        <v>-1.01</v>
      </c>
      <c r="DD142" s="228">
        <v>24.56</v>
      </c>
      <c r="DE142" s="228">
        <v>23.88</v>
      </c>
      <c r="DF142" s="228">
        <v>-1.28</v>
      </c>
      <c r="DG142" s="228">
        <v>0.68</v>
      </c>
      <c r="DH142" s="228">
        <v>22.17</v>
      </c>
      <c r="DI142" s="228">
        <v>23.81</v>
      </c>
      <c r="DJ142" s="228">
        <v>-1.64</v>
      </c>
      <c r="DK142" s="228">
        <v>-1.64</v>
      </c>
      <c r="DL142" s="228">
        <v>24.88</v>
      </c>
      <c r="DM142" s="228">
        <v>25.27</v>
      </c>
      <c r="DN142" s="228">
        <v>-0.39</v>
      </c>
      <c r="DO142" s="228">
        <v>-0.39</v>
      </c>
      <c r="DP142" s="228">
        <v>1.02</v>
      </c>
      <c r="DQ142" s="228">
        <v>0.76</v>
      </c>
      <c r="DR142" s="228">
        <v>0.26</v>
      </c>
      <c r="DS142" s="229">
        <v>0.34210000000000002</v>
      </c>
      <c r="DT142" s="231">
        <v>1300</v>
      </c>
      <c r="DU142" s="231">
        <v>1200</v>
      </c>
      <c r="DV142" s="228">
        <v>0.69</v>
      </c>
      <c r="DW142" s="228">
        <v>0.48</v>
      </c>
      <c r="DX142" s="228">
        <v>0.21</v>
      </c>
      <c r="DY142" s="229">
        <v>0.4375</v>
      </c>
      <c r="DZ142" s="229">
        <v>9.7799999999999998E-2</v>
      </c>
      <c r="EA142" s="230">
        <v>1653500</v>
      </c>
      <c r="EB142" s="229">
        <v>5.3E-3</v>
      </c>
      <c r="EC142" s="229">
        <v>9.7799999999999998E-2</v>
      </c>
      <c r="ED142" s="228">
        <v>7.14</v>
      </c>
      <c r="EE142" s="229">
        <v>5.5999999999999999E-3</v>
      </c>
      <c r="EF142" s="230">
        <v>2806940</v>
      </c>
      <c r="EG142" s="230">
        <v>977844</v>
      </c>
      <c r="EH142" s="229">
        <v>1.8705000000000001</v>
      </c>
      <c r="EI142" s="229">
        <v>0.38319999999999999</v>
      </c>
      <c r="EJ142" s="231">
        <v>935790.71</v>
      </c>
      <c r="EK142" s="231">
        <v>616190.63</v>
      </c>
      <c r="EL142" s="231">
        <v>185011.42</v>
      </c>
      <c r="EM142" s="231">
        <v>5447</v>
      </c>
      <c r="EN142" s="231">
        <v>1736992.76</v>
      </c>
      <c r="EO142" s="231">
        <v>421427.01</v>
      </c>
      <c r="EP142" s="231">
        <v>1315565.75</v>
      </c>
      <c r="EQ142" s="229">
        <v>3.1217000000000001</v>
      </c>
      <c r="ER142" s="231">
        <v>113689</v>
      </c>
      <c r="ES142" s="231">
        <v>110979</v>
      </c>
      <c r="ET142" s="231">
        <v>260608</v>
      </c>
      <c r="EU142" s="231">
        <v>71801274</v>
      </c>
      <c r="EV142" s="231">
        <v>485277</v>
      </c>
      <c r="EW142" s="231">
        <v>353129</v>
      </c>
      <c r="EX142" s="231">
        <v>132148</v>
      </c>
      <c r="EY142" s="229">
        <v>0.37419999999999998</v>
      </c>
      <c r="EZ142" s="229">
        <v>0.53539999999999999</v>
      </c>
      <c r="FA142" s="227" t="s">
        <v>555</v>
      </c>
      <c r="FB142" s="161">
        <f t="shared" ref="FB142:FB161" si="3">BX217-CB217</f>
        <v>0</v>
      </c>
    </row>
    <row r="143" spans="1:158" ht="17.25" hidden="1" thickBot="1" x14ac:dyDescent="0.3">
      <c r="A143" s="226">
        <v>45946</v>
      </c>
      <c r="B143" s="227" t="s">
        <v>161</v>
      </c>
      <c r="C143" s="227" t="s">
        <v>585</v>
      </c>
      <c r="D143" s="228">
        <v>6400</v>
      </c>
      <c r="E143" s="228">
        <v>87.19</v>
      </c>
      <c r="F143" s="228">
        <v>87.35</v>
      </c>
      <c r="G143" s="228">
        <v>-0.16</v>
      </c>
      <c r="H143" s="229">
        <v>-1.8E-3</v>
      </c>
      <c r="I143" s="228">
        <v>86.95</v>
      </c>
      <c r="J143" s="228">
        <v>87.04</v>
      </c>
      <c r="K143" s="228">
        <v>-0.09</v>
      </c>
      <c r="L143" s="229">
        <v>-1E-3</v>
      </c>
      <c r="M143" s="228">
        <v>87.19</v>
      </c>
      <c r="N143" s="228">
        <v>87.35</v>
      </c>
      <c r="O143" s="228">
        <v>-0.16</v>
      </c>
      <c r="P143" s="229">
        <v>-1.8E-3</v>
      </c>
      <c r="Q143" s="228">
        <v>87.69</v>
      </c>
      <c r="R143" s="228">
        <v>87.85</v>
      </c>
      <c r="S143" s="228">
        <v>-0.16</v>
      </c>
      <c r="T143" s="229">
        <v>-1.8E-3</v>
      </c>
      <c r="U143" s="228">
        <v>88.12</v>
      </c>
      <c r="V143" s="228">
        <v>88.43</v>
      </c>
      <c r="W143" s="228">
        <v>-0.31</v>
      </c>
      <c r="X143" s="229">
        <v>-3.5000000000000001E-3</v>
      </c>
      <c r="Y143" s="228">
        <v>0.24</v>
      </c>
      <c r="Z143" s="228">
        <v>0.31</v>
      </c>
      <c r="AA143" s="228">
        <v>-7.0000000000000007E-2</v>
      </c>
      <c r="AB143" s="229">
        <v>2.8E-3</v>
      </c>
      <c r="AC143" s="228">
        <v>0.24</v>
      </c>
      <c r="AD143" s="228">
        <v>0.31</v>
      </c>
      <c r="AE143" s="228">
        <v>-7.0000000000000007E-2</v>
      </c>
      <c r="AF143" s="229">
        <v>2.8E-3</v>
      </c>
      <c r="AG143" s="228">
        <v>0.74</v>
      </c>
      <c r="AH143" s="228">
        <v>0.81</v>
      </c>
      <c r="AI143" s="228">
        <v>-7.0000000000000007E-2</v>
      </c>
      <c r="AJ143" s="229">
        <v>8.5000000000000006E-3</v>
      </c>
      <c r="AK143" s="228">
        <v>1.17</v>
      </c>
      <c r="AL143" s="228">
        <v>1.39</v>
      </c>
      <c r="AM143" s="228">
        <v>-0.22</v>
      </c>
      <c r="AN143" s="229">
        <v>1.35E-2</v>
      </c>
      <c r="AO143" s="228">
        <v>87.05</v>
      </c>
      <c r="AP143" s="228">
        <v>87.5</v>
      </c>
      <c r="AQ143" s="228">
        <v>0</v>
      </c>
      <c r="AR143" s="230">
        <v>13600000</v>
      </c>
      <c r="AS143" s="230">
        <v>9478400</v>
      </c>
      <c r="AT143" s="230">
        <v>4121600</v>
      </c>
      <c r="AU143" s="229">
        <v>0.43480000000000002</v>
      </c>
      <c r="AV143" s="230">
        <v>11948800</v>
      </c>
      <c r="AW143" s="230">
        <v>8409600</v>
      </c>
      <c r="AX143" s="230">
        <v>3539200</v>
      </c>
      <c r="AY143" s="229">
        <v>0.4209</v>
      </c>
      <c r="AZ143" s="230">
        <v>1561600</v>
      </c>
      <c r="BA143" s="230">
        <v>998400</v>
      </c>
      <c r="BB143" s="230">
        <v>563200</v>
      </c>
      <c r="BC143" s="229">
        <v>0.56410000000000005</v>
      </c>
      <c r="BD143" s="230">
        <v>89600</v>
      </c>
      <c r="BE143" s="230">
        <v>70400</v>
      </c>
      <c r="BF143" s="230">
        <v>19200</v>
      </c>
      <c r="BG143" s="229">
        <v>0.2727</v>
      </c>
      <c r="BH143" s="230">
        <v>27008000</v>
      </c>
      <c r="BI143" s="230">
        <v>19468800</v>
      </c>
      <c r="BJ143" s="230">
        <v>7539200</v>
      </c>
      <c r="BK143" s="229">
        <v>0.38719999999999999</v>
      </c>
      <c r="BL143" s="230">
        <v>13331200</v>
      </c>
      <c r="BM143" s="230">
        <v>9171200</v>
      </c>
      <c r="BN143" s="230">
        <v>4160000</v>
      </c>
      <c r="BO143" s="229">
        <v>0.4536</v>
      </c>
      <c r="BP143" s="230">
        <v>53939200</v>
      </c>
      <c r="BQ143" s="230">
        <v>38118400</v>
      </c>
      <c r="BR143" s="230">
        <v>15820800</v>
      </c>
      <c r="BS143" s="229">
        <v>0.41499999999999998</v>
      </c>
      <c r="BT143" s="230">
        <v>11631344</v>
      </c>
      <c r="BU143" s="230">
        <v>12891713</v>
      </c>
      <c r="BV143" s="230">
        <v>-1260369</v>
      </c>
      <c r="BW143" s="229">
        <v>-9.7799999999999998E-2</v>
      </c>
      <c r="BX143" s="230">
        <v>46931200</v>
      </c>
      <c r="BY143" s="230">
        <v>46393600</v>
      </c>
      <c r="BZ143" s="230">
        <v>537600</v>
      </c>
      <c r="CA143" s="229">
        <v>1.1599999999999999E-2</v>
      </c>
      <c r="CB143" s="230">
        <v>43827200</v>
      </c>
      <c r="CC143" s="230">
        <v>43654400</v>
      </c>
      <c r="CD143" s="230">
        <v>172800</v>
      </c>
      <c r="CE143" s="229">
        <v>4.0000000000000001E-3</v>
      </c>
      <c r="CF143" s="230">
        <v>2713600</v>
      </c>
      <c r="CG143" s="230">
        <v>2380800</v>
      </c>
      <c r="CH143" s="230">
        <v>332800</v>
      </c>
      <c r="CI143" s="229">
        <v>0.13980000000000001</v>
      </c>
      <c r="CJ143" s="230">
        <v>390400</v>
      </c>
      <c r="CK143" s="230">
        <v>358400</v>
      </c>
      <c r="CL143" s="230">
        <v>32000</v>
      </c>
      <c r="CM143" s="229">
        <v>8.9300000000000004E-2</v>
      </c>
      <c r="CN143" s="230">
        <v>19616000</v>
      </c>
      <c r="CO143" s="230">
        <v>19347200</v>
      </c>
      <c r="CP143" s="230">
        <v>268800</v>
      </c>
      <c r="CQ143" s="229">
        <v>1.3899999999999999E-2</v>
      </c>
      <c r="CR143" s="230">
        <v>9491200</v>
      </c>
      <c r="CS143" s="230">
        <v>9561600</v>
      </c>
      <c r="CT143" s="230">
        <v>-70400</v>
      </c>
      <c r="CU143" s="229">
        <v>-7.4000000000000003E-3</v>
      </c>
      <c r="CV143" s="230">
        <v>76038400</v>
      </c>
      <c r="CW143" s="230">
        <v>75302400</v>
      </c>
      <c r="CX143" s="230">
        <v>736000</v>
      </c>
      <c r="CY143" s="229">
        <v>9.7999999999999997E-3</v>
      </c>
      <c r="CZ143" s="228">
        <v>25.59</v>
      </c>
      <c r="DA143" s="228">
        <v>26.95</v>
      </c>
      <c r="DB143" s="228">
        <v>-1.36</v>
      </c>
      <c r="DC143" s="228">
        <v>-1.36</v>
      </c>
      <c r="DD143" s="228">
        <v>39.700000000000003</v>
      </c>
      <c r="DE143" s="228">
        <v>39.799999999999997</v>
      </c>
      <c r="DF143" s="228">
        <v>-14.11</v>
      </c>
      <c r="DG143" s="228">
        <v>-0.1</v>
      </c>
      <c r="DH143" s="228">
        <v>25.7</v>
      </c>
      <c r="DI143" s="228">
        <v>27.07</v>
      </c>
      <c r="DJ143" s="228">
        <v>-1.37</v>
      </c>
      <c r="DK143" s="228">
        <v>-1.37</v>
      </c>
      <c r="DL143" s="228">
        <v>25.36</v>
      </c>
      <c r="DM143" s="228">
        <v>26.71</v>
      </c>
      <c r="DN143" s="228">
        <v>-1.35</v>
      </c>
      <c r="DO143" s="228">
        <v>-1.35</v>
      </c>
      <c r="DP143" s="228">
        <v>0.48</v>
      </c>
      <c r="DQ143" s="228">
        <v>0.49</v>
      </c>
      <c r="DR143" s="228">
        <v>-0.01</v>
      </c>
      <c r="DS143" s="229">
        <v>-2.0400000000000001E-2</v>
      </c>
      <c r="DT143" s="228">
        <v>90</v>
      </c>
      <c r="DU143" s="228">
        <v>80</v>
      </c>
      <c r="DV143" s="228">
        <v>0.49</v>
      </c>
      <c r="DW143" s="228">
        <v>0.47</v>
      </c>
      <c r="DX143" s="228">
        <v>0.02</v>
      </c>
      <c r="DY143" s="229">
        <v>4.2599999999999999E-2</v>
      </c>
      <c r="DZ143" s="229">
        <v>6.6100000000000006E-2</v>
      </c>
      <c r="EA143" s="230">
        <v>2739200</v>
      </c>
      <c r="EB143" s="229">
        <v>5.7000000000000002E-3</v>
      </c>
      <c r="EC143" s="229">
        <v>6.6100000000000006E-2</v>
      </c>
      <c r="ED143" s="228">
        <v>0.45</v>
      </c>
      <c r="EE143" s="229">
        <v>5.1999999999999998E-3</v>
      </c>
      <c r="EF143" s="230">
        <v>5369450</v>
      </c>
      <c r="EG143" s="230">
        <v>6770376</v>
      </c>
      <c r="EH143" s="229">
        <v>-0.2069</v>
      </c>
      <c r="EI143" s="229">
        <v>0.46160000000000001</v>
      </c>
      <c r="EJ143" s="231">
        <v>24156.65</v>
      </c>
      <c r="EK143" s="231">
        <v>11884.27</v>
      </c>
      <c r="EL143" s="231">
        <v>11846.42</v>
      </c>
      <c r="EM143" s="231">
        <v>1586</v>
      </c>
      <c r="EN143" s="231">
        <v>47887.34</v>
      </c>
      <c r="EO143" s="231">
        <v>33777.75</v>
      </c>
      <c r="EP143" s="231">
        <v>14109.59</v>
      </c>
      <c r="EQ143" s="229">
        <v>0.41770000000000002</v>
      </c>
      <c r="ER143" s="231">
        <v>17797</v>
      </c>
      <c r="ES143" s="231">
        <v>7977</v>
      </c>
      <c r="ET143" s="231">
        <v>40937</v>
      </c>
      <c r="EU143" s="231">
        <v>398201603</v>
      </c>
      <c r="EV143" s="231">
        <v>66710</v>
      </c>
      <c r="EW143" s="231">
        <v>66125</v>
      </c>
      <c r="EX143" s="228">
        <v>585</v>
      </c>
      <c r="EY143" s="229">
        <v>8.8000000000000005E-3</v>
      </c>
      <c r="EZ143" s="229">
        <v>0.191</v>
      </c>
      <c r="FA143" s="227" t="s">
        <v>567</v>
      </c>
      <c r="FB143" s="161">
        <f t="shared" si="3"/>
        <v>0</v>
      </c>
    </row>
    <row r="144" spans="1:158" ht="17.25" hidden="1" thickBot="1" x14ac:dyDescent="0.3">
      <c r="A144" s="226">
        <v>45946</v>
      </c>
      <c r="B144" s="227" t="s">
        <v>181</v>
      </c>
      <c r="C144" s="227" t="s">
        <v>266</v>
      </c>
      <c r="D144" s="228">
        <v>75</v>
      </c>
      <c r="E144" s="231">
        <v>25656.1</v>
      </c>
      <c r="F144" s="231">
        <v>25424.799999999999</v>
      </c>
      <c r="G144" s="228">
        <v>231.3</v>
      </c>
      <c r="H144" s="229">
        <v>9.1000000000000004E-3</v>
      </c>
      <c r="I144" s="231">
        <v>25585.3</v>
      </c>
      <c r="J144" s="231">
        <v>25323.55</v>
      </c>
      <c r="K144" s="228">
        <v>261.75</v>
      </c>
      <c r="L144" s="229">
        <v>1.03E-2</v>
      </c>
      <c r="M144" s="231">
        <v>25656.1</v>
      </c>
      <c r="N144" s="231">
        <v>25424.799999999999</v>
      </c>
      <c r="O144" s="228">
        <v>231.3</v>
      </c>
      <c r="P144" s="229">
        <v>9.1000000000000004E-3</v>
      </c>
      <c r="Q144" s="231">
        <v>25786.400000000001</v>
      </c>
      <c r="R144" s="231">
        <v>25548.6</v>
      </c>
      <c r="S144" s="228">
        <v>237.8</v>
      </c>
      <c r="T144" s="229">
        <v>9.2999999999999992E-3</v>
      </c>
      <c r="U144" s="231">
        <v>25943.1</v>
      </c>
      <c r="V144" s="231">
        <v>25713.599999999999</v>
      </c>
      <c r="W144" s="228">
        <v>229.5</v>
      </c>
      <c r="X144" s="229">
        <v>8.8999999999999999E-3</v>
      </c>
      <c r="Y144" s="228">
        <v>70.8</v>
      </c>
      <c r="Z144" s="228">
        <v>101.25</v>
      </c>
      <c r="AA144" s="228">
        <v>-30.45</v>
      </c>
      <c r="AB144" s="229">
        <v>2.8E-3</v>
      </c>
      <c r="AC144" s="228">
        <v>70.8</v>
      </c>
      <c r="AD144" s="228">
        <v>101.25</v>
      </c>
      <c r="AE144" s="228">
        <v>-30.45</v>
      </c>
      <c r="AF144" s="229">
        <v>2.8E-3</v>
      </c>
      <c r="AG144" s="228">
        <v>201.1</v>
      </c>
      <c r="AH144" s="228">
        <v>225.05</v>
      </c>
      <c r="AI144" s="228">
        <v>-23.95</v>
      </c>
      <c r="AJ144" s="229">
        <v>7.9000000000000008E-3</v>
      </c>
      <c r="AK144" s="228">
        <v>357.8</v>
      </c>
      <c r="AL144" s="228">
        <v>390.05</v>
      </c>
      <c r="AM144" s="228">
        <v>-32.25</v>
      </c>
      <c r="AN144" s="229">
        <v>1.4E-2</v>
      </c>
      <c r="AO144" s="231">
        <v>25595.1</v>
      </c>
      <c r="AP144" s="231">
        <v>25726.51</v>
      </c>
      <c r="AQ144" s="228">
        <v>0</v>
      </c>
      <c r="AR144" s="230">
        <v>7386600</v>
      </c>
      <c r="AS144" s="230">
        <v>6913950</v>
      </c>
      <c r="AT144" s="230">
        <v>472650</v>
      </c>
      <c r="AU144" s="229">
        <v>6.8400000000000002E-2</v>
      </c>
      <c r="AV144" s="230">
        <v>6273900</v>
      </c>
      <c r="AW144" s="230">
        <v>5783925</v>
      </c>
      <c r="AX144" s="230">
        <v>489975</v>
      </c>
      <c r="AY144" s="229">
        <v>8.4699999999999998E-2</v>
      </c>
      <c r="AZ144" s="230">
        <v>907725</v>
      </c>
      <c r="BA144" s="230">
        <v>932700</v>
      </c>
      <c r="BB144" s="230">
        <v>-24975</v>
      </c>
      <c r="BC144" s="229">
        <v>-2.6800000000000001E-2</v>
      </c>
      <c r="BD144" s="230">
        <v>204975</v>
      </c>
      <c r="BE144" s="230">
        <v>197325</v>
      </c>
      <c r="BF144" s="230">
        <v>7650</v>
      </c>
      <c r="BG144" s="229">
        <v>3.8800000000000001E-2</v>
      </c>
      <c r="BH144" s="230">
        <v>2755165725</v>
      </c>
      <c r="BI144" s="230">
        <v>2447211300</v>
      </c>
      <c r="BJ144" s="230">
        <v>307954425</v>
      </c>
      <c r="BK144" s="229">
        <v>0.1258</v>
      </c>
      <c r="BL144" s="230">
        <v>2232965550</v>
      </c>
      <c r="BM144" s="230">
        <v>2140148775</v>
      </c>
      <c r="BN144" s="230">
        <v>92816775</v>
      </c>
      <c r="BO144" s="229">
        <v>4.3400000000000001E-2</v>
      </c>
      <c r="BP144" s="230">
        <v>4995517875</v>
      </c>
      <c r="BQ144" s="230">
        <v>4594274025</v>
      </c>
      <c r="BR144" s="230">
        <v>401243850</v>
      </c>
      <c r="BS144" s="229">
        <v>8.7300000000000003E-2</v>
      </c>
      <c r="BT144" s="228">
        <v>0</v>
      </c>
      <c r="BU144" s="228">
        <v>0</v>
      </c>
      <c r="BV144" s="228">
        <v>0</v>
      </c>
      <c r="BW144" s="229">
        <v>0</v>
      </c>
      <c r="BX144" s="230">
        <v>20341800</v>
      </c>
      <c r="BY144" s="230">
        <v>20208225</v>
      </c>
      <c r="BZ144" s="230">
        <v>133575</v>
      </c>
      <c r="CA144" s="229">
        <v>6.6E-3</v>
      </c>
      <c r="CB144" s="230">
        <v>17756925</v>
      </c>
      <c r="CC144" s="230">
        <v>17931750</v>
      </c>
      <c r="CD144" s="230">
        <v>-174825</v>
      </c>
      <c r="CE144" s="229">
        <v>-9.7000000000000003E-3</v>
      </c>
      <c r="CF144" s="230">
        <v>2180925</v>
      </c>
      <c r="CG144" s="230">
        <v>1920450</v>
      </c>
      <c r="CH144" s="230">
        <v>260475</v>
      </c>
      <c r="CI144" s="229">
        <v>0.1356</v>
      </c>
      <c r="CJ144" s="230">
        <v>403950</v>
      </c>
      <c r="CK144" s="230">
        <v>356025</v>
      </c>
      <c r="CL144" s="230">
        <v>47925</v>
      </c>
      <c r="CM144" s="229">
        <v>0.1346</v>
      </c>
      <c r="CN144" s="230">
        <v>211647275</v>
      </c>
      <c r="CO144" s="230">
        <v>197706750</v>
      </c>
      <c r="CP144" s="230">
        <v>13940525</v>
      </c>
      <c r="CQ144" s="229">
        <v>7.0499999999999993E-2</v>
      </c>
      <c r="CR144" s="230">
        <v>292683575</v>
      </c>
      <c r="CS144" s="230">
        <v>239713125</v>
      </c>
      <c r="CT144" s="230">
        <v>52970450</v>
      </c>
      <c r="CU144" s="229">
        <v>0.221</v>
      </c>
      <c r="CV144" s="230">
        <v>524672650</v>
      </c>
      <c r="CW144" s="230">
        <v>457628100</v>
      </c>
      <c r="CX144" s="230">
        <v>67044550</v>
      </c>
      <c r="CY144" s="229">
        <v>0.14649999999999999</v>
      </c>
      <c r="CZ144" s="228">
        <v>10.85</v>
      </c>
      <c r="DA144" s="228">
        <v>10.45</v>
      </c>
      <c r="DB144" s="228">
        <v>0.4</v>
      </c>
      <c r="DC144" s="228">
        <v>0.4</v>
      </c>
      <c r="DD144" s="228">
        <v>15.08</v>
      </c>
      <c r="DE144" s="228">
        <v>15.06</v>
      </c>
      <c r="DF144" s="228">
        <v>-4.2300000000000004</v>
      </c>
      <c r="DG144" s="228">
        <v>0.02</v>
      </c>
      <c r="DH144" s="228">
        <v>9.44</v>
      </c>
      <c r="DI144" s="228">
        <v>9.1300000000000008</v>
      </c>
      <c r="DJ144" s="228">
        <v>0.31</v>
      </c>
      <c r="DK144" s="228">
        <v>0.31</v>
      </c>
      <c r="DL144" s="228">
        <v>12.36</v>
      </c>
      <c r="DM144" s="228">
        <v>11.8</v>
      </c>
      <c r="DN144" s="228">
        <v>0.56000000000000005</v>
      </c>
      <c r="DO144" s="228">
        <v>0.56000000000000005</v>
      </c>
      <c r="DP144" s="228">
        <v>1.38</v>
      </c>
      <c r="DQ144" s="228">
        <v>1.21</v>
      </c>
      <c r="DR144" s="228">
        <v>0.17</v>
      </c>
      <c r="DS144" s="229">
        <v>0.14050000000000001</v>
      </c>
      <c r="DT144" s="231">
        <v>26000</v>
      </c>
      <c r="DU144" s="231">
        <v>24500</v>
      </c>
      <c r="DV144" s="228">
        <v>0.81</v>
      </c>
      <c r="DW144" s="228">
        <v>0.87</v>
      </c>
      <c r="DX144" s="228">
        <v>-0.06</v>
      </c>
      <c r="DY144" s="229">
        <v>-6.9000000000000006E-2</v>
      </c>
      <c r="DZ144" s="229">
        <v>0.12709999999999999</v>
      </c>
      <c r="EA144" s="230">
        <v>2276475</v>
      </c>
      <c r="EB144" s="229">
        <v>5.1000000000000004E-3</v>
      </c>
      <c r="EC144" s="229">
        <v>0.12709999999999999</v>
      </c>
      <c r="ED144" s="228">
        <v>131.41</v>
      </c>
      <c r="EE144" s="229">
        <v>5.1000000000000004E-3</v>
      </c>
      <c r="EF144" s="228">
        <v>0</v>
      </c>
      <c r="EG144" s="228">
        <v>0</v>
      </c>
      <c r="EH144" s="229">
        <v>0</v>
      </c>
      <c r="EI144" s="229">
        <v>0</v>
      </c>
      <c r="EJ144" s="231">
        <v>711623555.03999996</v>
      </c>
      <c r="EK144" s="231">
        <v>559587715.44000006</v>
      </c>
      <c r="EL144" s="231">
        <v>1892377.84</v>
      </c>
      <c r="EM144" s="231">
        <v>82077</v>
      </c>
      <c r="EN144" s="231">
        <v>1273103648.3199999</v>
      </c>
      <c r="EO144" s="231">
        <v>1164283150.1700001</v>
      </c>
      <c r="EP144" s="231">
        <v>108820498.15000001</v>
      </c>
      <c r="EQ144" s="229">
        <v>9.35E-2</v>
      </c>
      <c r="ER144" s="231">
        <v>54790730</v>
      </c>
      <c r="ES144" s="231">
        <v>72250994</v>
      </c>
      <c r="ET144" s="231">
        <v>5222914</v>
      </c>
      <c r="EU144" s="228">
        <v>0</v>
      </c>
      <c r="EV144" s="231">
        <v>132264638</v>
      </c>
      <c r="EW144" s="231">
        <v>115027678</v>
      </c>
      <c r="EX144" s="231">
        <v>17236960</v>
      </c>
      <c r="EY144" s="229">
        <v>0.14990000000000001</v>
      </c>
      <c r="EZ144" s="229">
        <v>0</v>
      </c>
      <c r="FA144" s="227" t="s">
        <v>555</v>
      </c>
      <c r="FB144" s="161">
        <f t="shared" si="3"/>
        <v>0</v>
      </c>
    </row>
    <row r="145" spans="1:158" ht="17.25" hidden="1" thickBot="1" x14ac:dyDescent="0.3">
      <c r="A145" s="226">
        <v>45946</v>
      </c>
      <c r="B145" s="227" t="s">
        <v>181</v>
      </c>
      <c r="C145" s="227" t="s">
        <v>566</v>
      </c>
      <c r="D145" s="228">
        <v>25</v>
      </c>
      <c r="E145" s="231">
        <v>69583.8</v>
      </c>
      <c r="F145" s="231">
        <v>69281.399999999994</v>
      </c>
      <c r="G145" s="228">
        <v>302.39999999999998</v>
      </c>
      <c r="H145" s="229">
        <v>4.4000000000000003E-3</v>
      </c>
      <c r="I145" s="231">
        <v>69453.2</v>
      </c>
      <c r="J145" s="231">
        <v>69113.55</v>
      </c>
      <c r="K145" s="228">
        <v>339.65</v>
      </c>
      <c r="L145" s="229">
        <v>4.8999999999999998E-3</v>
      </c>
      <c r="M145" s="231">
        <v>69583.8</v>
      </c>
      <c r="N145" s="231">
        <v>69281.399999999994</v>
      </c>
      <c r="O145" s="228">
        <v>302.39999999999998</v>
      </c>
      <c r="P145" s="229">
        <v>4.4000000000000003E-3</v>
      </c>
      <c r="Q145" s="231">
        <v>69975.399999999994</v>
      </c>
      <c r="R145" s="231">
        <v>69687.600000000006</v>
      </c>
      <c r="S145" s="228">
        <v>287.8</v>
      </c>
      <c r="T145" s="229">
        <v>4.1000000000000003E-3</v>
      </c>
      <c r="U145" s="231">
        <v>70305.2</v>
      </c>
      <c r="V145" s="231">
        <v>70141.2</v>
      </c>
      <c r="W145" s="228">
        <v>164</v>
      </c>
      <c r="X145" s="229">
        <v>2.3E-3</v>
      </c>
      <c r="Y145" s="228">
        <v>130.6</v>
      </c>
      <c r="Z145" s="228">
        <v>167.85</v>
      </c>
      <c r="AA145" s="228">
        <v>-37.25</v>
      </c>
      <c r="AB145" s="229">
        <v>1.9E-3</v>
      </c>
      <c r="AC145" s="228">
        <v>130.6</v>
      </c>
      <c r="AD145" s="228">
        <v>167.85</v>
      </c>
      <c r="AE145" s="228">
        <v>-37.25</v>
      </c>
      <c r="AF145" s="229">
        <v>1.9E-3</v>
      </c>
      <c r="AG145" s="228">
        <v>522.20000000000005</v>
      </c>
      <c r="AH145" s="228">
        <v>574.04999999999995</v>
      </c>
      <c r="AI145" s="228">
        <v>-51.85</v>
      </c>
      <c r="AJ145" s="229">
        <v>7.4999999999999997E-3</v>
      </c>
      <c r="AK145" s="228">
        <v>852</v>
      </c>
      <c r="AL145" s="231">
        <v>1027.6500000000001</v>
      </c>
      <c r="AM145" s="228">
        <v>-175.65</v>
      </c>
      <c r="AN145" s="229">
        <v>1.23E-2</v>
      </c>
      <c r="AO145" s="231">
        <v>69550.47</v>
      </c>
      <c r="AP145" s="231">
        <v>70014.399999999994</v>
      </c>
      <c r="AQ145" s="228">
        <v>0</v>
      </c>
      <c r="AR145" s="230">
        <v>5675</v>
      </c>
      <c r="AS145" s="230">
        <v>10375</v>
      </c>
      <c r="AT145" s="230">
        <v>-4700</v>
      </c>
      <c r="AU145" s="229">
        <v>-0.45300000000000001</v>
      </c>
      <c r="AV145" s="230">
        <v>4300</v>
      </c>
      <c r="AW145" s="230">
        <v>9525</v>
      </c>
      <c r="AX145" s="230">
        <v>-5225</v>
      </c>
      <c r="AY145" s="229">
        <v>-0.54859999999999998</v>
      </c>
      <c r="AZ145" s="230">
        <v>1250</v>
      </c>
      <c r="BA145" s="228">
        <v>700</v>
      </c>
      <c r="BB145" s="228">
        <v>550</v>
      </c>
      <c r="BC145" s="229">
        <v>0.78569999999999995</v>
      </c>
      <c r="BD145" s="228">
        <v>125</v>
      </c>
      <c r="BE145" s="228">
        <v>150</v>
      </c>
      <c r="BF145" s="228">
        <v>-25</v>
      </c>
      <c r="BG145" s="229">
        <v>-0.16669999999999999</v>
      </c>
      <c r="BH145" s="230">
        <v>12225</v>
      </c>
      <c r="BI145" s="230">
        <v>12250</v>
      </c>
      <c r="BJ145" s="228">
        <v>-25</v>
      </c>
      <c r="BK145" s="229">
        <v>-2E-3</v>
      </c>
      <c r="BL145" s="230">
        <v>3525</v>
      </c>
      <c r="BM145" s="230">
        <v>8100</v>
      </c>
      <c r="BN145" s="230">
        <v>-4575</v>
      </c>
      <c r="BO145" s="229">
        <v>-0.56479999999999997</v>
      </c>
      <c r="BP145" s="230">
        <v>21425</v>
      </c>
      <c r="BQ145" s="230">
        <v>30725</v>
      </c>
      <c r="BR145" s="230">
        <v>-9300</v>
      </c>
      <c r="BS145" s="229">
        <v>-0.30270000000000002</v>
      </c>
      <c r="BT145" s="228">
        <v>0</v>
      </c>
      <c r="BU145" s="228">
        <v>0</v>
      </c>
      <c r="BV145" s="228">
        <v>0</v>
      </c>
      <c r="BW145" s="229">
        <v>0</v>
      </c>
      <c r="BX145" s="230">
        <v>23825</v>
      </c>
      <c r="BY145" s="230">
        <v>22925</v>
      </c>
      <c r="BZ145" s="228">
        <v>900</v>
      </c>
      <c r="CA145" s="229">
        <v>3.9300000000000002E-2</v>
      </c>
      <c r="CB145" s="230">
        <v>19875</v>
      </c>
      <c r="CC145" s="230">
        <v>19350</v>
      </c>
      <c r="CD145" s="228">
        <v>525</v>
      </c>
      <c r="CE145" s="229">
        <v>2.7099999999999999E-2</v>
      </c>
      <c r="CF145" s="230">
        <v>3775</v>
      </c>
      <c r="CG145" s="230">
        <v>3450</v>
      </c>
      <c r="CH145" s="228">
        <v>325</v>
      </c>
      <c r="CI145" s="229">
        <v>9.4200000000000006E-2</v>
      </c>
      <c r="CJ145" s="228">
        <v>175</v>
      </c>
      <c r="CK145" s="228">
        <v>125</v>
      </c>
      <c r="CL145" s="228">
        <v>50</v>
      </c>
      <c r="CM145" s="229">
        <v>0.4</v>
      </c>
      <c r="CN145" s="230">
        <v>7750</v>
      </c>
      <c r="CO145" s="230">
        <v>7225</v>
      </c>
      <c r="CP145" s="228">
        <v>525</v>
      </c>
      <c r="CQ145" s="229">
        <v>7.2700000000000001E-2</v>
      </c>
      <c r="CR145" s="230">
        <v>6825</v>
      </c>
      <c r="CS145" s="230">
        <v>6450</v>
      </c>
      <c r="CT145" s="228">
        <v>375</v>
      </c>
      <c r="CU145" s="229">
        <v>5.8099999999999999E-2</v>
      </c>
      <c r="CV145" s="230">
        <v>38400</v>
      </c>
      <c r="CW145" s="230">
        <v>36600</v>
      </c>
      <c r="CX145" s="230">
        <v>1800</v>
      </c>
      <c r="CY145" s="229">
        <v>4.9200000000000001E-2</v>
      </c>
      <c r="CZ145" s="228">
        <v>12.56</v>
      </c>
      <c r="DA145" s="228">
        <v>13.06</v>
      </c>
      <c r="DB145" s="228">
        <v>-0.5</v>
      </c>
      <c r="DC145" s="228">
        <v>-0.5</v>
      </c>
      <c r="DD145" s="228">
        <v>21.27</v>
      </c>
      <c r="DE145" s="228">
        <v>21.31</v>
      </c>
      <c r="DF145" s="228">
        <v>-8.7100000000000009</v>
      </c>
      <c r="DG145" s="228">
        <v>-0.04</v>
      </c>
      <c r="DH145" s="228">
        <v>12.13</v>
      </c>
      <c r="DI145" s="228">
        <v>12.21</v>
      </c>
      <c r="DJ145" s="228">
        <v>-0.08</v>
      </c>
      <c r="DK145" s="228">
        <v>-0.08</v>
      </c>
      <c r="DL145" s="228">
        <v>14.04</v>
      </c>
      <c r="DM145" s="228">
        <v>14.34</v>
      </c>
      <c r="DN145" s="228">
        <v>-0.3</v>
      </c>
      <c r="DO145" s="228">
        <v>-0.3</v>
      </c>
      <c r="DP145" s="228">
        <v>0.88</v>
      </c>
      <c r="DQ145" s="228">
        <v>0.89</v>
      </c>
      <c r="DR145" s="228">
        <v>-0.01</v>
      </c>
      <c r="DS145" s="229">
        <v>-1.12E-2</v>
      </c>
      <c r="DT145" s="231">
        <v>69200</v>
      </c>
      <c r="DU145" s="231">
        <v>67500</v>
      </c>
      <c r="DV145" s="228">
        <v>0.28999999999999998</v>
      </c>
      <c r="DW145" s="228">
        <v>0.66</v>
      </c>
      <c r="DX145" s="228">
        <v>-0.37</v>
      </c>
      <c r="DY145" s="229">
        <v>-0.56059999999999999</v>
      </c>
      <c r="DZ145" s="229">
        <v>0.1658</v>
      </c>
      <c r="EA145" s="230">
        <v>3575</v>
      </c>
      <c r="EB145" s="229">
        <v>5.5999999999999999E-3</v>
      </c>
      <c r="EC145" s="229">
        <v>0.1658</v>
      </c>
      <c r="ED145" s="228">
        <v>463.93</v>
      </c>
      <c r="EE145" s="229">
        <v>6.7000000000000002E-3</v>
      </c>
      <c r="EF145" s="228">
        <v>0</v>
      </c>
      <c r="EG145" s="228">
        <v>0</v>
      </c>
      <c r="EH145" s="229">
        <v>0</v>
      </c>
      <c r="EI145" s="229">
        <v>0</v>
      </c>
      <c r="EJ145" s="231">
        <v>8563.08</v>
      </c>
      <c r="EK145" s="231">
        <v>2420.73</v>
      </c>
      <c r="EL145" s="231">
        <v>3953.88</v>
      </c>
      <c r="EM145" s="228">
        <v>0</v>
      </c>
      <c r="EN145" s="231">
        <v>14937.69</v>
      </c>
      <c r="EO145" s="231">
        <v>21241.39</v>
      </c>
      <c r="EP145" s="231">
        <v>-6303.7</v>
      </c>
      <c r="EQ145" s="229">
        <v>-0.29680000000000001</v>
      </c>
      <c r="ER145" s="231">
        <v>5316</v>
      </c>
      <c r="ES145" s="231">
        <v>4596</v>
      </c>
      <c r="ET145" s="231">
        <v>16594</v>
      </c>
      <c r="EU145" s="228">
        <v>0</v>
      </c>
      <c r="EV145" s="231">
        <v>26506</v>
      </c>
      <c r="EW145" s="231">
        <v>25185</v>
      </c>
      <c r="EX145" s="231">
        <v>1321</v>
      </c>
      <c r="EY145" s="229">
        <v>5.2499999999999998E-2</v>
      </c>
      <c r="EZ145" s="229">
        <v>0</v>
      </c>
      <c r="FA145" s="227" t="s">
        <v>555</v>
      </c>
      <c r="FB145" s="161">
        <f t="shared" si="3"/>
        <v>0</v>
      </c>
    </row>
    <row r="146" spans="1:158" ht="17.25" hidden="1" thickBot="1" x14ac:dyDescent="0.3">
      <c r="A146" s="226">
        <v>45946</v>
      </c>
      <c r="B146" s="227" t="s">
        <v>227</v>
      </c>
      <c r="C146" s="227" t="s">
        <v>267</v>
      </c>
      <c r="D146" s="228">
        <v>13500</v>
      </c>
      <c r="E146" s="228">
        <v>76.03</v>
      </c>
      <c r="F146" s="228">
        <v>76.81</v>
      </c>
      <c r="G146" s="228">
        <v>-0.78</v>
      </c>
      <c r="H146" s="229">
        <v>-1.0200000000000001E-2</v>
      </c>
      <c r="I146" s="228">
        <v>75.88</v>
      </c>
      <c r="J146" s="228">
        <v>76.709999999999994</v>
      </c>
      <c r="K146" s="228">
        <v>-0.83</v>
      </c>
      <c r="L146" s="229">
        <v>-1.0800000000000001E-2</v>
      </c>
      <c r="M146" s="228">
        <v>76.03</v>
      </c>
      <c r="N146" s="228">
        <v>76.81</v>
      </c>
      <c r="O146" s="228">
        <v>-0.78</v>
      </c>
      <c r="P146" s="229">
        <v>-1.0200000000000001E-2</v>
      </c>
      <c r="Q146" s="228">
        <v>76.47</v>
      </c>
      <c r="R146" s="228">
        <v>77.22</v>
      </c>
      <c r="S146" s="228">
        <v>-0.75</v>
      </c>
      <c r="T146" s="229">
        <v>-9.7000000000000003E-3</v>
      </c>
      <c r="U146" s="228">
        <v>76.930000000000007</v>
      </c>
      <c r="V146" s="228">
        <v>77.73</v>
      </c>
      <c r="W146" s="228">
        <v>-0.8</v>
      </c>
      <c r="X146" s="229">
        <v>-1.03E-2</v>
      </c>
      <c r="Y146" s="228">
        <v>0.15</v>
      </c>
      <c r="Z146" s="228">
        <v>0.1</v>
      </c>
      <c r="AA146" s="228">
        <v>0.05</v>
      </c>
      <c r="AB146" s="229">
        <v>2E-3</v>
      </c>
      <c r="AC146" s="228">
        <v>0.15</v>
      </c>
      <c r="AD146" s="228">
        <v>0.1</v>
      </c>
      <c r="AE146" s="228">
        <v>0.05</v>
      </c>
      <c r="AF146" s="229">
        <v>2E-3</v>
      </c>
      <c r="AG146" s="228">
        <v>0.59</v>
      </c>
      <c r="AH146" s="228">
        <v>0.51</v>
      </c>
      <c r="AI146" s="228">
        <v>0.08</v>
      </c>
      <c r="AJ146" s="229">
        <v>7.7999999999999996E-3</v>
      </c>
      <c r="AK146" s="228">
        <v>1.05</v>
      </c>
      <c r="AL146" s="228">
        <v>1.02</v>
      </c>
      <c r="AM146" s="228">
        <v>0.03</v>
      </c>
      <c r="AN146" s="229">
        <v>1.38E-2</v>
      </c>
      <c r="AO146" s="228">
        <v>76.17</v>
      </c>
      <c r="AP146" s="228">
        <v>76.62</v>
      </c>
      <c r="AQ146" s="228">
        <v>0</v>
      </c>
      <c r="AR146" s="230">
        <v>29403000</v>
      </c>
      <c r="AS146" s="230">
        <v>34641000</v>
      </c>
      <c r="AT146" s="230">
        <v>-5238000</v>
      </c>
      <c r="AU146" s="229">
        <v>-0.1512</v>
      </c>
      <c r="AV146" s="230">
        <v>22383000</v>
      </c>
      <c r="AW146" s="230">
        <v>26028000</v>
      </c>
      <c r="AX146" s="230">
        <v>-3645000</v>
      </c>
      <c r="AY146" s="229">
        <v>-0.14000000000000001</v>
      </c>
      <c r="AZ146" s="230">
        <v>6412500</v>
      </c>
      <c r="BA146" s="230">
        <v>8397000</v>
      </c>
      <c r="BB146" s="230">
        <v>-1984500</v>
      </c>
      <c r="BC146" s="229">
        <v>-0.23630000000000001</v>
      </c>
      <c r="BD146" s="230">
        <v>607500</v>
      </c>
      <c r="BE146" s="230">
        <v>216000</v>
      </c>
      <c r="BF146" s="230">
        <v>391500</v>
      </c>
      <c r="BG146" s="229">
        <v>1.8125</v>
      </c>
      <c r="BH146" s="230">
        <v>71158500</v>
      </c>
      <c r="BI146" s="230">
        <v>121986000</v>
      </c>
      <c r="BJ146" s="230">
        <v>-50827500</v>
      </c>
      <c r="BK146" s="229">
        <v>-0.41670000000000001</v>
      </c>
      <c r="BL146" s="230">
        <v>27472500</v>
      </c>
      <c r="BM146" s="230">
        <v>44415000</v>
      </c>
      <c r="BN146" s="230">
        <v>-16942500</v>
      </c>
      <c r="BO146" s="229">
        <v>-0.38150000000000001</v>
      </c>
      <c r="BP146" s="230">
        <v>128034000</v>
      </c>
      <c r="BQ146" s="230">
        <v>201042000</v>
      </c>
      <c r="BR146" s="230">
        <v>-73008000</v>
      </c>
      <c r="BS146" s="229">
        <v>-0.36309999999999998</v>
      </c>
      <c r="BT146" s="230">
        <v>8205763</v>
      </c>
      <c r="BU146" s="230">
        <v>16784291</v>
      </c>
      <c r="BV146" s="230">
        <v>-8578528</v>
      </c>
      <c r="BW146" s="229">
        <v>-0.5111</v>
      </c>
      <c r="BX146" s="230">
        <v>298161000</v>
      </c>
      <c r="BY146" s="230">
        <v>294678000</v>
      </c>
      <c r="BZ146" s="230">
        <v>3483000</v>
      </c>
      <c r="CA146" s="229">
        <v>1.18E-2</v>
      </c>
      <c r="CB146" s="230">
        <v>268623000</v>
      </c>
      <c r="CC146" s="230">
        <v>269230500</v>
      </c>
      <c r="CD146" s="230">
        <v>-607500</v>
      </c>
      <c r="CE146" s="229">
        <v>-2.3E-3</v>
      </c>
      <c r="CF146" s="230">
        <v>27189000</v>
      </c>
      <c r="CG146" s="230">
        <v>23409000</v>
      </c>
      <c r="CH146" s="230">
        <v>3780000</v>
      </c>
      <c r="CI146" s="229">
        <v>0.1615</v>
      </c>
      <c r="CJ146" s="230">
        <v>2349000</v>
      </c>
      <c r="CK146" s="230">
        <v>2038500</v>
      </c>
      <c r="CL146" s="230">
        <v>310500</v>
      </c>
      <c r="CM146" s="229">
        <v>0.15229999999999999</v>
      </c>
      <c r="CN146" s="230">
        <v>162162000</v>
      </c>
      <c r="CO146" s="230">
        <v>152739000</v>
      </c>
      <c r="CP146" s="230">
        <v>9423000</v>
      </c>
      <c r="CQ146" s="229">
        <v>6.1699999999999998E-2</v>
      </c>
      <c r="CR146" s="230">
        <v>87291000</v>
      </c>
      <c r="CS146" s="230">
        <v>84807000</v>
      </c>
      <c r="CT146" s="230">
        <v>2484000</v>
      </c>
      <c r="CU146" s="229">
        <v>2.93E-2</v>
      </c>
      <c r="CV146" s="230">
        <v>547614000</v>
      </c>
      <c r="CW146" s="230">
        <v>532224000</v>
      </c>
      <c r="CX146" s="230">
        <v>15390000</v>
      </c>
      <c r="CY146" s="229">
        <v>2.8899999999999999E-2</v>
      </c>
      <c r="CZ146" s="228">
        <v>29.59</v>
      </c>
      <c r="DA146" s="228">
        <v>28.64</v>
      </c>
      <c r="DB146" s="228">
        <v>0.95</v>
      </c>
      <c r="DC146" s="228">
        <v>0.95</v>
      </c>
      <c r="DD146" s="228">
        <v>39.57</v>
      </c>
      <c r="DE146" s="228">
        <v>39.64</v>
      </c>
      <c r="DF146" s="228">
        <v>-9.98</v>
      </c>
      <c r="DG146" s="228">
        <v>-7.0000000000000007E-2</v>
      </c>
      <c r="DH146" s="228">
        <v>30.03</v>
      </c>
      <c r="DI146" s="228">
        <v>28.73</v>
      </c>
      <c r="DJ146" s="228">
        <v>1.3</v>
      </c>
      <c r="DK146" s="228">
        <v>1.3</v>
      </c>
      <c r="DL146" s="228">
        <v>28.45</v>
      </c>
      <c r="DM146" s="228">
        <v>28.39</v>
      </c>
      <c r="DN146" s="228">
        <v>0.06</v>
      </c>
      <c r="DO146" s="228">
        <v>0.06</v>
      </c>
      <c r="DP146" s="228">
        <v>0.54</v>
      </c>
      <c r="DQ146" s="228">
        <v>0.56000000000000005</v>
      </c>
      <c r="DR146" s="228">
        <v>-0.02</v>
      </c>
      <c r="DS146" s="229">
        <v>-3.5700000000000003E-2</v>
      </c>
      <c r="DT146" s="228">
        <v>80</v>
      </c>
      <c r="DU146" s="228">
        <v>70</v>
      </c>
      <c r="DV146" s="228">
        <v>0.39</v>
      </c>
      <c r="DW146" s="228">
        <v>0.36</v>
      </c>
      <c r="DX146" s="228">
        <v>0.03</v>
      </c>
      <c r="DY146" s="229">
        <v>8.3299999999999999E-2</v>
      </c>
      <c r="DZ146" s="229">
        <v>9.9099999999999994E-2</v>
      </c>
      <c r="EA146" s="230">
        <v>25447500</v>
      </c>
      <c r="EB146" s="229">
        <v>5.7999999999999996E-3</v>
      </c>
      <c r="EC146" s="229">
        <v>9.9099999999999994E-2</v>
      </c>
      <c r="ED146" s="228">
        <v>0.45</v>
      </c>
      <c r="EE146" s="229">
        <v>5.8999999999999999E-3</v>
      </c>
      <c r="EF146" s="230">
        <v>3431536</v>
      </c>
      <c r="EG146" s="230">
        <v>10924874</v>
      </c>
      <c r="EH146" s="229">
        <v>-0.68589999999999995</v>
      </c>
      <c r="EI146" s="229">
        <v>0.41820000000000002</v>
      </c>
      <c r="EJ146" s="231">
        <v>56884.12</v>
      </c>
      <c r="EK146" s="231">
        <v>21127.72</v>
      </c>
      <c r="EL146" s="231">
        <v>22430.52</v>
      </c>
      <c r="EM146" s="231">
        <v>3321</v>
      </c>
      <c r="EN146" s="231">
        <v>100442.36</v>
      </c>
      <c r="EO146" s="231">
        <v>160222.20000000001</v>
      </c>
      <c r="EP146" s="231">
        <v>-59779.839999999997</v>
      </c>
      <c r="EQ146" s="229">
        <v>-0.37309999999999999</v>
      </c>
      <c r="ER146" s="231">
        <v>130077</v>
      </c>
      <c r="ES146" s="231">
        <v>65266</v>
      </c>
      <c r="ET146" s="231">
        <v>226833</v>
      </c>
      <c r="EU146" s="231">
        <v>517037525</v>
      </c>
      <c r="EV146" s="231">
        <v>422175</v>
      </c>
      <c r="EW146" s="231">
        <v>412690</v>
      </c>
      <c r="EX146" s="231">
        <v>9485</v>
      </c>
      <c r="EY146" s="229">
        <v>2.3E-2</v>
      </c>
      <c r="EZ146" s="229">
        <v>1.0590999999999999</v>
      </c>
      <c r="FA146" s="227" t="s">
        <v>567</v>
      </c>
      <c r="FB146" s="161">
        <f t="shared" si="3"/>
        <v>0</v>
      </c>
    </row>
    <row r="147" spans="1:158" ht="17.25" hidden="1" thickBot="1" x14ac:dyDescent="0.3">
      <c r="A147" s="226">
        <v>45946</v>
      </c>
      <c r="B147" s="227" t="s">
        <v>161</v>
      </c>
      <c r="C147" s="227" t="s">
        <v>268</v>
      </c>
      <c r="D147" s="228">
        <v>1500</v>
      </c>
      <c r="E147" s="228">
        <v>342.5</v>
      </c>
      <c r="F147" s="228">
        <v>340.6</v>
      </c>
      <c r="G147" s="228">
        <v>1.9</v>
      </c>
      <c r="H147" s="229">
        <v>5.5999999999999999E-3</v>
      </c>
      <c r="I147" s="228">
        <v>341.5</v>
      </c>
      <c r="J147" s="228">
        <v>339.25</v>
      </c>
      <c r="K147" s="228">
        <v>2.25</v>
      </c>
      <c r="L147" s="229">
        <v>6.6E-3</v>
      </c>
      <c r="M147" s="228">
        <v>342.5</v>
      </c>
      <c r="N147" s="228">
        <v>340.6</v>
      </c>
      <c r="O147" s="228">
        <v>1.9</v>
      </c>
      <c r="P147" s="229">
        <v>5.5999999999999999E-3</v>
      </c>
      <c r="Q147" s="228">
        <v>342.1</v>
      </c>
      <c r="R147" s="228">
        <v>340.05</v>
      </c>
      <c r="S147" s="228">
        <v>2.0499999999999998</v>
      </c>
      <c r="T147" s="229">
        <v>6.0000000000000001E-3</v>
      </c>
      <c r="U147" s="228">
        <v>344.4</v>
      </c>
      <c r="V147" s="228">
        <v>342.4</v>
      </c>
      <c r="W147" s="228">
        <v>2</v>
      </c>
      <c r="X147" s="229">
        <v>5.7999999999999996E-3</v>
      </c>
      <c r="Y147" s="228">
        <v>1</v>
      </c>
      <c r="Z147" s="228">
        <v>1.35</v>
      </c>
      <c r="AA147" s="228">
        <v>-0.35</v>
      </c>
      <c r="AB147" s="229">
        <v>2.8999999999999998E-3</v>
      </c>
      <c r="AC147" s="228">
        <v>1</v>
      </c>
      <c r="AD147" s="228">
        <v>1.35</v>
      </c>
      <c r="AE147" s="228">
        <v>-0.35</v>
      </c>
      <c r="AF147" s="229">
        <v>2.8999999999999998E-3</v>
      </c>
      <c r="AG147" s="228">
        <v>0.6</v>
      </c>
      <c r="AH147" s="228">
        <v>0.8</v>
      </c>
      <c r="AI147" s="228">
        <v>-0.2</v>
      </c>
      <c r="AJ147" s="229">
        <v>1.8E-3</v>
      </c>
      <c r="AK147" s="228">
        <v>2.9</v>
      </c>
      <c r="AL147" s="228">
        <v>3.15</v>
      </c>
      <c r="AM147" s="228">
        <v>-0.25</v>
      </c>
      <c r="AN147" s="229">
        <v>8.5000000000000006E-3</v>
      </c>
      <c r="AO147" s="228">
        <v>342.17</v>
      </c>
      <c r="AP147" s="228">
        <v>341.83</v>
      </c>
      <c r="AQ147" s="228">
        <v>0</v>
      </c>
      <c r="AR147" s="230">
        <v>8284500</v>
      </c>
      <c r="AS147" s="230">
        <v>8832000</v>
      </c>
      <c r="AT147" s="230">
        <v>-547500</v>
      </c>
      <c r="AU147" s="229">
        <v>-6.2E-2</v>
      </c>
      <c r="AV147" s="230">
        <v>7153500</v>
      </c>
      <c r="AW147" s="230">
        <v>7345500</v>
      </c>
      <c r="AX147" s="230">
        <v>-192000</v>
      </c>
      <c r="AY147" s="229">
        <v>-2.6100000000000002E-2</v>
      </c>
      <c r="AZ147" s="230">
        <v>1059000</v>
      </c>
      <c r="BA147" s="230">
        <v>1407000</v>
      </c>
      <c r="BB147" s="230">
        <v>-348000</v>
      </c>
      <c r="BC147" s="229">
        <v>-0.24729999999999999</v>
      </c>
      <c r="BD147" s="230">
        <v>72000</v>
      </c>
      <c r="BE147" s="230">
        <v>79500</v>
      </c>
      <c r="BF147" s="230">
        <v>-7500</v>
      </c>
      <c r="BG147" s="229">
        <v>-9.4299999999999995E-2</v>
      </c>
      <c r="BH147" s="230">
        <v>33147000</v>
      </c>
      <c r="BI147" s="230">
        <v>49420500</v>
      </c>
      <c r="BJ147" s="230">
        <v>-16273500</v>
      </c>
      <c r="BK147" s="229">
        <v>-0.32929999999999998</v>
      </c>
      <c r="BL147" s="230">
        <v>16023000</v>
      </c>
      <c r="BM147" s="230">
        <v>26670000</v>
      </c>
      <c r="BN147" s="230">
        <v>-10647000</v>
      </c>
      <c r="BO147" s="229">
        <v>-0.3992</v>
      </c>
      <c r="BP147" s="230">
        <v>57454500</v>
      </c>
      <c r="BQ147" s="230">
        <v>84922500</v>
      </c>
      <c r="BR147" s="230">
        <v>-27468000</v>
      </c>
      <c r="BS147" s="229">
        <v>-0.32340000000000002</v>
      </c>
      <c r="BT147" s="230">
        <v>7458020</v>
      </c>
      <c r="BU147" s="230">
        <v>8454918</v>
      </c>
      <c r="BV147" s="230">
        <v>-996898</v>
      </c>
      <c r="BW147" s="229">
        <v>-0.1179</v>
      </c>
      <c r="BX147" s="230">
        <v>98425500</v>
      </c>
      <c r="BY147" s="230">
        <v>98278500</v>
      </c>
      <c r="BZ147" s="230">
        <v>147000</v>
      </c>
      <c r="CA147" s="229">
        <v>1.5E-3</v>
      </c>
      <c r="CB147" s="230">
        <v>91782000</v>
      </c>
      <c r="CC147" s="230">
        <v>92032500</v>
      </c>
      <c r="CD147" s="230">
        <v>-250500</v>
      </c>
      <c r="CE147" s="229">
        <v>-2.7000000000000001E-3</v>
      </c>
      <c r="CF147" s="230">
        <v>6207000</v>
      </c>
      <c r="CG147" s="230">
        <v>5811000</v>
      </c>
      <c r="CH147" s="230">
        <v>396000</v>
      </c>
      <c r="CI147" s="229">
        <v>6.8099999999999994E-2</v>
      </c>
      <c r="CJ147" s="230">
        <v>436500</v>
      </c>
      <c r="CK147" s="230">
        <v>435000</v>
      </c>
      <c r="CL147" s="230">
        <v>1500</v>
      </c>
      <c r="CM147" s="229">
        <v>3.3999999999999998E-3</v>
      </c>
      <c r="CN147" s="230">
        <v>44421000</v>
      </c>
      <c r="CO147" s="230">
        <v>45393000</v>
      </c>
      <c r="CP147" s="230">
        <v>-972000</v>
      </c>
      <c r="CQ147" s="229">
        <v>-2.1399999999999999E-2</v>
      </c>
      <c r="CR147" s="230">
        <v>18391500</v>
      </c>
      <c r="CS147" s="230">
        <v>17395500</v>
      </c>
      <c r="CT147" s="230">
        <v>996000</v>
      </c>
      <c r="CU147" s="229">
        <v>5.7299999999999997E-2</v>
      </c>
      <c r="CV147" s="230">
        <v>161238000</v>
      </c>
      <c r="CW147" s="230">
        <v>161067000</v>
      </c>
      <c r="CX147" s="230">
        <v>171000</v>
      </c>
      <c r="CY147" s="229">
        <v>1.1000000000000001E-3</v>
      </c>
      <c r="CZ147" s="228">
        <v>15.96</v>
      </c>
      <c r="DA147" s="228">
        <v>16.34</v>
      </c>
      <c r="DB147" s="228">
        <v>-0.38</v>
      </c>
      <c r="DC147" s="228">
        <v>-0.38</v>
      </c>
      <c r="DD147" s="228">
        <v>28.72</v>
      </c>
      <c r="DE147" s="228">
        <v>28.77</v>
      </c>
      <c r="DF147" s="228">
        <v>-12.76</v>
      </c>
      <c r="DG147" s="228">
        <v>-0.05</v>
      </c>
      <c r="DH147" s="228">
        <v>15.6</v>
      </c>
      <c r="DI147" s="228">
        <v>16.02</v>
      </c>
      <c r="DJ147" s="228">
        <v>-0.42</v>
      </c>
      <c r="DK147" s="228">
        <v>-0.42</v>
      </c>
      <c r="DL147" s="228">
        <v>16.7</v>
      </c>
      <c r="DM147" s="228">
        <v>16.93</v>
      </c>
      <c r="DN147" s="228">
        <v>-0.23</v>
      </c>
      <c r="DO147" s="228">
        <v>-0.23</v>
      </c>
      <c r="DP147" s="228">
        <v>0.41</v>
      </c>
      <c r="DQ147" s="228">
        <v>0.38</v>
      </c>
      <c r="DR147" s="228">
        <v>0.03</v>
      </c>
      <c r="DS147" s="229">
        <v>7.8899999999999998E-2</v>
      </c>
      <c r="DT147" s="228">
        <v>345</v>
      </c>
      <c r="DU147" s="228">
        <v>340</v>
      </c>
      <c r="DV147" s="228">
        <v>0.48</v>
      </c>
      <c r="DW147" s="228">
        <v>0.54</v>
      </c>
      <c r="DX147" s="228">
        <v>-0.06</v>
      </c>
      <c r="DY147" s="229">
        <v>-0.1111</v>
      </c>
      <c r="DZ147" s="229">
        <v>6.7500000000000004E-2</v>
      </c>
      <c r="EA147" s="230">
        <v>6246000</v>
      </c>
      <c r="EB147" s="229">
        <v>-1.1999999999999999E-3</v>
      </c>
      <c r="EC147" s="229">
        <v>6.7500000000000004E-2</v>
      </c>
      <c r="ED147" s="228">
        <v>-0.34</v>
      </c>
      <c r="EE147" s="229">
        <v>-1E-3</v>
      </c>
      <c r="EF147" s="230">
        <v>4570790</v>
      </c>
      <c r="EG147" s="230">
        <v>5935692</v>
      </c>
      <c r="EH147" s="229">
        <v>-0.22989999999999999</v>
      </c>
      <c r="EI147" s="229">
        <v>0.6129</v>
      </c>
      <c r="EJ147" s="231">
        <v>115856.19</v>
      </c>
      <c r="EK147" s="231">
        <v>54821.27</v>
      </c>
      <c r="EL147" s="231">
        <v>28344.6</v>
      </c>
      <c r="EM147" s="231">
        <v>5784</v>
      </c>
      <c r="EN147" s="231">
        <v>199022.06</v>
      </c>
      <c r="EO147" s="231">
        <v>293126.26</v>
      </c>
      <c r="EP147" s="231">
        <v>-94104.2</v>
      </c>
      <c r="EQ147" s="229">
        <v>-0.32100000000000001</v>
      </c>
      <c r="ER147" s="231">
        <v>155888</v>
      </c>
      <c r="ES147" s="231">
        <v>62108</v>
      </c>
      <c r="ET147" s="231">
        <v>337091</v>
      </c>
      <c r="EU147" s="231">
        <v>572782298</v>
      </c>
      <c r="EV147" s="231">
        <v>555087</v>
      </c>
      <c r="EW147" s="231">
        <v>552725</v>
      </c>
      <c r="EX147" s="231">
        <v>2362</v>
      </c>
      <c r="EY147" s="229">
        <v>4.3E-3</v>
      </c>
      <c r="EZ147" s="229">
        <v>0.28149999999999997</v>
      </c>
      <c r="FA147" s="227" t="s">
        <v>555</v>
      </c>
      <c r="FB147" s="161">
        <f t="shared" si="3"/>
        <v>0</v>
      </c>
    </row>
    <row r="148" spans="1:158" ht="17.25" hidden="1" thickBot="1" x14ac:dyDescent="0.3">
      <c r="A148" s="226">
        <v>45946</v>
      </c>
      <c r="B148" s="227" t="s">
        <v>175</v>
      </c>
      <c r="C148" s="227" t="s">
        <v>686</v>
      </c>
      <c r="D148" s="228">
        <v>75</v>
      </c>
      <c r="E148" s="231">
        <v>7250.5</v>
      </c>
      <c r="F148" s="231">
        <v>7252</v>
      </c>
      <c r="G148" s="228">
        <v>-1.5</v>
      </c>
      <c r="H148" s="229">
        <v>-2.0000000000000001E-4</v>
      </c>
      <c r="I148" s="231">
        <v>7225.5</v>
      </c>
      <c r="J148" s="231">
        <v>7217.5</v>
      </c>
      <c r="K148" s="228">
        <v>8</v>
      </c>
      <c r="L148" s="229">
        <v>1.1000000000000001E-3</v>
      </c>
      <c r="M148" s="231">
        <v>7250.5</v>
      </c>
      <c r="N148" s="231">
        <v>7252</v>
      </c>
      <c r="O148" s="228">
        <v>-1.5</v>
      </c>
      <c r="P148" s="229">
        <v>-2.0000000000000001E-4</v>
      </c>
      <c r="Q148" s="231">
        <v>7223.5</v>
      </c>
      <c r="R148" s="231">
        <v>7233.5</v>
      </c>
      <c r="S148" s="228">
        <v>-10</v>
      </c>
      <c r="T148" s="229">
        <v>-1.4E-3</v>
      </c>
      <c r="U148" s="231">
        <v>7191.5</v>
      </c>
      <c r="V148" s="231">
        <v>7170</v>
      </c>
      <c r="W148" s="228">
        <v>21.5</v>
      </c>
      <c r="X148" s="229">
        <v>3.0000000000000001E-3</v>
      </c>
      <c r="Y148" s="228">
        <v>25</v>
      </c>
      <c r="Z148" s="228">
        <v>34.5</v>
      </c>
      <c r="AA148" s="228">
        <v>-9.5</v>
      </c>
      <c r="AB148" s="229">
        <v>3.5000000000000001E-3</v>
      </c>
      <c r="AC148" s="228">
        <v>25</v>
      </c>
      <c r="AD148" s="228">
        <v>34.5</v>
      </c>
      <c r="AE148" s="228">
        <v>-9.5</v>
      </c>
      <c r="AF148" s="229">
        <v>3.5000000000000001E-3</v>
      </c>
      <c r="AG148" s="228">
        <v>-2</v>
      </c>
      <c r="AH148" s="228">
        <v>16</v>
      </c>
      <c r="AI148" s="228">
        <v>-18</v>
      </c>
      <c r="AJ148" s="229">
        <v>-2.9999999999999997E-4</v>
      </c>
      <c r="AK148" s="228">
        <v>-34</v>
      </c>
      <c r="AL148" s="228">
        <v>-47.5</v>
      </c>
      <c r="AM148" s="228">
        <v>13.5</v>
      </c>
      <c r="AN148" s="229">
        <v>-4.7000000000000002E-3</v>
      </c>
      <c r="AO148" s="231">
        <v>7246.71</v>
      </c>
      <c r="AP148" s="231">
        <v>7224.39</v>
      </c>
      <c r="AQ148" s="228">
        <v>0</v>
      </c>
      <c r="AR148" s="230">
        <v>45000</v>
      </c>
      <c r="AS148" s="230">
        <v>96450</v>
      </c>
      <c r="AT148" s="230">
        <v>-51450</v>
      </c>
      <c r="AU148" s="229">
        <v>-0.53339999999999999</v>
      </c>
      <c r="AV148" s="230">
        <v>41700</v>
      </c>
      <c r="AW148" s="230">
        <v>92250</v>
      </c>
      <c r="AX148" s="230">
        <v>-50550</v>
      </c>
      <c r="AY148" s="229">
        <v>-0.54800000000000004</v>
      </c>
      <c r="AZ148" s="230">
        <v>3075</v>
      </c>
      <c r="BA148" s="230">
        <v>4125</v>
      </c>
      <c r="BB148" s="230">
        <v>-1050</v>
      </c>
      <c r="BC148" s="229">
        <v>-0.2545</v>
      </c>
      <c r="BD148" s="228">
        <v>225</v>
      </c>
      <c r="BE148" s="228">
        <v>75</v>
      </c>
      <c r="BF148" s="228">
        <v>150</v>
      </c>
      <c r="BG148" s="229">
        <v>2</v>
      </c>
      <c r="BH148" s="230">
        <v>116700</v>
      </c>
      <c r="BI148" s="230">
        <v>168000</v>
      </c>
      <c r="BJ148" s="230">
        <v>-51300</v>
      </c>
      <c r="BK148" s="229">
        <v>-0.3054</v>
      </c>
      <c r="BL148" s="230">
        <v>97200</v>
      </c>
      <c r="BM148" s="230">
        <v>136125</v>
      </c>
      <c r="BN148" s="230">
        <v>-38925</v>
      </c>
      <c r="BO148" s="229">
        <v>-0.28599999999999998</v>
      </c>
      <c r="BP148" s="230">
        <v>258900</v>
      </c>
      <c r="BQ148" s="230">
        <v>400575</v>
      </c>
      <c r="BR148" s="230">
        <v>-141675</v>
      </c>
      <c r="BS148" s="229">
        <v>-0.35370000000000001</v>
      </c>
      <c r="BT148" s="230">
        <v>55563</v>
      </c>
      <c r="BU148" s="230">
        <v>104590</v>
      </c>
      <c r="BV148" s="230">
        <v>-49027</v>
      </c>
      <c r="BW148" s="229">
        <v>-0.46879999999999999</v>
      </c>
      <c r="BX148" s="230">
        <v>365925</v>
      </c>
      <c r="BY148" s="230">
        <v>371550</v>
      </c>
      <c r="BZ148" s="230">
        <v>-5625</v>
      </c>
      <c r="CA148" s="229">
        <v>-1.5100000000000001E-2</v>
      </c>
      <c r="CB148" s="230">
        <v>340950</v>
      </c>
      <c r="CC148" s="230">
        <v>347475</v>
      </c>
      <c r="CD148" s="230">
        <v>-6525</v>
      </c>
      <c r="CE148" s="229">
        <v>-1.8800000000000001E-2</v>
      </c>
      <c r="CF148" s="230">
        <v>24075</v>
      </c>
      <c r="CG148" s="230">
        <v>23175</v>
      </c>
      <c r="CH148" s="228">
        <v>900</v>
      </c>
      <c r="CI148" s="229">
        <v>3.8800000000000001E-2</v>
      </c>
      <c r="CJ148" s="228">
        <v>900</v>
      </c>
      <c r="CK148" s="228">
        <v>900</v>
      </c>
      <c r="CL148" s="228">
        <v>0</v>
      </c>
      <c r="CM148" s="229">
        <v>0</v>
      </c>
      <c r="CN148" s="230">
        <v>261825</v>
      </c>
      <c r="CO148" s="230">
        <v>265650</v>
      </c>
      <c r="CP148" s="230">
        <v>-3825</v>
      </c>
      <c r="CQ148" s="229">
        <v>-1.44E-2</v>
      </c>
      <c r="CR148" s="230">
        <v>219375</v>
      </c>
      <c r="CS148" s="230">
        <v>237150</v>
      </c>
      <c r="CT148" s="230">
        <v>-17775</v>
      </c>
      <c r="CU148" s="229">
        <v>-7.4999999999999997E-2</v>
      </c>
      <c r="CV148" s="230">
        <v>847125</v>
      </c>
      <c r="CW148" s="230">
        <v>874350</v>
      </c>
      <c r="CX148" s="230">
        <v>-27225</v>
      </c>
      <c r="CY148" s="229">
        <v>-3.1099999999999999E-2</v>
      </c>
      <c r="CZ148" s="228">
        <v>31.01</v>
      </c>
      <c r="DA148" s="228">
        <v>33.72</v>
      </c>
      <c r="DB148" s="228">
        <v>-2.71</v>
      </c>
      <c r="DC148" s="228">
        <v>-2.71</v>
      </c>
      <c r="DD148" s="228">
        <v>52.04</v>
      </c>
      <c r="DE148" s="228">
        <v>52.17</v>
      </c>
      <c r="DF148" s="228">
        <v>-21.03</v>
      </c>
      <c r="DG148" s="228">
        <v>-0.13</v>
      </c>
      <c r="DH148" s="228">
        <v>30.98</v>
      </c>
      <c r="DI148" s="228">
        <v>33.86</v>
      </c>
      <c r="DJ148" s="228">
        <v>-2.88</v>
      </c>
      <c r="DK148" s="228">
        <v>-2.88</v>
      </c>
      <c r="DL148" s="228">
        <v>31.04</v>
      </c>
      <c r="DM148" s="228">
        <v>33.549999999999997</v>
      </c>
      <c r="DN148" s="228">
        <v>-2.5099999999999998</v>
      </c>
      <c r="DO148" s="228">
        <v>-2.5099999999999998</v>
      </c>
      <c r="DP148" s="228">
        <v>0.84</v>
      </c>
      <c r="DQ148" s="228">
        <v>0.89</v>
      </c>
      <c r="DR148" s="228">
        <v>-0.05</v>
      </c>
      <c r="DS148" s="229">
        <v>-5.62E-2</v>
      </c>
      <c r="DT148" s="231">
        <v>7400</v>
      </c>
      <c r="DU148" s="231">
        <v>7000</v>
      </c>
      <c r="DV148" s="228">
        <v>0.83</v>
      </c>
      <c r="DW148" s="228">
        <v>0.81</v>
      </c>
      <c r="DX148" s="228">
        <v>0.02</v>
      </c>
      <c r="DY148" s="229">
        <v>2.47E-2</v>
      </c>
      <c r="DZ148" s="229">
        <v>6.83E-2</v>
      </c>
      <c r="EA148" s="230">
        <v>24075</v>
      </c>
      <c r="EB148" s="229">
        <v>-3.7000000000000002E-3</v>
      </c>
      <c r="EC148" s="229">
        <v>6.83E-2</v>
      </c>
      <c r="ED148" s="228">
        <v>-22.32</v>
      </c>
      <c r="EE148" s="229">
        <v>-3.0999999999999999E-3</v>
      </c>
      <c r="EF148" s="230">
        <v>28759</v>
      </c>
      <c r="EG148" s="230">
        <v>59621</v>
      </c>
      <c r="EH148" s="229">
        <v>-0.51759999999999995</v>
      </c>
      <c r="EI148" s="229">
        <v>0.51759999999999995</v>
      </c>
      <c r="EJ148" s="231">
        <v>8725.2900000000009</v>
      </c>
      <c r="EK148" s="231">
        <v>6656.64</v>
      </c>
      <c r="EL148" s="231">
        <v>3260.21</v>
      </c>
      <c r="EM148" s="231">
        <v>1462</v>
      </c>
      <c r="EN148" s="231">
        <v>18642.14</v>
      </c>
      <c r="EO148" s="231">
        <v>29117</v>
      </c>
      <c r="EP148" s="231">
        <v>-10474.86</v>
      </c>
      <c r="EQ148" s="229">
        <v>-0.35980000000000001</v>
      </c>
      <c r="ER148" s="231">
        <v>18643</v>
      </c>
      <c r="ES148" s="231">
        <v>14725</v>
      </c>
      <c r="ET148" s="231">
        <v>26524</v>
      </c>
      <c r="EU148" s="231">
        <v>2444664</v>
      </c>
      <c r="EV148" s="231">
        <v>59892</v>
      </c>
      <c r="EW148" s="231">
        <v>61758</v>
      </c>
      <c r="EX148" s="231">
        <v>-1866</v>
      </c>
      <c r="EY148" s="229">
        <v>-3.0200000000000001E-2</v>
      </c>
      <c r="EZ148" s="229">
        <v>0.34649999999999997</v>
      </c>
      <c r="FA148" s="227" t="s">
        <v>568</v>
      </c>
      <c r="FB148" s="161">
        <f t="shared" si="3"/>
        <v>0</v>
      </c>
    </row>
    <row r="149" spans="1:158" ht="17.25" hidden="1" thickBot="1" x14ac:dyDescent="0.3">
      <c r="A149" s="226">
        <v>45946</v>
      </c>
      <c r="B149" s="227" t="s">
        <v>615</v>
      </c>
      <c r="C149" s="227" t="s">
        <v>613</v>
      </c>
      <c r="D149" s="228">
        <v>3125</v>
      </c>
      <c r="E149" s="228">
        <v>263.02</v>
      </c>
      <c r="F149" s="228">
        <v>262.31</v>
      </c>
      <c r="G149" s="228">
        <v>0.71</v>
      </c>
      <c r="H149" s="229">
        <v>2.7000000000000001E-3</v>
      </c>
      <c r="I149" s="228">
        <v>263.31</v>
      </c>
      <c r="J149" s="228">
        <v>261.62</v>
      </c>
      <c r="K149" s="228">
        <v>1.69</v>
      </c>
      <c r="L149" s="229">
        <v>6.4999999999999997E-3</v>
      </c>
      <c r="M149" s="228">
        <v>263.02</v>
      </c>
      <c r="N149" s="228">
        <v>262.31</v>
      </c>
      <c r="O149" s="228">
        <v>0.71</v>
      </c>
      <c r="P149" s="229">
        <v>2.7000000000000001E-3</v>
      </c>
      <c r="Q149" s="228">
        <v>259.85000000000002</v>
      </c>
      <c r="R149" s="228">
        <v>259.72000000000003</v>
      </c>
      <c r="S149" s="228">
        <v>0.13</v>
      </c>
      <c r="T149" s="229">
        <v>5.0000000000000001E-4</v>
      </c>
      <c r="U149" s="228">
        <v>258.33999999999997</v>
      </c>
      <c r="V149" s="228">
        <v>258.33</v>
      </c>
      <c r="W149" s="228">
        <v>0.01</v>
      </c>
      <c r="X149" s="229">
        <v>0</v>
      </c>
      <c r="Y149" s="228">
        <v>-0.28999999999999998</v>
      </c>
      <c r="Z149" s="228">
        <v>0.69</v>
      </c>
      <c r="AA149" s="228">
        <v>-0.98</v>
      </c>
      <c r="AB149" s="229">
        <v>-1.1000000000000001E-3</v>
      </c>
      <c r="AC149" s="228">
        <v>-0.28999999999999998</v>
      </c>
      <c r="AD149" s="228">
        <v>0.69</v>
      </c>
      <c r="AE149" s="228">
        <v>-0.98</v>
      </c>
      <c r="AF149" s="229">
        <v>-1.1000000000000001E-3</v>
      </c>
      <c r="AG149" s="228">
        <v>-3.46</v>
      </c>
      <c r="AH149" s="228">
        <v>-1.9</v>
      </c>
      <c r="AI149" s="228">
        <v>-1.56</v>
      </c>
      <c r="AJ149" s="229">
        <v>-1.3100000000000001E-2</v>
      </c>
      <c r="AK149" s="228">
        <v>-4.97</v>
      </c>
      <c r="AL149" s="228">
        <v>-3.29</v>
      </c>
      <c r="AM149" s="228">
        <v>-1.68</v>
      </c>
      <c r="AN149" s="229">
        <v>-1.89E-2</v>
      </c>
      <c r="AO149" s="228">
        <v>263.7</v>
      </c>
      <c r="AP149" s="228">
        <v>260.67</v>
      </c>
      <c r="AQ149" s="228">
        <v>0</v>
      </c>
      <c r="AR149" s="230">
        <v>14190625</v>
      </c>
      <c r="AS149" s="230">
        <v>7934375</v>
      </c>
      <c r="AT149" s="230">
        <v>6256250</v>
      </c>
      <c r="AU149" s="229">
        <v>0.78849999999999998</v>
      </c>
      <c r="AV149" s="230">
        <v>9590625</v>
      </c>
      <c r="AW149" s="230">
        <v>7006250</v>
      </c>
      <c r="AX149" s="230">
        <v>2584375</v>
      </c>
      <c r="AY149" s="229">
        <v>0.36890000000000001</v>
      </c>
      <c r="AZ149" s="230">
        <v>4553125</v>
      </c>
      <c r="BA149" s="230">
        <v>887500</v>
      </c>
      <c r="BB149" s="230">
        <v>3665625</v>
      </c>
      <c r="BC149" s="229">
        <v>4.1303000000000001</v>
      </c>
      <c r="BD149" s="230">
        <v>46875</v>
      </c>
      <c r="BE149" s="230">
        <v>40625</v>
      </c>
      <c r="BF149" s="230">
        <v>6250</v>
      </c>
      <c r="BG149" s="229">
        <v>0.15379999999999999</v>
      </c>
      <c r="BH149" s="230">
        <v>21978125</v>
      </c>
      <c r="BI149" s="230">
        <v>27090625</v>
      </c>
      <c r="BJ149" s="230">
        <v>-5112500</v>
      </c>
      <c r="BK149" s="229">
        <v>-0.18870000000000001</v>
      </c>
      <c r="BL149" s="230">
        <v>12718750</v>
      </c>
      <c r="BM149" s="230">
        <v>13037500</v>
      </c>
      <c r="BN149" s="230">
        <v>-318750</v>
      </c>
      <c r="BO149" s="229">
        <v>-2.4400000000000002E-2</v>
      </c>
      <c r="BP149" s="230">
        <v>48887500</v>
      </c>
      <c r="BQ149" s="230">
        <v>48062500</v>
      </c>
      <c r="BR149" s="230">
        <v>825000</v>
      </c>
      <c r="BS149" s="229">
        <v>1.72E-2</v>
      </c>
      <c r="BT149" s="230">
        <v>3842705</v>
      </c>
      <c r="BU149" s="230">
        <v>3418765</v>
      </c>
      <c r="BV149" s="230">
        <v>423940</v>
      </c>
      <c r="BW149" s="229">
        <v>0.124</v>
      </c>
      <c r="BX149" s="230">
        <v>71396875</v>
      </c>
      <c r="BY149" s="230">
        <v>67109375</v>
      </c>
      <c r="BZ149" s="230">
        <v>4287500</v>
      </c>
      <c r="CA149" s="229">
        <v>6.3899999999999998E-2</v>
      </c>
      <c r="CB149" s="230">
        <v>64253125</v>
      </c>
      <c r="CC149" s="230">
        <v>63843750</v>
      </c>
      <c r="CD149" s="230">
        <v>409375</v>
      </c>
      <c r="CE149" s="229">
        <v>6.4000000000000003E-3</v>
      </c>
      <c r="CF149" s="230">
        <v>6906250</v>
      </c>
      <c r="CG149" s="230">
        <v>3031250</v>
      </c>
      <c r="CH149" s="230">
        <v>3875000</v>
      </c>
      <c r="CI149" s="229">
        <v>1.2784</v>
      </c>
      <c r="CJ149" s="230">
        <v>237500</v>
      </c>
      <c r="CK149" s="230">
        <v>234375</v>
      </c>
      <c r="CL149" s="230">
        <v>3125</v>
      </c>
      <c r="CM149" s="229">
        <v>1.3299999999999999E-2</v>
      </c>
      <c r="CN149" s="230">
        <v>14540625</v>
      </c>
      <c r="CO149" s="230">
        <v>15203125</v>
      </c>
      <c r="CP149" s="230">
        <v>-662500</v>
      </c>
      <c r="CQ149" s="229">
        <v>-4.36E-2</v>
      </c>
      <c r="CR149" s="230">
        <v>10509375</v>
      </c>
      <c r="CS149" s="230">
        <v>10125000</v>
      </c>
      <c r="CT149" s="230">
        <v>384375</v>
      </c>
      <c r="CU149" s="229">
        <v>3.7999999999999999E-2</v>
      </c>
      <c r="CV149" s="230">
        <v>96446875</v>
      </c>
      <c r="CW149" s="230">
        <v>92437500</v>
      </c>
      <c r="CX149" s="230">
        <v>4009375</v>
      </c>
      <c r="CY149" s="229">
        <v>4.3400000000000001E-2</v>
      </c>
      <c r="CZ149" s="228">
        <v>25.83</v>
      </c>
      <c r="DA149" s="228">
        <v>26.63</v>
      </c>
      <c r="DB149" s="228">
        <v>-0.8</v>
      </c>
      <c r="DC149" s="228">
        <v>-0.8</v>
      </c>
      <c r="DD149" s="228">
        <v>37.47</v>
      </c>
      <c r="DE149" s="228">
        <v>37.549999999999997</v>
      </c>
      <c r="DF149" s="228">
        <v>-11.64</v>
      </c>
      <c r="DG149" s="228">
        <v>-0.08</v>
      </c>
      <c r="DH149" s="228">
        <v>25.87</v>
      </c>
      <c r="DI149" s="228">
        <v>26.12</v>
      </c>
      <c r="DJ149" s="228">
        <v>-0.25</v>
      </c>
      <c r="DK149" s="228">
        <v>-0.25</v>
      </c>
      <c r="DL149" s="228">
        <v>25.75</v>
      </c>
      <c r="DM149" s="228">
        <v>27.7</v>
      </c>
      <c r="DN149" s="228">
        <v>-1.95</v>
      </c>
      <c r="DO149" s="228">
        <v>-1.95</v>
      </c>
      <c r="DP149" s="228">
        <v>0.72</v>
      </c>
      <c r="DQ149" s="228">
        <v>0.67</v>
      </c>
      <c r="DR149" s="228">
        <v>0.05</v>
      </c>
      <c r="DS149" s="229">
        <v>7.46E-2</v>
      </c>
      <c r="DT149" s="228">
        <v>270</v>
      </c>
      <c r="DU149" s="228">
        <v>250</v>
      </c>
      <c r="DV149" s="228">
        <v>0.57999999999999996</v>
      </c>
      <c r="DW149" s="228">
        <v>0.48</v>
      </c>
      <c r="DX149" s="228">
        <v>0.1</v>
      </c>
      <c r="DY149" s="229">
        <v>0.20830000000000001</v>
      </c>
      <c r="DZ149" s="229">
        <v>0.10009999999999999</v>
      </c>
      <c r="EA149" s="230">
        <v>3265625</v>
      </c>
      <c r="EB149" s="229">
        <v>-1.21E-2</v>
      </c>
      <c r="EC149" s="229">
        <v>0.10009999999999999</v>
      </c>
      <c r="ED149" s="228">
        <v>-3.03</v>
      </c>
      <c r="EE149" s="229">
        <v>-1.15E-2</v>
      </c>
      <c r="EF149" s="230">
        <v>1842296</v>
      </c>
      <c r="EG149" s="230">
        <v>1324262</v>
      </c>
      <c r="EH149" s="229">
        <v>0.39119999999999999</v>
      </c>
      <c r="EI149" s="229">
        <v>0.47939999999999999</v>
      </c>
      <c r="EJ149" s="231">
        <v>59549.05</v>
      </c>
      <c r="EK149" s="231">
        <v>33036.06</v>
      </c>
      <c r="EL149" s="231">
        <v>37281.01</v>
      </c>
      <c r="EM149" s="231">
        <v>2659</v>
      </c>
      <c r="EN149" s="231">
        <v>129866.12</v>
      </c>
      <c r="EO149" s="231">
        <v>126907.84</v>
      </c>
      <c r="EP149" s="231">
        <v>2958.28</v>
      </c>
      <c r="EQ149" s="229">
        <v>2.3300000000000001E-2</v>
      </c>
      <c r="ER149" s="231">
        <v>38168</v>
      </c>
      <c r="ES149" s="231">
        <v>25984</v>
      </c>
      <c r="ET149" s="231">
        <v>187558</v>
      </c>
      <c r="EU149" s="231">
        <v>205324177</v>
      </c>
      <c r="EV149" s="231">
        <v>251710</v>
      </c>
      <c r="EW149" s="231">
        <v>240756</v>
      </c>
      <c r="EX149" s="231">
        <v>10954</v>
      </c>
      <c r="EY149" s="229">
        <v>4.5499999999999999E-2</v>
      </c>
      <c r="EZ149" s="229">
        <v>0.46970000000000001</v>
      </c>
      <c r="FA149" s="227" t="s">
        <v>555</v>
      </c>
      <c r="FB149" s="161">
        <f t="shared" si="3"/>
        <v>0</v>
      </c>
    </row>
    <row r="150" spans="1:158" ht="17.25" thickBot="1" x14ac:dyDescent="0.3">
      <c r="A150" s="226">
        <v>45946</v>
      </c>
      <c r="B150" s="227" t="s">
        <v>206</v>
      </c>
      <c r="C150" s="227" t="s">
        <v>528</v>
      </c>
      <c r="D150" s="228">
        <v>350</v>
      </c>
      <c r="E150" s="231">
        <v>1693.2</v>
      </c>
      <c r="F150" s="231">
        <v>1608.4</v>
      </c>
      <c r="G150" s="228">
        <v>84.8</v>
      </c>
      <c r="H150" s="229">
        <v>5.2699999999999997E-2</v>
      </c>
      <c r="I150" s="231">
        <v>1687.1</v>
      </c>
      <c r="J150" s="231">
        <v>1601.4</v>
      </c>
      <c r="K150" s="228">
        <v>85.7</v>
      </c>
      <c r="L150" s="229">
        <v>5.3499999999999999E-2</v>
      </c>
      <c r="M150" s="231">
        <v>1693.2</v>
      </c>
      <c r="N150" s="231">
        <v>1608.4</v>
      </c>
      <c r="O150" s="228">
        <v>84.8</v>
      </c>
      <c r="P150" s="229">
        <v>5.2699999999999997E-2</v>
      </c>
      <c r="Q150" s="231">
        <v>1700.1</v>
      </c>
      <c r="R150" s="231">
        <v>1617.2</v>
      </c>
      <c r="S150" s="228">
        <v>82.9</v>
      </c>
      <c r="T150" s="229">
        <v>5.1299999999999998E-2</v>
      </c>
      <c r="U150" s="231">
        <v>1705.3</v>
      </c>
      <c r="V150" s="231">
        <v>1619</v>
      </c>
      <c r="W150" s="228">
        <v>86.3</v>
      </c>
      <c r="X150" s="229">
        <v>5.33E-2</v>
      </c>
      <c r="Y150" s="228">
        <v>6.1</v>
      </c>
      <c r="Z150" s="228">
        <v>7</v>
      </c>
      <c r="AA150" s="228">
        <v>-0.9</v>
      </c>
      <c r="AB150" s="229">
        <v>3.5999999999999999E-3</v>
      </c>
      <c r="AC150" s="228">
        <v>6.1</v>
      </c>
      <c r="AD150" s="228">
        <v>7</v>
      </c>
      <c r="AE150" s="228">
        <v>-0.9</v>
      </c>
      <c r="AF150" s="229">
        <v>3.5999999999999999E-3</v>
      </c>
      <c r="AG150" s="228">
        <v>13</v>
      </c>
      <c r="AH150" s="228">
        <v>15.8</v>
      </c>
      <c r="AI150" s="228">
        <v>-2.8</v>
      </c>
      <c r="AJ150" s="229">
        <v>7.7000000000000002E-3</v>
      </c>
      <c r="AK150" s="228">
        <v>18.2</v>
      </c>
      <c r="AL150" s="228">
        <v>17.600000000000001</v>
      </c>
      <c r="AM150" s="228">
        <v>0.6</v>
      </c>
      <c r="AN150" s="229">
        <v>1.0800000000000001E-2</v>
      </c>
      <c r="AO150" s="231">
        <v>1680.2</v>
      </c>
      <c r="AP150" s="231">
        <v>1687.26</v>
      </c>
      <c r="AQ150" s="228">
        <v>0</v>
      </c>
      <c r="AR150" s="230">
        <v>3936100</v>
      </c>
      <c r="AS150" s="230">
        <v>1156400</v>
      </c>
      <c r="AT150" s="230">
        <v>2779700</v>
      </c>
      <c r="AU150" s="229">
        <v>2.4037999999999999</v>
      </c>
      <c r="AV150" s="230">
        <v>3594150</v>
      </c>
      <c r="AW150" s="230">
        <v>1084650</v>
      </c>
      <c r="AX150" s="230">
        <v>2509500</v>
      </c>
      <c r="AY150" s="229">
        <v>2.3136000000000001</v>
      </c>
      <c r="AZ150" s="230">
        <v>322000</v>
      </c>
      <c r="BA150" s="230">
        <v>68250</v>
      </c>
      <c r="BB150" s="230">
        <v>253750</v>
      </c>
      <c r="BC150" s="229">
        <v>3.7179000000000002</v>
      </c>
      <c r="BD150" s="230">
        <v>19950</v>
      </c>
      <c r="BE150" s="230">
        <v>3500</v>
      </c>
      <c r="BF150" s="230">
        <v>16450</v>
      </c>
      <c r="BG150" s="229">
        <v>4.7</v>
      </c>
      <c r="BH150" s="230">
        <v>27179600</v>
      </c>
      <c r="BI150" s="230">
        <v>5101950</v>
      </c>
      <c r="BJ150" s="230">
        <v>22077650</v>
      </c>
      <c r="BK150" s="229">
        <v>4.3273000000000001</v>
      </c>
      <c r="BL150" s="230">
        <v>10314850</v>
      </c>
      <c r="BM150" s="230">
        <v>1316000</v>
      </c>
      <c r="BN150" s="230">
        <v>8998850</v>
      </c>
      <c r="BO150" s="229">
        <v>6.8380000000000001</v>
      </c>
      <c r="BP150" s="230">
        <v>41430550</v>
      </c>
      <c r="BQ150" s="230">
        <v>7574350</v>
      </c>
      <c r="BR150" s="230">
        <v>33856200</v>
      </c>
      <c r="BS150" s="229">
        <v>4.4698000000000002</v>
      </c>
      <c r="BT150" s="230">
        <v>2710467</v>
      </c>
      <c r="BU150" s="230">
        <v>482488</v>
      </c>
      <c r="BV150" s="230">
        <v>2227979</v>
      </c>
      <c r="BW150" s="229">
        <v>4.6177000000000001</v>
      </c>
      <c r="BX150" s="230">
        <v>4725350</v>
      </c>
      <c r="BY150" s="230">
        <v>5075000</v>
      </c>
      <c r="BZ150" s="230">
        <v>-349650</v>
      </c>
      <c r="CA150" s="229">
        <v>-6.8900000000000003E-2</v>
      </c>
      <c r="CB150" s="230">
        <v>4556650</v>
      </c>
      <c r="CC150" s="230">
        <v>4940600</v>
      </c>
      <c r="CD150" s="230">
        <v>-383950</v>
      </c>
      <c r="CE150" s="229">
        <v>-7.7700000000000005E-2</v>
      </c>
      <c r="CF150" s="230">
        <v>160300</v>
      </c>
      <c r="CG150" s="230">
        <v>127050</v>
      </c>
      <c r="CH150" s="230">
        <v>33250</v>
      </c>
      <c r="CI150" s="229">
        <v>0.26169999999999999</v>
      </c>
      <c r="CJ150" s="230">
        <v>8400</v>
      </c>
      <c r="CK150" s="230">
        <v>7350</v>
      </c>
      <c r="CL150" s="230">
        <v>1050</v>
      </c>
      <c r="CM150" s="229">
        <v>0.1429</v>
      </c>
      <c r="CN150" s="230">
        <v>2619050</v>
      </c>
      <c r="CO150" s="230">
        <v>1953000</v>
      </c>
      <c r="CP150" s="230">
        <v>666050</v>
      </c>
      <c r="CQ150" s="229">
        <v>0.34100000000000003</v>
      </c>
      <c r="CR150" s="230">
        <v>1843800</v>
      </c>
      <c r="CS150" s="230">
        <v>1123150</v>
      </c>
      <c r="CT150" s="230">
        <v>720650</v>
      </c>
      <c r="CU150" s="229">
        <v>0.64159999999999995</v>
      </c>
      <c r="CV150" s="230">
        <v>9188200</v>
      </c>
      <c r="CW150" s="230">
        <v>8151150</v>
      </c>
      <c r="CX150" s="230">
        <v>1037050</v>
      </c>
      <c r="CY150" s="229">
        <v>0.12720000000000001</v>
      </c>
      <c r="CZ150" s="228">
        <v>26.25</v>
      </c>
      <c r="DA150" s="228">
        <v>37.229999999999997</v>
      </c>
      <c r="DB150" s="228">
        <v>-10.98</v>
      </c>
      <c r="DC150" s="228">
        <v>-10.98</v>
      </c>
      <c r="DD150" s="228">
        <v>38.869999999999997</v>
      </c>
      <c r="DE150" s="228">
        <v>38.340000000000003</v>
      </c>
      <c r="DF150" s="228">
        <v>-12.62</v>
      </c>
      <c r="DG150" s="228">
        <v>0.53</v>
      </c>
      <c r="DH150" s="228">
        <v>25.79</v>
      </c>
      <c r="DI150" s="228">
        <v>37.26</v>
      </c>
      <c r="DJ150" s="228">
        <v>-11.47</v>
      </c>
      <c r="DK150" s="228">
        <v>-11.47</v>
      </c>
      <c r="DL150" s="228">
        <v>27.46</v>
      </c>
      <c r="DM150" s="228">
        <v>37.15</v>
      </c>
      <c r="DN150" s="228">
        <v>-9.69</v>
      </c>
      <c r="DO150" s="228">
        <v>-9.69</v>
      </c>
      <c r="DP150" s="228">
        <v>0.7</v>
      </c>
      <c r="DQ150" s="228">
        <v>0.57999999999999996</v>
      </c>
      <c r="DR150" s="228">
        <v>0.12</v>
      </c>
      <c r="DS150" s="229">
        <v>0.2069</v>
      </c>
      <c r="DT150" s="231">
        <v>1700</v>
      </c>
      <c r="DU150" s="231">
        <v>1600</v>
      </c>
      <c r="DV150" s="228">
        <v>0.38</v>
      </c>
      <c r="DW150" s="228">
        <v>0.26</v>
      </c>
      <c r="DX150" s="228">
        <v>0.12</v>
      </c>
      <c r="DY150" s="229">
        <v>0.46150000000000002</v>
      </c>
      <c r="DZ150" s="229">
        <v>3.5700000000000003E-2</v>
      </c>
      <c r="EA150" s="230">
        <v>134400</v>
      </c>
      <c r="EB150" s="229">
        <v>4.1000000000000003E-3</v>
      </c>
      <c r="EC150" s="229">
        <v>3.5700000000000003E-2</v>
      </c>
      <c r="ED150" s="228">
        <v>7.06</v>
      </c>
      <c r="EE150" s="229">
        <v>4.1999999999999997E-3</v>
      </c>
      <c r="EF150" s="230">
        <v>374939</v>
      </c>
      <c r="EG150" s="230">
        <v>228690</v>
      </c>
      <c r="EH150" s="229">
        <v>0.63949999999999996</v>
      </c>
      <c r="EI150" s="229">
        <v>0.13830000000000001</v>
      </c>
      <c r="EJ150" s="231">
        <v>471913.63</v>
      </c>
      <c r="EK150" s="231">
        <v>169222.1</v>
      </c>
      <c r="EL150" s="231">
        <v>66159.820000000007</v>
      </c>
      <c r="EM150" s="231">
        <v>2220</v>
      </c>
      <c r="EN150" s="231">
        <v>707295.55</v>
      </c>
      <c r="EO150" s="231">
        <v>125241.84</v>
      </c>
      <c r="EP150" s="231">
        <v>582053.71</v>
      </c>
      <c r="EQ150" s="229">
        <v>4.6474000000000002</v>
      </c>
      <c r="ER150" s="231">
        <v>44899</v>
      </c>
      <c r="ES150" s="231">
        <v>29685</v>
      </c>
      <c r="ET150" s="231">
        <v>80022</v>
      </c>
      <c r="EU150" s="231">
        <v>17614093</v>
      </c>
      <c r="EV150" s="231">
        <v>154606</v>
      </c>
      <c r="EW150" s="231">
        <v>131922</v>
      </c>
      <c r="EX150" s="231">
        <v>22684</v>
      </c>
      <c r="EY150" s="229">
        <v>0.17199999999999999</v>
      </c>
      <c r="EZ150" s="229">
        <v>0.52159999999999995</v>
      </c>
      <c r="FA150" s="227" t="s">
        <v>556</v>
      </c>
      <c r="FB150" s="161">
        <f t="shared" si="3"/>
        <v>0</v>
      </c>
    </row>
    <row r="151" spans="1:158" ht="17.25" thickBot="1" x14ac:dyDescent="0.3">
      <c r="A151" s="226">
        <v>45946</v>
      </c>
      <c r="B151" s="227" t="s">
        <v>221</v>
      </c>
      <c r="C151" s="227" t="s">
        <v>518</v>
      </c>
      <c r="D151" s="228">
        <v>75</v>
      </c>
      <c r="E151" s="231">
        <v>8797.5</v>
      </c>
      <c r="F151" s="231">
        <v>8724.5</v>
      </c>
      <c r="G151" s="228">
        <v>73</v>
      </c>
      <c r="H151" s="229">
        <v>8.3999999999999995E-3</v>
      </c>
      <c r="I151" s="231">
        <v>8796.5</v>
      </c>
      <c r="J151" s="231">
        <v>8757</v>
      </c>
      <c r="K151" s="228">
        <v>39.5</v>
      </c>
      <c r="L151" s="229">
        <v>4.4999999999999997E-3</v>
      </c>
      <c r="M151" s="231">
        <v>8797.5</v>
      </c>
      <c r="N151" s="231">
        <v>8724.5</v>
      </c>
      <c r="O151" s="228">
        <v>73</v>
      </c>
      <c r="P151" s="229">
        <v>8.3999999999999995E-3</v>
      </c>
      <c r="Q151" s="231">
        <v>8815</v>
      </c>
      <c r="R151" s="231">
        <v>8727.5</v>
      </c>
      <c r="S151" s="228">
        <v>87.5</v>
      </c>
      <c r="T151" s="229">
        <v>0.01</v>
      </c>
      <c r="U151" s="231">
        <v>8838.5</v>
      </c>
      <c r="V151" s="231">
        <v>8760</v>
      </c>
      <c r="W151" s="228">
        <v>78.5</v>
      </c>
      <c r="X151" s="229">
        <v>8.9999999999999993E-3</v>
      </c>
      <c r="Y151" s="228">
        <v>1</v>
      </c>
      <c r="Z151" s="228">
        <v>-32.5</v>
      </c>
      <c r="AA151" s="228">
        <v>33.5</v>
      </c>
      <c r="AB151" s="229">
        <v>1E-4</v>
      </c>
      <c r="AC151" s="228">
        <v>1</v>
      </c>
      <c r="AD151" s="228">
        <v>-32.5</v>
      </c>
      <c r="AE151" s="228">
        <v>33.5</v>
      </c>
      <c r="AF151" s="229">
        <v>1E-4</v>
      </c>
      <c r="AG151" s="228">
        <v>18.5</v>
      </c>
      <c r="AH151" s="228">
        <v>-29.5</v>
      </c>
      <c r="AI151" s="228">
        <v>48</v>
      </c>
      <c r="AJ151" s="229">
        <v>2.0999999999999999E-3</v>
      </c>
      <c r="AK151" s="228">
        <v>42</v>
      </c>
      <c r="AL151" s="228">
        <v>3</v>
      </c>
      <c r="AM151" s="228">
        <v>39</v>
      </c>
      <c r="AN151" s="229">
        <v>4.7999999999999996E-3</v>
      </c>
      <c r="AO151" s="231">
        <v>8765.5300000000007</v>
      </c>
      <c r="AP151" s="231">
        <v>8767.9599999999991</v>
      </c>
      <c r="AQ151" s="228">
        <v>0</v>
      </c>
      <c r="AR151" s="230">
        <v>282675</v>
      </c>
      <c r="AS151" s="230">
        <v>468750</v>
      </c>
      <c r="AT151" s="230">
        <v>-186075</v>
      </c>
      <c r="AU151" s="229">
        <v>-0.39700000000000002</v>
      </c>
      <c r="AV151" s="230">
        <v>236250</v>
      </c>
      <c r="AW151" s="230">
        <v>397275</v>
      </c>
      <c r="AX151" s="230">
        <v>-161025</v>
      </c>
      <c r="AY151" s="229">
        <v>-0.40529999999999999</v>
      </c>
      <c r="AZ151" s="230">
        <v>42075</v>
      </c>
      <c r="BA151" s="230">
        <v>67725</v>
      </c>
      <c r="BB151" s="230">
        <v>-25650</v>
      </c>
      <c r="BC151" s="229">
        <v>-0.37869999999999998</v>
      </c>
      <c r="BD151" s="230">
        <v>4350</v>
      </c>
      <c r="BE151" s="230">
        <v>3750</v>
      </c>
      <c r="BF151" s="228">
        <v>600</v>
      </c>
      <c r="BG151" s="229">
        <v>0.16</v>
      </c>
      <c r="BH151" s="230">
        <v>939150</v>
      </c>
      <c r="BI151" s="230">
        <v>1370100</v>
      </c>
      <c r="BJ151" s="230">
        <v>-430950</v>
      </c>
      <c r="BK151" s="229">
        <v>-0.3145</v>
      </c>
      <c r="BL151" s="230">
        <v>414600</v>
      </c>
      <c r="BM151" s="230">
        <v>895125</v>
      </c>
      <c r="BN151" s="230">
        <v>-480525</v>
      </c>
      <c r="BO151" s="229">
        <v>-0.53680000000000005</v>
      </c>
      <c r="BP151" s="230">
        <v>1636425</v>
      </c>
      <c r="BQ151" s="230">
        <v>2733975</v>
      </c>
      <c r="BR151" s="230">
        <v>-1097550</v>
      </c>
      <c r="BS151" s="229">
        <v>-0.40139999999999998</v>
      </c>
      <c r="BT151" s="230">
        <v>107218</v>
      </c>
      <c r="BU151" s="230">
        <v>156941</v>
      </c>
      <c r="BV151" s="230">
        <v>-49723</v>
      </c>
      <c r="BW151" s="229">
        <v>-0.31680000000000003</v>
      </c>
      <c r="BX151" s="230">
        <v>1219425</v>
      </c>
      <c r="BY151" s="230">
        <v>1174725</v>
      </c>
      <c r="BZ151" s="230">
        <v>44700</v>
      </c>
      <c r="CA151" s="229">
        <v>3.8100000000000002E-2</v>
      </c>
      <c r="CB151" s="230">
        <v>1137525</v>
      </c>
      <c r="CC151" s="230">
        <v>1105950</v>
      </c>
      <c r="CD151" s="230">
        <v>31575</v>
      </c>
      <c r="CE151" s="229">
        <v>2.86E-2</v>
      </c>
      <c r="CF151" s="230">
        <v>71925</v>
      </c>
      <c r="CG151" s="230">
        <v>61425</v>
      </c>
      <c r="CH151" s="230">
        <v>10500</v>
      </c>
      <c r="CI151" s="229">
        <v>0.1709</v>
      </c>
      <c r="CJ151" s="230">
        <v>9975</v>
      </c>
      <c r="CK151" s="230">
        <v>7350</v>
      </c>
      <c r="CL151" s="230">
        <v>2625</v>
      </c>
      <c r="CM151" s="229">
        <v>0.35709999999999997</v>
      </c>
      <c r="CN151" s="230">
        <v>788400</v>
      </c>
      <c r="CO151" s="230">
        <v>753450</v>
      </c>
      <c r="CP151" s="230">
        <v>34950</v>
      </c>
      <c r="CQ151" s="229">
        <v>4.6399999999999997E-2</v>
      </c>
      <c r="CR151" s="230">
        <v>424350</v>
      </c>
      <c r="CS151" s="230">
        <v>403425</v>
      </c>
      <c r="CT151" s="230">
        <v>20925</v>
      </c>
      <c r="CU151" s="229">
        <v>5.1900000000000002E-2</v>
      </c>
      <c r="CV151" s="230">
        <v>2432175</v>
      </c>
      <c r="CW151" s="230">
        <v>2331600</v>
      </c>
      <c r="CX151" s="230">
        <v>100575</v>
      </c>
      <c r="CY151" s="229">
        <v>4.3099999999999999E-2</v>
      </c>
      <c r="CZ151" s="228">
        <v>41.72</v>
      </c>
      <c r="DA151" s="228">
        <v>42.76</v>
      </c>
      <c r="DB151" s="228">
        <v>-1.04</v>
      </c>
      <c r="DC151" s="228">
        <v>-1.04</v>
      </c>
      <c r="DD151" s="228">
        <v>41.83</v>
      </c>
      <c r="DE151" s="228">
        <v>41.93</v>
      </c>
      <c r="DF151" s="228">
        <v>-0.11</v>
      </c>
      <c r="DG151" s="228">
        <v>-0.1</v>
      </c>
      <c r="DH151" s="228">
        <v>42.1</v>
      </c>
      <c r="DI151" s="228">
        <v>43.36</v>
      </c>
      <c r="DJ151" s="228">
        <v>-1.26</v>
      </c>
      <c r="DK151" s="228">
        <v>-1.26</v>
      </c>
      <c r="DL151" s="228">
        <v>40.880000000000003</v>
      </c>
      <c r="DM151" s="228">
        <v>41.84</v>
      </c>
      <c r="DN151" s="228">
        <v>-0.96</v>
      </c>
      <c r="DO151" s="228">
        <v>-0.96</v>
      </c>
      <c r="DP151" s="228">
        <v>0.54</v>
      </c>
      <c r="DQ151" s="228">
        <v>0.54</v>
      </c>
      <c r="DR151" s="228">
        <v>0</v>
      </c>
      <c r="DS151" s="229">
        <v>0</v>
      </c>
      <c r="DT151" s="231">
        <v>9500</v>
      </c>
      <c r="DU151" s="231">
        <v>8500</v>
      </c>
      <c r="DV151" s="228">
        <v>0.44</v>
      </c>
      <c r="DW151" s="228">
        <v>0.65</v>
      </c>
      <c r="DX151" s="228">
        <v>-0.21</v>
      </c>
      <c r="DY151" s="229">
        <v>-0.3231</v>
      </c>
      <c r="DZ151" s="229">
        <v>6.7199999999999996E-2</v>
      </c>
      <c r="EA151" s="230">
        <v>68775</v>
      </c>
      <c r="EB151" s="229">
        <v>2E-3</v>
      </c>
      <c r="EC151" s="229">
        <v>6.7199999999999996E-2</v>
      </c>
      <c r="ED151" s="228">
        <v>2.4300000000000002</v>
      </c>
      <c r="EE151" s="229">
        <v>2.9999999999999997E-4</v>
      </c>
      <c r="EF151" s="230">
        <v>37392</v>
      </c>
      <c r="EG151" s="230">
        <v>50630</v>
      </c>
      <c r="EH151" s="229">
        <v>-0.26150000000000001</v>
      </c>
      <c r="EI151" s="229">
        <v>0.34870000000000001</v>
      </c>
      <c r="EJ151" s="231">
        <v>87675.74</v>
      </c>
      <c r="EK151" s="231">
        <v>36079.800000000003</v>
      </c>
      <c r="EL151" s="231">
        <v>24780.41</v>
      </c>
      <c r="EM151" s="231">
        <v>4375</v>
      </c>
      <c r="EN151" s="231">
        <v>148535.95000000001</v>
      </c>
      <c r="EO151" s="231">
        <v>249492.87</v>
      </c>
      <c r="EP151" s="231">
        <v>-100956.92</v>
      </c>
      <c r="EQ151" s="229">
        <v>-0.40460000000000002</v>
      </c>
      <c r="ER151" s="231">
        <v>74615</v>
      </c>
      <c r="ES151" s="231">
        <v>36370</v>
      </c>
      <c r="ET151" s="231">
        <v>107296</v>
      </c>
      <c r="EU151" s="231">
        <v>3401732</v>
      </c>
      <c r="EV151" s="231">
        <v>218280</v>
      </c>
      <c r="EW151" s="231">
        <v>208586</v>
      </c>
      <c r="EX151" s="231">
        <v>9694</v>
      </c>
      <c r="EY151" s="229">
        <v>4.65E-2</v>
      </c>
      <c r="EZ151" s="229">
        <v>0.71499999999999997</v>
      </c>
      <c r="FA151" s="227" t="s">
        <v>555</v>
      </c>
      <c r="FB151" s="161">
        <f t="shared" si="3"/>
        <v>0</v>
      </c>
    </row>
    <row r="152" spans="1:158" ht="17.25" thickBot="1" x14ac:dyDescent="0.3">
      <c r="A152" s="226">
        <v>45946</v>
      </c>
      <c r="B152" s="227" t="s">
        <v>193</v>
      </c>
      <c r="C152" s="227" t="s">
        <v>587</v>
      </c>
      <c r="D152" s="228">
        <v>1400</v>
      </c>
      <c r="E152" s="228">
        <v>416.3</v>
      </c>
      <c r="F152" s="228">
        <v>421.15</v>
      </c>
      <c r="G152" s="228">
        <v>-4.8499999999999996</v>
      </c>
      <c r="H152" s="229">
        <v>-1.15E-2</v>
      </c>
      <c r="I152" s="228">
        <v>417.25</v>
      </c>
      <c r="J152" s="228">
        <v>423.05</v>
      </c>
      <c r="K152" s="228">
        <v>-5.8</v>
      </c>
      <c r="L152" s="229">
        <v>-1.37E-2</v>
      </c>
      <c r="M152" s="228">
        <v>416.3</v>
      </c>
      <c r="N152" s="228">
        <v>421.15</v>
      </c>
      <c r="O152" s="228">
        <v>-4.8499999999999996</v>
      </c>
      <c r="P152" s="229">
        <v>-1.15E-2</v>
      </c>
      <c r="Q152" s="228">
        <v>416.25</v>
      </c>
      <c r="R152" s="228">
        <v>420.4</v>
      </c>
      <c r="S152" s="228">
        <v>-4.1500000000000004</v>
      </c>
      <c r="T152" s="229">
        <v>-9.9000000000000008E-3</v>
      </c>
      <c r="U152" s="228">
        <v>417.75</v>
      </c>
      <c r="V152" s="228">
        <v>422.8</v>
      </c>
      <c r="W152" s="228">
        <v>-5.05</v>
      </c>
      <c r="X152" s="229">
        <v>-1.1900000000000001E-2</v>
      </c>
      <c r="Y152" s="228">
        <v>-0.95</v>
      </c>
      <c r="Z152" s="228">
        <v>-1.9</v>
      </c>
      <c r="AA152" s="228">
        <v>0.95</v>
      </c>
      <c r="AB152" s="229">
        <v>-2.3E-3</v>
      </c>
      <c r="AC152" s="228">
        <v>-0.95</v>
      </c>
      <c r="AD152" s="228">
        <v>-1.9</v>
      </c>
      <c r="AE152" s="228">
        <v>0.95</v>
      </c>
      <c r="AF152" s="229">
        <v>-2.3E-3</v>
      </c>
      <c r="AG152" s="228">
        <v>-1</v>
      </c>
      <c r="AH152" s="228">
        <v>-2.65</v>
      </c>
      <c r="AI152" s="228">
        <v>1.65</v>
      </c>
      <c r="AJ152" s="229">
        <v>-2.3999999999999998E-3</v>
      </c>
      <c r="AK152" s="228">
        <v>0.5</v>
      </c>
      <c r="AL152" s="228">
        <v>-0.25</v>
      </c>
      <c r="AM152" s="228">
        <v>0.75</v>
      </c>
      <c r="AN152" s="229">
        <v>1.1999999999999999E-3</v>
      </c>
      <c r="AO152" s="228">
        <v>417.15</v>
      </c>
      <c r="AP152" s="228">
        <v>416.79</v>
      </c>
      <c r="AQ152" s="228">
        <v>0</v>
      </c>
      <c r="AR152" s="230">
        <v>1517600</v>
      </c>
      <c r="AS152" s="230">
        <v>1972600</v>
      </c>
      <c r="AT152" s="230">
        <v>-455000</v>
      </c>
      <c r="AU152" s="229">
        <v>-0.23069999999999999</v>
      </c>
      <c r="AV152" s="230">
        <v>1198400</v>
      </c>
      <c r="AW152" s="230">
        <v>1678600</v>
      </c>
      <c r="AX152" s="230">
        <v>-480200</v>
      </c>
      <c r="AY152" s="229">
        <v>-0.28610000000000002</v>
      </c>
      <c r="AZ152" s="230">
        <v>295400</v>
      </c>
      <c r="BA152" s="230">
        <v>253400</v>
      </c>
      <c r="BB152" s="230">
        <v>42000</v>
      </c>
      <c r="BC152" s="229">
        <v>0.16569999999999999</v>
      </c>
      <c r="BD152" s="230">
        <v>23800</v>
      </c>
      <c r="BE152" s="230">
        <v>40600</v>
      </c>
      <c r="BF152" s="230">
        <v>-16800</v>
      </c>
      <c r="BG152" s="229">
        <v>-0.4138</v>
      </c>
      <c r="BH152" s="230">
        <v>3192000</v>
      </c>
      <c r="BI152" s="230">
        <v>4312000</v>
      </c>
      <c r="BJ152" s="230">
        <v>-1120000</v>
      </c>
      <c r="BK152" s="229">
        <v>-0.25969999999999999</v>
      </c>
      <c r="BL152" s="230">
        <v>1663200</v>
      </c>
      <c r="BM152" s="230">
        <v>2025800</v>
      </c>
      <c r="BN152" s="230">
        <v>-362600</v>
      </c>
      <c r="BO152" s="229">
        <v>-0.17899999999999999</v>
      </c>
      <c r="BP152" s="230">
        <v>6372800</v>
      </c>
      <c r="BQ152" s="230">
        <v>8310400</v>
      </c>
      <c r="BR152" s="230">
        <v>-1937600</v>
      </c>
      <c r="BS152" s="229">
        <v>-0.23319999999999999</v>
      </c>
      <c r="BT152" s="230">
        <v>1730172</v>
      </c>
      <c r="BU152" s="230">
        <v>2378366</v>
      </c>
      <c r="BV152" s="230">
        <v>-648194</v>
      </c>
      <c r="BW152" s="229">
        <v>-0.27250000000000002</v>
      </c>
      <c r="BX152" s="230">
        <v>10802400</v>
      </c>
      <c r="BY152" s="230">
        <v>10630200</v>
      </c>
      <c r="BZ152" s="230">
        <v>172200</v>
      </c>
      <c r="CA152" s="229">
        <v>1.6199999999999999E-2</v>
      </c>
      <c r="CB152" s="230">
        <v>10141600</v>
      </c>
      <c r="CC152" s="230">
        <v>10063200</v>
      </c>
      <c r="CD152" s="230">
        <v>78400</v>
      </c>
      <c r="CE152" s="229">
        <v>7.7999999999999996E-3</v>
      </c>
      <c r="CF152" s="230">
        <v>567000</v>
      </c>
      <c r="CG152" s="230">
        <v>483000</v>
      </c>
      <c r="CH152" s="230">
        <v>84000</v>
      </c>
      <c r="CI152" s="229">
        <v>0.1739</v>
      </c>
      <c r="CJ152" s="230">
        <v>93800</v>
      </c>
      <c r="CK152" s="230">
        <v>84000</v>
      </c>
      <c r="CL152" s="230">
        <v>9800</v>
      </c>
      <c r="CM152" s="229">
        <v>0.1167</v>
      </c>
      <c r="CN152" s="230">
        <v>6307000</v>
      </c>
      <c r="CO152" s="230">
        <v>6158600</v>
      </c>
      <c r="CP152" s="230">
        <v>148400</v>
      </c>
      <c r="CQ152" s="229">
        <v>2.41E-2</v>
      </c>
      <c r="CR152" s="230">
        <v>3393600</v>
      </c>
      <c r="CS152" s="230">
        <v>3350200</v>
      </c>
      <c r="CT152" s="230">
        <v>43400</v>
      </c>
      <c r="CU152" s="229">
        <v>1.2999999999999999E-2</v>
      </c>
      <c r="CV152" s="230">
        <v>20503000</v>
      </c>
      <c r="CW152" s="230">
        <v>20139000</v>
      </c>
      <c r="CX152" s="230">
        <v>364000</v>
      </c>
      <c r="CY152" s="229">
        <v>1.8100000000000002E-2</v>
      </c>
      <c r="CZ152" s="228">
        <v>27.42</v>
      </c>
      <c r="DA152" s="228">
        <v>28.9</v>
      </c>
      <c r="DB152" s="228">
        <v>-1.48</v>
      </c>
      <c r="DC152" s="228">
        <v>-1.48</v>
      </c>
      <c r="DD152" s="228">
        <v>44.48</v>
      </c>
      <c r="DE152" s="228">
        <v>44.56</v>
      </c>
      <c r="DF152" s="228">
        <v>-17.059999999999999</v>
      </c>
      <c r="DG152" s="228">
        <v>-0.08</v>
      </c>
      <c r="DH152" s="228">
        <v>27.54</v>
      </c>
      <c r="DI152" s="228">
        <v>29.1</v>
      </c>
      <c r="DJ152" s="228">
        <v>-1.56</v>
      </c>
      <c r="DK152" s="228">
        <v>-1.56</v>
      </c>
      <c r="DL152" s="228">
        <v>27.19</v>
      </c>
      <c r="DM152" s="228">
        <v>28.46</v>
      </c>
      <c r="DN152" s="228">
        <v>-1.27</v>
      </c>
      <c r="DO152" s="228">
        <v>-1.27</v>
      </c>
      <c r="DP152" s="228">
        <v>0.54</v>
      </c>
      <c r="DQ152" s="228">
        <v>0.54</v>
      </c>
      <c r="DR152" s="228">
        <v>0</v>
      </c>
      <c r="DS152" s="229">
        <v>0</v>
      </c>
      <c r="DT152" s="228">
        <v>420</v>
      </c>
      <c r="DU152" s="228">
        <v>420</v>
      </c>
      <c r="DV152" s="228">
        <v>0.52</v>
      </c>
      <c r="DW152" s="228">
        <v>0.47</v>
      </c>
      <c r="DX152" s="228">
        <v>0.05</v>
      </c>
      <c r="DY152" s="229">
        <v>0.10639999999999999</v>
      </c>
      <c r="DZ152" s="229">
        <v>6.1199999999999997E-2</v>
      </c>
      <c r="EA152" s="230">
        <v>567000</v>
      </c>
      <c r="EB152" s="229">
        <v>-1E-4</v>
      </c>
      <c r="EC152" s="229">
        <v>6.1199999999999997E-2</v>
      </c>
      <c r="ED152" s="228">
        <v>-0.36</v>
      </c>
      <c r="EE152" s="229">
        <v>-8.9999999999999998E-4</v>
      </c>
      <c r="EF152" s="230">
        <v>951675</v>
      </c>
      <c r="EG152" s="230">
        <v>1439334</v>
      </c>
      <c r="EH152" s="229">
        <v>-0.33879999999999999</v>
      </c>
      <c r="EI152" s="229">
        <v>0.55000000000000004</v>
      </c>
      <c r="EJ152" s="231">
        <v>13860.18</v>
      </c>
      <c r="EK152" s="231">
        <v>6826.8</v>
      </c>
      <c r="EL152" s="231">
        <v>6329.89</v>
      </c>
      <c r="EM152" s="231">
        <v>1392</v>
      </c>
      <c r="EN152" s="231">
        <v>27016.87</v>
      </c>
      <c r="EO152" s="231">
        <v>35471.769999999997</v>
      </c>
      <c r="EP152" s="231">
        <v>-8454.9</v>
      </c>
      <c r="EQ152" s="229">
        <v>-0.2384</v>
      </c>
      <c r="ER152" s="231">
        <v>27505</v>
      </c>
      <c r="ES152" s="231">
        <v>13688</v>
      </c>
      <c r="ET152" s="231">
        <v>44971</v>
      </c>
      <c r="EU152" s="231">
        <v>94123587</v>
      </c>
      <c r="EV152" s="231">
        <v>86165</v>
      </c>
      <c r="EW152" s="231">
        <v>85142</v>
      </c>
      <c r="EX152" s="231">
        <v>1023</v>
      </c>
      <c r="EY152" s="229">
        <v>1.2E-2</v>
      </c>
      <c r="EZ152" s="229">
        <v>0.21779999999999999</v>
      </c>
      <c r="FA152" s="227" t="s">
        <v>567</v>
      </c>
      <c r="FB152" s="161">
        <f t="shared" si="3"/>
        <v>0</v>
      </c>
    </row>
    <row r="153" spans="1:158" ht="17.25" thickBot="1" x14ac:dyDescent="0.3">
      <c r="A153" s="226">
        <v>45946</v>
      </c>
      <c r="B153" s="227" t="s">
        <v>193</v>
      </c>
      <c r="C153" s="227" t="s">
        <v>269</v>
      </c>
      <c r="D153" s="228">
        <v>2250</v>
      </c>
      <c r="E153" s="228">
        <v>248.59</v>
      </c>
      <c r="F153" s="228">
        <v>248.07</v>
      </c>
      <c r="G153" s="228">
        <v>0.52</v>
      </c>
      <c r="H153" s="229">
        <v>2.0999999999999999E-3</v>
      </c>
      <c r="I153" s="228">
        <v>248.35</v>
      </c>
      <c r="J153" s="228">
        <v>247.72</v>
      </c>
      <c r="K153" s="228">
        <v>0.63</v>
      </c>
      <c r="L153" s="229">
        <v>2.5000000000000001E-3</v>
      </c>
      <c r="M153" s="228">
        <v>248.59</v>
      </c>
      <c r="N153" s="228">
        <v>248.07</v>
      </c>
      <c r="O153" s="228">
        <v>0.52</v>
      </c>
      <c r="P153" s="229">
        <v>2.0999999999999999E-3</v>
      </c>
      <c r="Q153" s="228">
        <v>249.79</v>
      </c>
      <c r="R153" s="228">
        <v>249.28</v>
      </c>
      <c r="S153" s="228">
        <v>0.51</v>
      </c>
      <c r="T153" s="229">
        <v>2E-3</v>
      </c>
      <c r="U153" s="228">
        <v>251.19</v>
      </c>
      <c r="V153" s="228">
        <v>250.68</v>
      </c>
      <c r="W153" s="228">
        <v>0.51</v>
      </c>
      <c r="X153" s="229">
        <v>2E-3</v>
      </c>
      <c r="Y153" s="228">
        <v>0.24</v>
      </c>
      <c r="Z153" s="228">
        <v>0.35</v>
      </c>
      <c r="AA153" s="228">
        <v>-0.11</v>
      </c>
      <c r="AB153" s="229">
        <v>1E-3</v>
      </c>
      <c r="AC153" s="228">
        <v>0.24</v>
      </c>
      <c r="AD153" s="228">
        <v>0.35</v>
      </c>
      <c r="AE153" s="228">
        <v>-0.11</v>
      </c>
      <c r="AF153" s="229">
        <v>1E-3</v>
      </c>
      <c r="AG153" s="228">
        <v>1.44</v>
      </c>
      <c r="AH153" s="228">
        <v>1.56</v>
      </c>
      <c r="AI153" s="228">
        <v>-0.12</v>
      </c>
      <c r="AJ153" s="229">
        <v>5.7999999999999996E-3</v>
      </c>
      <c r="AK153" s="228">
        <v>2.84</v>
      </c>
      <c r="AL153" s="228">
        <v>2.96</v>
      </c>
      <c r="AM153" s="228">
        <v>-0.12</v>
      </c>
      <c r="AN153" s="229">
        <v>1.14E-2</v>
      </c>
      <c r="AO153" s="228">
        <v>247.86</v>
      </c>
      <c r="AP153" s="228">
        <v>249.02</v>
      </c>
      <c r="AQ153" s="228">
        <v>0</v>
      </c>
      <c r="AR153" s="230">
        <v>9216000</v>
      </c>
      <c r="AS153" s="230">
        <v>8309250</v>
      </c>
      <c r="AT153" s="230">
        <v>906750</v>
      </c>
      <c r="AU153" s="229">
        <v>0.1091</v>
      </c>
      <c r="AV153" s="230">
        <v>7929000</v>
      </c>
      <c r="AW153" s="230">
        <v>6878250</v>
      </c>
      <c r="AX153" s="230">
        <v>1050750</v>
      </c>
      <c r="AY153" s="229">
        <v>0.15279999999999999</v>
      </c>
      <c r="AZ153" s="230">
        <v>1199250</v>
      </c>
      <c r="BA153" s="230">
        <v>1368000</v>
      </c>
      <c r="BB153" s="230">
        <v>-168750</v>
      </c>
      <c r="BC153" s="229">
        <v>-0.1234</v>
      </c>
      <c r="BD153" s="230">
        <v>87750</v>
      </c>
      <c r="BE153" s="230">
        <v>63000</v>
      </c>
      <c r="BF153" s="230">
        <v>24750</v>
      </c>
      <c r="BG153" s="229">
        <v>0.39290000000000003</v>
      </c>
      <c r="BH153" s="230">
        <v>28296000</v>
      </c>
      <c r="BI153" s="230">
        <v>33660000</v>
      </c>
      <c r="BJ153" s="230">
        <v>-5364000</v>
      </c>
      <c r="BK153" s="229">
        <v>-0.15939999999999999</v>
      </c>
      <c r="BL153" s="230">
        <v>17388000</v>
      </c>
      <c r="BM153" s="230">
        <v>23217750</v>
      </c>
      <c r="BN153" s="230">
        <v>-5829750</v>
      </c>
      <c r="BO153" s="229">
        <v>-0.25109999999999999</v>
      </c>
      <c r="BP153" s="230">
        <v>54900000</v>
      </c>
      <c r="BQ153" s="230">
        <v>65187000</v>
      </c>
      <c r="BR153" s="230">
        <v>-10287000</v>
      </c>
      <c r="BS153" s="229">
        <v>-0.1578</v>
      </c>
      <c r="BT153" s="230">
        <v>6373204</v>
      </c>
      <c r="BU153" s="230">
        <v>8985954</v>
      </c>
      <c r="BV153" s="230">
        <v>-2612750</v>
      </c>
      <c r="BW153" s="229">
        <v>-0.2908</v>
      </c>
      <c r="BX153" s="230">
        <v>97456500</v>
      </c>
      <c r="BY153" s="230">
        <v>96939000</v>
      </c>
      <c r="BZ153" s="230">
        <v>517500</v>
      </c>
      <c r="CA153" s="229">
        <v>5.3E-3</v>
      </c>
      <c r="CB153" s="230">
        <v>93631500</v>
      </c>
      <c r="CC153" s="230">
        <v>93613500</v>
      </c>
      <c r="CD153" s="230">
        <v>18000</v>
      </c>
      <c r="CE153" s="229">
        <v>2.0000000000000001E-4</v>
      </c>
      <c r="CF153" s="230">
        <v>3519000</v>
      </c>
      <c r="CG153" s="230">
        <v>3039750</v>
      </c>
      <c r="CH153" s="230">
        <v>479250</v>
      </c>
      <c r="CI153" s="229">
        <v>0.15770000000000001</v>
      </c>
      <c r="CJ153" s="230">
        <v>306000</v>
      </c>
      <c r="CK153" s="230">
        <v>285750</v>
      </c>
      <c r="CL153" s="230">
        <v>20250</v>
      </c>
      <c r="CM153" s="229">
        <v>7.0900000000000005E-2</v>
      </c>
      <c r="CN153" s="230">
        <v>55698750</v>
      </c>
      <c r="CO153" s="230">
        <v>55541250</v>
      </c>
      <c r="CP153" s="230">
        <v>157500</v>
      </c>
      <c r="CQ153" s="229">
        <v>2.8E-3</v>
      </c>
      <c r="CR153" s="230">
        <v>23015250</v>
      </c>
      <c r="CS153" s="230">
        <v>22257000</v>
      </c>
      <c r="CT153" s="230">
        <v>758250</v>
      </c>
      <c r="CU153" s="229">
        <v>3.4099999999999998E-2</v>
      </c>
      <c r="CV153" s="230">
        <v>176170500</v>
      </c>
      <c r="CW153" s="230">
        <v>174737250</v>
      </c>
      <c r="CX153" s="230">
        <v>1433250</v>
      </c>
      <c r="CY153" s="229">
        <v>8.2000000000000007E-3</v>
      </c>
      <c r="CZ153" s="228">
        <v>17.649999999999999</v>
      </c>
      <c r="DA153" s="228">
        <v>18.329999999999998</v>
      </c>
      <c r="DB153" s="228">
        <v>-0.68</v>
      </c>
      <c r="DC153" s="228">
        <v>-0.68</v>
      </c>
      <c r="DD153" s="228">
        <v>32.24</v>
      </c>
      <c r="DE153" s="228">
        <v>32.32</v>
      </c>
      <c r="DF153" s="228">
        <v>-14.59</v>
      </c>
      <c r="DG153" s="228">
        <v>-0.08</v>
      </c>
      <c r="DH153" s="228">
        <v>16.87</v>
      </c>
      <c r="DI153" s="228">
        <v>17.32</v>
      </c>
      <c r="DJ153" s="228">
        <v>-0.45</v>
      </c>
      <c r="DK153" s="228">
        <v>-0.45</v>
      </c>
      <c r="DL153" s="228">
        <v>18.920000000000002</v>
      </c>
      <c r="DM153" s="228">
        <v>19.8</v>
      </c>
      <c r="DN153" s="228">
        <v>-0.88</v>
      </c>
      <c r="DO153" s="228">
        <v>-0.88</v>
      </c>
      <c r="DP153" s="228">
        <v>0.41</v>
      </c>
      <c r="DQ153" s="228">
        <v>0.4</v>
      </c>
      <c r="DR153" s="228">
        <v>0.01</v>
      </c>
      <c r="DS153" s="229">
        <v>2.5000000000000001E-2</v>
      </c>
      <c r="DT153" s="228">
        <v>250</v>
      </c>
      <c r="DU153" s="228">
        <v>240</v>
      </c>
      <c r="DV153" s="228">
        <v>0.61</v>
      </c>
      <c r="DW153" s="228">
        <v>0.69</v>
      </c>
      <c r="DX153" s="228">
        <v>-0.08</v>
      </c>
      <c r="DY153" s="229">
        <v>-0.1159</v>
      </c>
      <c r="DZ153" s="229">
        <v>3.9199999999999999E-2</v>
      </c>
      <c r="EA153" s="230">
        <v>3325500</v>
      </c>
      <c r="EB153" s="229">
        <v>4.7999999999999996E-3</v>
      </c>
      <c r="EC153" s="229">
        <v>3.9199999999999999E-2</v>
      </c>
      <c r="ED153" s="228">
        <v>1.1599999999999999</v>
      </c>
      <c r="EE153" s="229">
        <v>4.7000000000000002E-3</v>
      </c>
      <c r="EF153" s="230">
        <v>3625360</v>
      </c>
      <c r="EG153" s="230">
        <v>5391993</v>
      </c>
      <c r="EH153" s="229">
        <v>-0.3276</v>
      </c>
      <c r="EI153" s="229">
        <v>0.56879999999999997</v>
      </c>
      <c r="EJ153" s="231">
        <v>71797.81</v>
      </c>
      <c r="EK153" s="231">
        <v>42725.56</v>
      </c>
      <c r="EL153" s="231">
        <v>22858.68</v>
      </c>
      <c r="EM153" s="231">
        <v>5135</v>
      </c>
      <c r="EN153" s="231">
        <v>137382.04999999999</v>
      </c>
      <c r="EO153" s="231">
        <v>162832.47</v>
      </c>
      <c r="EP153" s="231">
        <v>-25450.42</v>
      </c>
      <c r="EQ153" s="229">
        <v>-0.15629999999999999</v>
      </c>
      <c r="ER153" s="231">
        <v>140122</v>
      </c>
      <c r="ES153" s="231">
        <v>55729</v>
      </c>
      <c r="ET153" s="231">
        <v>242317</v>
      </c>
      <c r="EU153" s="231">
        <v>517141211</v>
      </c>
      <c r="EV153" s="231">
        <v>438168</v>
      </c>
      <c r="EW153" s="231">
        <v>434011</v>
      </c>
      <c r="EX153" s="231">
        <v>4157</v>
      </c>
      <c r="EY153" s="229">
        <v>9.5999999999999992E-3</v>
      </c>
      <c r="EZ153" s="229">
        <v>0.3407</v>
      </c>
      <c r="FA153" s="227" t="s">
        <v>555</v>
      </c>
      <c r="FB153" s="161">
        <f>BX228-CB228</f>
        <v>0</v>
      </c>
    </row>
    <row r="154" spans="1:158" ht="17.25" thickBot="1" x14ac:dyDescent="0.3">
      <c r="A154" s="226">
        <v>45946</v>
      </c>
      <c r="B154" s="227" t="s">
        <v>197</v>
      </c>
      <c r="C154" s="227" t="s">
        <v>270</v>
      </c>
      <c r="D154" s="228">
        <v>15</v>
      </c>
      <c r="E154" s="231">
        <v>41180</v>
      </c>
      <c r="F154" s="231">
        <v>40630</v>
      </c>
      <c r="G154" s="228">
        <v>550</v>
      </c>
      <c r="H154" s="229">
        <v>1.35E-2</v>
      </c>
      <c r="I154" s="231">
        <v>41020</v>
      </c>
      <c r="J154" s="231">
        <v>40535</v>
      </c>
      <c r="K154" s="228">
        <v>485</v>
      </c>
      <c r="L154" s="229">
        <v>1.2E-2</v>
      </c>
      <c r="M154" s="231">
        <v>41180</v>
      </c>
      <c r="N154" s="231">
        <v>40630</v>
      </c>
      <c r="O154" s="228">
        <v>550</v>
      </c>
      <c r="P154" s="229">
        <v>1.35E-2</v>
      </c>
      <c r="Q154" s="231">
        <v>40420</v>
      </c>
      <c r="R154" s="231">
        <v>39880</v>
      </c>
      <c r="S154" s="228">
        <v>540</v>
      </c>
      <c r="T154" s="229">
        <v>1.35E-2</v>
      </c>
      <c r="U154" s="231">
        <v>40215</v>
      </c>
      <c r="V154" s="231">
        <v>39640</v>
      </c>
      <c r="W154" s="228">
        <v>575</v>
      </c>
      <c r="X154" s="229">
        <v>1.4500000000000001E-2</v>
      </c>
      <c r="Y154" s="228">
        <v>160</v>
      </c>
      <c r="Z154" s="228">
        <v>95</v>
      </c>
      <c r="AA154" s="228">
        <v>65</v>
      </c>
      <c r="AB154" s="229">
        <v>3.8999999999999998E-3</v>
      </c>
      <c r="AC154" s="228">
        <v>160</v>
      </c>
      <c r="AD154" s="228">
        <v>95</v>
      </c>
      <c r="AE154" s="228">
        <v>65</v>
      </c>
      <c r="AF154" s="229">
        <v>3.8999999999999998E-3</v>
      </c>
      <c r="AG154" s="228">
        <v>-600</v>
      </c>
      <c r="AH154" s="228">
        <v>-655</v>
      </c>
      <c r="AI154" s="228">
        <v>55</v>
      </c>
      <c r="AJ154" s="229">
        <v>-1.46E-2</v>
      </c>
      <c r="AK154" s="228">
        <v>-805</v>
      </c>
      <c r="AL154" s="228">
        <v>-895</v>
      </c>
      <c r="AM154" s="228">
        <v>90</v>
      </c>
      <c r="AN154" s="229">
        <v>-1.9599999999999999E-2</v>
      </c>
      <c r="AO154" s="231">
        <v>41128.82</v>
      </c>
      <c r="AP154" s="231">
        <v>40310.51</v>
      </c>
      <c r="AQ154" s="228">
        <v>0</v>
      </c>
      <c r="AR154" s="230">
        <v>38610</v>
      </c>
      <c r="AS154" s="230">
        <v>26790</v>
      </c>
      <c r="AT154" s="230">
        <v>11820</v>
      </c>
      <c r="AU154" s="229">
        <v>0.44119999999999998</v>
      </c>
      <c r="AV154" s="230">
        <v>28575</v>
      </c>
      <c r="AW154" s="230">
        <v>21135</v>
      </c>
      <c r="AX154" s="230">
        <v>7440</v>
      </c>
      <c r="AY154" s="229">
        <v>0.35199999999999998</v>
      </c>
      <c r="AZ154" s="230">
        <v>8805</v>
      </c>
      <c r="BA154" s="230">
        <v>5475</v>
      </c>
      <c r="BB154" s="230">
        <v>3330</v>
      </c>
      <c r="BC154" s="229">
        <v>0.60819999999999996</v>
      </c>
      <c r="BD154" s="230">
        <v>1230</v>
      </c>
      <c r="BE154" s="228">
        <v>180</v>
      </c>
      <c r="BF154" s="230">
        <v>1050</v>
      </c>
      <c r="BG154" s="229">
        <v>5.8333000000000004</v>
      </c>
      <c r="BH154" s="230">
        <v>179220</v>
      </c>
      <c r="BI154" s="230">
        <v>165255</v>
      </c>
      <c r="BJ154" s="230">
        <v>13965</v>
      </c>
      <c r="BK154" s="229">
        <v>8.4500000000000006E-2</v>
      </c>
      <c r="BL154" s="230">
        <v>44835</v>
      </c>
      <c r="BM154" s="230">
        <v>14250</v>
      </c>
      <c r="BN154" s="230">
        <v>30585</v>
      </c>
      <c r="BO154" s="229">
        <v>2.1463000000000001</v>
      </c>
      <c r="BP154" s="230">
        <v>262665</v>
      </c>
      <c r="BQ154" s="230">
        <v>206295</v>
      </c>
      <c r="BR154" s="230">
        <v>56370</v>
      </c>
      <c r="BS154" s="229">
        <v>0.2732</v>
      </c>
      <c r="BT154" s="230">
        <v>14707</v>
      </c>
      <c r="BU154" s="230">
        <v>14665</v>
      </c>
      <c r="BV154" s="228">
        <v>42</v>
      </c>
      <c r="BW154" s="229">
        <v>2.8999999999999998E-3</v>
      </c>
      <c r="BX154" s="230">
        <v>242265</v>
      </c>
      <c r="BY154" s="230">
        <v>245220</v>
      </c>
      <c r="BZ154" s="230">
        <v>-2955</v>
      </c>
      <c r="CA154" s="229">
        <v>-1.21E-2</v>
      </c>
      <c r="CB154" s="230">
        <v>216285</v>
      </c>
      <c r="CC154" s="230">
        <v>222675</v>
      </c>
      <c r="CD154" s="230">
        <v>-6390</v>
      </c>
      <c r="CE154" s="229">
        <v>-2.87E-2</v>
      </c>
      <c r="CF154" s="230">
        <v>23280</v>
      </c>
      <c r="CG154" s="230">
        <v>20700</v>
      </c>
      <c r="CH154" s="230">
        <v>2580</v>
      </c>
      <c r="CI154" s="229">
        <v>0.1246</v>
      </c>
      <c r="CJ154" s="230">
        <v>2700</v>
      </c>
      <c r="CK154" s="230">
        <v>1845</v>
      </c>
      <c r="CL154" s="228">
        <v>855</v>
      </c>
      <c r="CM154" s="229">
        <v>0.46339999999999998</v>
      </c>
      <c r="CN154" s="230">
        <v>119715</v>
      </c>
      <c r="CO154" s="230">
        <v>115245</v>
      </c>
      <c r="CP154" s="230">
        <v>4470</v>
      </c>
      <c r="CQ154" s="229">
        <v>3.8800000000000001E-2</v>
      </c>
      <c r="CR154" s="230">
        <v>50445</v>
      </c>
      <c r="CS154" s="230">
        <v>37620</v>
      </c>
      <c r="CT154" s="230">
        <v>12825</v>
      </c>
      <c r="CU154" s="229">
        <v>0.34089999999999998</v>
      </c>
      <c r="CV154" s="230">
        <v>412425</v>
      </c>
      <c r="CW154" s="230">
        <v>398085</v>
      </c>
      <c r="CX154" s="230">
        <v>14340</v>
      </c>
      <c r="CY154" s="229">
        <v>3.5999999999999997E-2</v>
      </c>
      <c r="CZ154" s="228">
        <v>25.23</v>
      </c>
      <c r="DA154" s="228">
        <v>28.44</v>
      </c>
      <c r="DB154" s="228">
        <v>-3.21</v>
      </c>
      <c r="DC154" s="228">
        <v>-3.21</v>
      </c>
      <c r="DD154" s="228">
        <v>29.5</v>
      </c>
      <c r="DE154" s="228">
        <v>29.53</v>
      </c>
      <c r="DF154" s="228">
        <v>-4.2699999999999996</v>
      </c>
      <c r="DG154" s="228">
        <v>-0.03</v>
      </c>
      <c r="DH154" s="228">
        <v>26.03</v>
      </c>
      <c r="DI154" s="228">
        <v>28.87</v>
      </c>
      <c r="DJ154" s="228">
        <v>-2.84</v>
      </c>
      <c r="DK154" s="228">
        <v>-2.84</v>
      </c>
      <c r="DL154" s="228">
        <v>22.01</v>
      </c>
      <c r="DM154" s="228">
        <v>23.55</v>
      </c>
      <c r="DN154" s="228">
        <v>-1.54</v>
      </c>
      <c r="DO154" s="228">
        <v>-1.54</v>
      </c>
      <c r="DP154" s="228">
        <v>0.42</v>
      </c>
      <c r="DQ154" s="228">
        <v>0.33</v>
      </c>
      <c r="DR154" s="228">
        <v>0.09</v>
      </c>
      <c r="DS154" s="229">
        <v>0.2727</v>
      </c>
      <c r="DT154" s="231">
        <v>45000</v>
      </c>
      <c r="DU154" s="231">
        <v>40000</v>
      </c>
      <c r="DV154" s="228">
        <v>0.25</v>
      </c>
      <c r="DW154" s="228">
        <v>0.09</v>
      </c>
      <c r="DX154" s="228">
        <v>0.16</v>
      </c>
      <c r="DY154" s="229">
        <v>1.7778</v>
      </c>
      <c r="DZ154" s="229">
        <v>0.1072</v>
      </c>
      <c r="EA154" s="230">
        <v>22545</v>
      </c>
      <c r="EB154" s="229">
        <v>-1.8499999999999999E-2</v>
      </c>
      <c r="EC154" s="229">
        <v>0.1072</v>
      </c>
      <c r="ED154" s="228">
        <v>-818.31</v>
      </c>
      <c r="EE154" s="229">
        <v>-1.9900000000000001E-2</v>
      </c>
      <c r="EF154" s="230">
        <v>8511</v>
      </c>
      <c r="EG154" s="230">
        <v>8868</v>
      </c>
      <c r="EH154" s="229">
        <v>-4.0300000000000002E-2</v>
      </c>
      <c r="EI154" s="229">
        <v>0.57869999999999999</v>
      </c>
      <c r="EJ154" s="231">
        <v>78222.100000000006</v>
      </c>
      <c r="EK154" s="231">
        <v>18042.919999999998</v>
      </c>
      <c r="EL154" s="231">
        <v>15794.53</v>
      </c>
      <c r="EM154" s="231">
        <v>1989</v>
      </c>
      <c r="EN154" s="231">
        <v>112059.55</v>
      </c>
      <c r="EO154" s="231">
        <v>89595.63</v>
      </c>
      <c r="EP154" s="231">
        <v>22463.919999999998</v>
      </c>
      <c r="EQ154" s="229">
        <v>0.25069999999999998</v>
      </c>
      <c r="ER154" s="231">
        <v>52353</v>
      </c>
      <c r="ES154" s="231">
        <v>20382</v>
      </c>
      <c r="ET154" s="231">
        <v>99562</v>
      </c>
      <c r="EU154" s="231">
        <v>955549</v>
      </c>
      <c r="EV154" s="231">
        <v>172296</v>
      </c>
      <c r="EW154" s="231">
        <v>165131</v>
      </c>
      <c r="EX154" s="231">
        <v>7165</v>
      </c>
      <c r="EY154" s="229">
        <v>4.3400000000000001E-2</v>
      </c>
      <c r="EZ154" s="229">
        <v>0.43159999999999998</v>
      </c>
      <c r="FA154" s="227" t="s">
        <v>556</v>
      </c>
      <c r="FB154" s="161">
        <f t="shared" si="3"/>
        <v>0</v>
      </c>
    </row>
    <row r="155" spans="1:158" ht="17.25" thickBot="1" x14ac:dyDescent="0.3">
      <c r="A155" s="226">
        <v>45946</v>
      </c>
      <c r="B155" s="227" t="s">
        <v>168</v>
      </c>
      <c r="C155" s="227" t="s">
        <v>666</v>
      </c>
      <c r="D155" s="228">
        <v>900</v>
      </c>
      <c r="E155" s="228">
        <v>591.85</v>
      </c>
      <c r="F155" s="228">
        <v>586.85</v>
      </c>
      <c r="G155" s="228">
        <v>5</v>
      </c>
      <c r="H155" s="229">
        <v>8.5000000000000006E-3</v>
      </c>
      <c r="I155" s="228">
        <v>589.85</v>
      </c>
      <c r="J155" s="228">
        <v>584.6</v>
      </c>
      <c r="K155" s="228">
        <v>5.25</v>
      </c>
      <c r="L155" s="229">
        <v>8.9999999999999993E-3</v>
      </c>
      <c r="M155" s="228">
        <v>591.85</v>
      </c>
      <c r="N155" s="228">
        <v>586.85</v>
      </c>
      <c r="O155" s="228">
        <v>5</v>
      </c>
      <c r="P155" s="229">
        <v>8.5000000000000006E-3</v>
      </c>
      <c r="Q155" s="228">
        <v>593.1</v>
      </c>
      <c r="R155" s="228">
        <v>588.65</v>
      </c>
      <c r="S155" s="228">
        <v>4.45</v>
      </c>
      <c r="T155" s="229">
        <v>7.6E-3</v>
      </c>
      <c r="U155" s="228">
        <v>599</v>
      </c>
      <c r="V155" s="228">
        <v>590.9</v>
      </c>
      <c r="W155" s="228">
        <v>8.1</v>
      </c>
      <c r="X155" s="229">
        <v>1.37E-2</v>
      </c>
      <c r="Y155" s="228">
        <v>2</v>
      </c>
      <c r="Z155" s="228">
        <v>2.25</v>
      </c>
      <c r="AA155" s="228">
        <v>-0.25</v>
      </c>
      <c r="AB155" s="229">
        <v>3.3999999999999998E-3</v>
      </c>
      <c r="AC155" s="228">
        <v>2</v>
      </c>
      <c r="AD155" s="228">
        <v>2.25</v>
      </c>
      <c r="AE155" s="228">
        <v>-0.25</v>
      </c>
      <c r="AF155" s="229">
        <v>3.3999999999999998E-3</v>
      </c>
      <c r="AG155" s="228">
        <v>3.25</v>
      </c>
      <c r="AH155" s="228">
        <v>4.05</v>
      </c>
      <c r="AI155" s="228">
        <v>-0.8</v>
      </c>
      <c r="AJ155" s="229">
        <v>5.4999999999999997E-3</v>
      </c>
      <c r="AK155" s="228">
        <v>9.15</v>
      </c>
      <c r="AL155" s="228">
        <v>6.3</v>
      </c>
      <c r="AM155" s="228">
        <v>2.85</v>
      </c>
      <c r="AN155" s="229">
        <v>1.55E-2</v>
      </c>
      <c r="AO155" s="228">
        <v>590.28</v>
      </c>
      <c r="AP155" s="228">
        <v>592.61</v>
      </c>
      <c r="AQ155" s="228">
        <v>0</v>
      </c>
      <c r="AR155" s="230">
        <v>3672000</v>
      </c>
      <c r="AS155" s="230">
        <v>1466100</v>
      </c>
      <c r="AT155" s="230">
        <v>2205900</v>
      </c>
      <c r="AU155" s="229">
        <v>1.5045999999999999</v>
      </c>
      <c r="AV155" s="230">
        <v>3460500</v>
      </c>
      <c r="AW155" s="230">
        <v>1312200</v>
      </c>
      <c r="AX155" s="230">
        <v>2148300</v>
      </c>
      <c r="AY155" s="229">
        <v>1.6372</v>
      </c>
      <c r="AZ155" s="230">
        <v>207900</v>
      </c>
      <c r="BA155" s="230">
        <v>153000</v>
      </c>
      <c r="BB155" s="230">
        <v>54900</v>
      </c>
      <c r="BC155" s="229">
        <v>0.35880000000000001</v>
      </c>
      <c r="BD155" s="230">
        <v>3600</v>
      </c>
      <c r="BE155" s="228">
        <v>900</v>
      </c>
      <c r="BF155" s="230">
        <v>2700</v>
      </c>
      <c r="BG155" s="229">
        <v>3</v>
      </c>
      <c r="BH155" s="230">
        <v>3525300</v>
      </c>
      <c r="BI155" s="230">
        <v>3041100</v>
      </c>
      <c r="BJ155" s="230">
        <v>484200</v>
      </c>
      <c r="BK155" s="229">
        <v>0.15920000000000001</v>
      </c>
      <c r="BL155" s="230">
        <v>1674000</v>
      </c>
      <c r="BM155" s="230">
        <v>985500</v>
      </c>
      <c r="BN155" s="230">
        <v>688500</v>
      </c>
      <c r="BO155" s="229">
        <v>0.6986</v>
      </c>
      <c r="BP155" s="230">
        <v>8871300</v>
      </c>
      <c r="BQ155" s="230">
        <v>5492700</v>
      </c>
      <c r="BR155" s="230">
        <v>3378600</v>
      </c>
      <c r="BS155" s="229">
        <v>0.61509999999999998</v>
      </c>
      <c r="BT155" s="230">
        <v>639484</v>
      </c>
      <c r="BU155" s="230">
        <v>576391</v>
      </c>
      <c r="BV155" s="230">
        <v>63093</v>
      </c>
      <c r="BW155" s="229">
        <v>0.1095</v>
      </c>
      <c r="BX155" s="230">
        <v>32801400</v>
      </c>
      <c r="BY155" s="230">
        <v>32872500</v>
      </c>
      <c r="BZ155" s="230">
        <v>-71100</v>
      </c>
      <c r="CA155" s="229">
        <v>-2.2000000000000001E-3</v>
      </c>
      <c r="CB155" s="230">
        <v>32431500</v>
      </c>
      <c r="CC155" s="230">
        <v>32562000</v>
      </c>
      <c r="CD155" s="230">
        <v>-130500</v>
      </c>
      <c r="CE155" s="229">
        <v>-4.0000000000000001E-3</v>
      </c>
      <c r="CF155" s="230">
        <v>352800</v>
      </c>
      <c r="CG155" s="230">
        <v>297000</v>
      </c>
      <c r="CH155" s="230">
        <v>55800</v>
      </c>
      <c r="CI155" s="229">
        <v>0.18790000000000001</v>
      </c>
      <c r="CJ155" s="230">
        <v>17100</v>
      </c>
      <c r="CK155" s="230">
        <v>13500</v>
      </c>
      <c r="CL155" s="230">
        <v>3600</v>
      </c>
      <c r="CM155" s="229">
        <v>0.26669999999999999</v>
      </c>
      <c r="CN155" s="230">
        <v>6746400</v>
      </c>
      <c r="CO155" s="230">
        <v>6732900</v>
      </c>
      <c r="CP155" s="230">
        <v>13500</v>
      </c>
      <c r="CQ155" s="229">
        <v>2E-3</v>
      </c>
      <c r="CR155" s="230">
        <v>2826900</v>
      </c>
      <c r="CS155" s="230">
        <v>2857500</v>
      </c>
      <c r="CT155" s="230">
        <v>-30600</v>
      </c>
      <c r="CU155" s="229">
        <v>-1.0699999999999999E-2</v>
      </c>
      <c r="CV155" s="230">
        <v>42374700</v>
      </c>
      <c r="CW155" s="230">
        <v>42462900</v>
      </c>
      <c r="CX155" s="230">
        <v>-88200</v>
      </c>
      <c r="CY155" s="229">
        <v>-2.0999999999999999E-3</v>
      </c>
      <c r="CZ155" s="228">
        <v>27.73</v>
      </c>
      <c r="DA155" s="228">
        <v>28.09</v>
      </c>
      <c r="DB155" s="228">
        <v>-0.36</v>
      </c>
      <c r="DC155" s="228">
        <v>-0.36</v>
      </c>
      <c r="DD155" s="228">
        <v>34.21</v>
      </c>
      <c r="DE155" s="228">
        <v>34.28</v>
      </c>
      <c r="DF155" s="228">
        <v>-6.48</v>
      </c>
      <c r="DG155" s="228">
        <v>-7.0000000000000007E-2</v>
      </c>
      <c r="DH155" s="228">
        <v>28.08</v>
      </c>
      <c r="DI155" s="228">
        <v>28.08</v>
      </c>
      <c r="DJ155" s="228">
        <v>0</v>
      </c>
      <c r="DK155" s="228">
        <v>0</v>
      </c>
      <c r="DL155" s="228">
        <v>26.99</v>
      </c>
      <c r="DM155" s="228">
        <v>28.11</v>
      </c>
      <c r="DN155" s="228">
        <v>-1.1200000000000001</v>
      </c>
      <c r="DO155" s="228">
        <v>-1.1200000000000001</v>
      </c>
      <c r="DP155" s="228">
        <v>0.42</v>
      </c>
      <c r="DQ155" s="228">
        <v>0.42</v>
      </c>
      <c r="DR155" s="228">
        <v>0</v>
      </c>
      <c r="DS155" s="229">
        <v>0</v>
      </c>
      <c r="DT155" s="228">
        <v>600</v>
      </c>
      <c r="DU155" s="228">
        <v>600</v>
      </c>
      <c r="DV155" s="228">
        <v>0.47</v>
      </c>
      <c r="DW155" s="228">
        <v>0.32</v>
      </c>
      <c r="DX155" s="228">
        <v>0.15</v>
      </c>
      <c r="DY155" s="229">
        <v>0.46870000000000001</v>
      </c>
      <c r="DZ155" s="229">
        <v>1.1299999999999999E-2</v>
      </c>
      <c r="EA155" s="230">
        <v>310500</v>
      </c>
      <c r="EB155" s="229">
        <v>2.0999999999999999E-3</v>
      </c>
      <c r="EC155" s="229">
        <v>1.1299999999999999E-2</v>
      </c>
      <c r="ED155" s="228">
        <v>2.33</v>
      </c>
      <c r="EE155" s="229">
        <v>3.8999999999999998E-3</v>
      </c>
      <c r="EF155" s="230">
        <v>280285</v>
      </c>
      <c r="EG155" s="230">
        <v>372746</v>
      </c>
      <c r="EH155" s="229">
        <v>-0.24809999999999999</v>
      </c>
      <c r="EI155" s="229">
        <v>0.43830000000000002</v>
      </c>
      <c r="EJ155" s="231">
        <v>21447.49</v>
      </c>
      <c r="EK155" s="231">
        <v>10135.549999999999</v>
      </c>
      <c r="EL155" s="231">
        <v>21680.15</v>
      </c>
      <c r="EM155" s="231">
        <v>2166</v>
      </c>
      <c r="EN155" s="231">
        <v>53263.19</v>
      </c>
      <c r="EO155" s="231">
        <v>33029.58</v>
      </c>
      <c r="EP155" s="231">
        <v>20233.61</v>
      </c>
      <c r="EQ155" s="229">
        <v>0.61260000000000003</v>
      </c>
      <c r="ER155" s="231">
        <v>41359</v>
      </c>
      <c r="ES155" s="231">
        <v>16486</v>
      </c>
      <c r="ET155" s="231">
        <v>194141</v>
      </c>
      <c r="EU155" s="231">
        <v>50840137</v>
      </c>
      <c r="EV155" s="231">
        <v>251986</v>
      </c>
      <c r="EW155" s="231">
        <v>250856</v>
      </c>
      <c r="EX155" s="231">
        <v>1130</v>
      </c>
      <c r="EY155" s="229">
        <v>4.4999999999999997E-3</v>
      </c>
      <c r="EZ155" s="229">
        <v>0.83350000000000002</v>
      </c>
      <c r="FA155" s="227" t="s">
        <v>556</v>
      </c>
      <c r="FB155" s="161">
        <f t="shared" si="3"/>
        <v>0</v>
      </c>
    </row>
    <row r="156" spans="1:158" ht="17.25" thickBot="1" x14ac:dyDescent="0.3">
      <c r="A156" s="226">
        <v>45946</v>
      </c>
      <c r="B156" s="227" t="s">
        <v>615</v>
      </c>
      <c r="C156" s="227" t="s">
        <v>575</v>
      </c>
      <c r="D156" s="228">
        <v>725</v>
      </c>
      <c r="E156" s="231">
        <v>1274.9000000000001</v>
      </c>
      <c r="F156" s="231">
        <v>1279.2</v>
      </c>
      <c r="G156" s="228">
        <v>-4.3</v>
      </c>
      <c r="H156" s="229">
        <v>-3.3999999999999998E-3</v>
      </c>
      <c r="I156" s="231">
        <v>1274</v>
      </c>
      <c r="J156" s="231">
        <v>1277.3</v>
      </c>
      <c r="K156" s="228">
        <v>-3.3</v>
      </c>
      <c r="L156" s="229">
        <v>-2.5999999999999999E-3</v>
      </c>
      <c r="M156" s="231">
        <v>1274.9000000000001</v>
      </c>
      <c r="N156" s="231">
        <v>1279.2</v>
      </c>
      <c r="O156" s="228">
        <v>-4.3</v>
      </c>
      <c r="P156" s="229">
        <v>-3.3999999999999998E-3</v>
      </c>
      <c r="Q156" s="231">
        <v>1282.8</v>
      </c>
      <c r="R156" s="231">
        <v>1287.5</v>
      </c>
      <c r="S156" s="228">
        <v>-4.7</v>
      </c>
      <c r="T156" s="229">
        <v>-3.7000000000000002E-3</v>
      </c>
      <c r="U156" s="231">
        <v>1290.0999999999999</v>
      </c>
      <c r="V156" s="231">
        <v>1292.4000000000001</v>
      </c>
      <c r="W156" s="228">
        <v>-2.2999999999999998</v>
      </c>
      <c r="X156" s="229">
        <v>-1.8E-3</v>
      </c>
      <c r="Y156" s="228">
        <v>0.9</v>
      </c>
      <c r="Z156" s="228">
        <v>1.9</v>
      </c>
      <c r="AA156" s="228">
        <v>-1</v>
      </c>
      <c r="AB156" s="229">
        <v>6.9999999999999999E-4</v>
      </c>
      <c r="AC156" s="228">
        <v>0.9</v>
      </c>
      <c r="AD156" s="228">
        <v>1.9</v>
      </c>
      <c r="AE156" s="228">
        <v>-1</v>
      </c>
      <c r="AF156" s="229">
        <v>6.9999999999999999E-4</v>
      </c>
      <c r="AG156" s="228">
        <v>8.8000000000000007</v>
      </c>
      <c r="AH156" s="228">
        <v>10.199999999999999</v>
      </c>
      <c r="AI156" s="228">
        <v>-1.4</v>
      </c>
      <c r="AJ156" s="229">
        <v>6.8999999999999999E-3</v>
      </c>
      <c r="AK156" s="228">
        <v>16.100000000000001</v>
      </c>
      <c r="AL156" s="228">
        <v>15.1</v>
      </c>
      <c r="AM156" s="228">
        <v>1</v>
      </c>
      <c r="AN156" s="229">
        <v>1.26E-2</v>
      </c>
      <c r="AO156" s="231">
        <v>1287.8599999999999</v>
      </c>
      <c r="AP156" s="231">
        <v>1294.82</v>
      </c>
      <c r="AQ156" s="228">
        <v>0</v>
      </c>
      <c r="AR156" s="230">
        <v>7603075</v>
      </c>
      <c r="AS156" s="230">
        <v>8523100</v>
      </c>
      <c r="AT156" s="230">
        <v>-920025</v>
      </c>
      <c r="AU156" s="229">
        <v>-0.1079</v>
      </c>
      <c r="AV156" s="230">
        <v>7005675</v>
      </c>
      <c r="AW156" s="230">
        <v>7793750</v>
      </c>
      <c r="AX156" s="230">
        <v>-788075</v>
      </c>
      <c r="AY156" s="229">
        <v>-0.1011</v>
      </c>
      <c r="AZ156" s="230">
        <v>546650</v>
      </c>
      <c r="BA156" s="230">
        <v>622050</v>
      </c>
      <c r="BB156" s="230">
        <v>-75400</v>
      </c>
      <c r="BC156" s="229">
        <v>-0.1212</v>
      </c>
      <c r="BD156" s="230">
        <v>50750</v>
      </c>
      <c r="BE156" s="230">
        <v>107300</v>
      </c>
      <c r="BF156" s="230">
        <v>-56550</v>
      </c>
      <c r="BG156" s="229">
        <v>-0.52700000000000002</v>
      </c>
      <c r="BH156" s="230">
        <v>24860975</v>
      </c>
      <c r="BI156" s="230">
        <v>32088500</v>
      </c>
      <c r="BJ156" s="230">
        <v>-7227525</v>
      </c>
      <c r="BK156" s="229">
        <v>-0.22520000000000001</v>
      </c>
      <c r="BL156" s="230">
        <v>13028975</v>
      </c>
      <c r="BM156" s="230">
        <v>15421475</v>
      </c>
      <c r="BN156" s="230">
        <v>-2392500</v>
      </c>
      <c r="BO156" s="229">
        <v>-0.15509999999999999</v>
      </c>
      <c r="BP156" s="230">
        <v>45493025</v>
      </c>
      <c r="BQ156" s="230">
        <v>56033075</v>
      </c>
      <c r="BR156" s="230">
        <v>-10540050</v>
      </c>
      <c r="BS156" s="229">
        <v>-0.18809999999999999</v>
      </c>
      <c r="BT156" s="230">
        <v>5115776</v>
      </c>
      <c r="BU156" s="230">
        <v>3834297</v>
      </c>
      <c r="BV156" s="230">
        <v>1281479</v>
      </c>
      <c r="BW156" s="229">
        <v>0.3342</v>
      </c>
      <c r="BX156" s="230">
        <v>24354925</v>
      </c>
      <c r="BY156" s="230">
        <v>25349625</v>
      </c>
      <c r="BZ156" s="230">
        <v>-994700</v>
      </c>
      <c r="CA156" s="229">
        <v>-3.9199999999999999E-2</v>
      </c>
      <c r="CB156" s="230">
        <v>23658200</v>
      </c>
      <c r="CC156" s="230">
        <v>24809500</v>
      </c>
      <c r="CD156" s="230">
        <v>-1151300</v>
      </c>
      <c r="CE156" s="229">
        <v>-4.6399999999999997E-2</v>
      </c>
      <c r="CF156" s="230">
        <v>606825</v>
      </c>
      <c r="CG156" s="230">
        <v>449500</v>
      </c>
      <c r="CH156" s="230">
        <v>157325</v>
      </c>
      <c r="CI156" s="229">
        <v>0.35</v>
      </c>
      <c r="CJ156" s="230">
        <v>89900</v>
      </c>
      <c r="CK156" s="230">
        <v>90625</v>
      </c>
      <c r="CL156" s="228">
        <v>-725</v>
      </c>
      <c r="CM156" s="229">
        <v>-8.0000000000000002E-3</v>
      </c>
      <c r="CN156" s="230">
        <v>7289150</v>
      </c>
      <c r="CO156" s="230">
        <v>7183300</v>
      </c>
      <c r="CP156" s="230">
        <v>105850</v>
      </c>
      <c r="CQ156" s="229">
        <v>1.47E-2</v>
      </c>
      <c r="CR156" s="230">
        <v>5723875</v>
      </c>
      <c r="CS156" s="230">
        <v>5282350</v>
      </c>
      <c r="CT156" s="230">
        <v>441525</v>
      </c>
      <c r="CU156" s="229">
        <v>8.3599999999999994E-2</v>
      </c>
      <c r="CV156" s="230">
        <v>37367950</v>
      </c>
      <c r="CW156" s="230">
        <v>37815275</v>
      </c>
      <c r="CX156" s="230">
        <v>-447325</v>
      </c>
      <c r="CY156" s="229">
        <v>-1.18E-2</v>
      </c>
      <c r="CZ156" s="228">
        <v>31.5</v>
      </c>
      <c r="DA156" s="228">
        <v>34.39</v>
      </c>
      <c r="DB156" s="228">
        <v>-2.89</v>
      </c>
      <c r="DC156" s="228">
        <v>-2.89</v>
      </c>
      <c r="DD156" s="228">
        <v>55.96</v>
      </c>
      <c r="DE156" s="228">
        <v>56.1</v>
      </c>
      <c r="DF156" s="228">
        <v>-24.46</v>
      </c>
      <c r="DG156" s="228">
        <v>-0.14000000000000001</v>
      </c>
      <c r="DH156" s="228">
        <v>31.11</v>
      </c>
      <c r="DI156" s="228">
        <v>33.340000000000003</v>
      </c>
      <c r="DJ156" s="228">
        <v>-2.23</v>
      </c>
      <c r="DK156" s="228">
        <v>-2.23</v>
      </c>
      <c r="DL156" s="228">
        <v>32.26</v>
      </c>
      <c r="DM156" s="228">
        <v>36.56</v>
      </c>
      <c r="DN156" s="228">
        <v>-4.3</v>
      </c>
      <c r="DO156" s="228">
        <v>-4.3</v>
      </c>
      <c r="DP156" s="228">
        <v>0.79</v>
      </c>
      <c r="DQ156" s="228">
        <v>0.74</v>
      </c>
      <c r="DR156" s="228">
        <v>0.05</v>
      </c>
      <c r="DS156" s="229">
        <v>6.7599999999999993E-2</v>
      </c>
      <c r="DT156" s="231">
        <v>1300</v>
      </c>
      <c r="DU156" s="231">
        <v>1100</v>
      </c>
      <c r="DV156" s="228">
        <v>0.52</v>
      </c>
      <c r="DW156" s="228">
        <v>0.48</v>
      </c>
      <c r="DX156" s="228">
        <v>0.04</v>
      </c>
      <c r="DY156" s="229">
        <v>8.3299999999999999E-2</v>
      </c>
      <c r="DZ156" s="229">
        <v>2.86E-2</v>
      </c>
      <c r="EA156" s="230">
        <v>540125</v>
      </c>
      <c r="EB156" s="229">
        <v>6.1999999999999998E-3</v>
      </c>
      <c r="EC156" s="229">
        <v>2.86E-2</v>
      </c>
      <c r="ED156" s="228">
        <v>6.96</v>
      </c>
      <c r="EE156" s="229">
        <v>5.4000000000000003E-3</v>
      </c>
      <c r="EF156" s="230">
        <v>2680040</v>
      </c>
      <c r="EG156" s="230">
        <v>1445599</v>
      </c>
      <c r="EH156" s="229">
        <v>0.85389999999999999</v>
      </c>
      <c r="EI156" s="229">
        <v>0.52390000000000003</v>
      </c>
      <c r="EJ156" s="231">
        <v>332388.19</v>
      </c>
      <c r="EK156" s="231">
        <v>164758.07999999999</v>
      </c>
      <c r="EL156" s="231">
        <v>97961.81</v>
      </c>
      <c r="EM156" s="231">
        <v>7882</v>
      </c>
      <c r="EN156" s="231">
        <v>595108.07999999996</v>
      </c>
      <c r="EO156" s="231">
        <v>725436.49</v>
      </c>
      <c r="EP156" s="231">
        <v>-130328.41</v>
      </c>
      <c r="EQ156" s="229">
        <v>-0.1797</v>
      </c>
      <c r="ER156" s="231">
        <v>93816</v>
      </c>
      <c r="ES156" s="231">
        <v>67742</v>
      </c>
      <c r="ET156" s="231">
        <v>310563</v>
      </c>
      <c r="EU156" s="231">
        <v>95715382</v>
      </c>
      <c r="EV156" s="231">
        <v>472120</v>
      </c>
      <c r="EW156" s="231">
        <v>478150</v>
      </c>
      <c r="EX156" s="231">
        <v>-6030</v>
      </c>
      <c r="EY156" s="229">
        <v>-1.26E-2</v>
      </c>
      <c r="EZ156" s="229">
        <v>0.39040000000000002</v>
      </c>
      <c r="FA156" s="227" t="s">
        <v>568</v>
      </c>
      <c r="FB156" s="161">
        <f t="shared" si="3"/>
        <v>0</v>
      </c>
    </row>
    <row r="157" spans="1:158" ht="17.25" thickBot="1" x14ac:dyDescent="0.3">
      <c r="A157" s="226">
        <v>45946</v>
      </c>
      <c r="B157" s="227" t="s">
        <v>221</v>
      </c>
      <c r="C157" s="227" t="s">
        <v>529</v>
      </c>
      <c r="D157" s="228">
        <v>100</v>
      </c>
      <c r="E157" s="231">
        <v>5845.2</v>
      </c>
      <c r="F157" s="231">
        <v>5740.8</v>
      </c>
      <c r="G157" s="228">
        <v>104.4</v>
      </c>
      <c r="H157" s="229">
        <v>1.8200000000000001E-2</v>
      </c>
      <c r="I157" s="231">
        <v>5841.5</v>
      </c>
      <c r="J157" s="231">
        <v>5724.6</v>
      </c>
      <c r="K157" s="228">
        <v>116.9</v>
      </c>
      <c r="L157" s="229">
        <v>2.0400000000000001E-2</v>
      </c>
      <c r="M157" s="231">
        <v>5845.2</v>
      </c>
      <c r="N157" s="231">
        <v>5740.8</v>
      </c>
      <c r="O157" s="228">
        <v>104.4</v>
      </c>
      <c r="P157" s="229">
        <v>1.8200000000000001E-2</v>
      </c>
      <c r="Q157" s="231">
        <v>5875.1</v>
      </c>
      <c r="R157" s="231">
        <v>5772.7</v>
      </c>
      <c r="S157" s="228">
        <v>102.4</v>
      </c>
      <c r="T157" s="229">
        <v>1.77E-2</v>
      </c>
      <c r="U157" s="231">
        <v>5899.7</v>
      </c>
      <c r="V157" s="231">
        <v>5798.9</v>
      </c>
      <c r="W157" s="228">
        <v>100.8</v>
      </c>
      <c r="X157" s="229">
        <v>1.7399999999999999E-2</v>
      </c>
      <c r="Y157" s="228">
        <v>3.7</v>
      </c>
      <c r="Z157" s="228">
        <v>16.2</v>
      </c>
      <c r="AA157" s="228">
        <v>-12.5</v>
      </c>
      <c r="AB157" s="229">
        <v>5.9999999999999995E-4</v>
      </c>
      <c r="AC157" s="228">
        <v>3.7</v>
      </c>
      <c r="AD157" s="228">
        <v>16.2</v>
      </c>
      <c r="AE157" s="228">
        <v>-12.5</v>
      </c>
      <c r="AF157" s="229">
        <v>5.9999999999999995E-4</v>
      </c>
      <c r="AG157" s="228">
        <v>33.6</v>
      </c>
      <c r="AH157" s="228">
        <v>48.1</v>
      </c>
      <c r="AI157" s="228">
        <v>-14.5</v>
      </c>
      <c r="AJ157" s="229">
        <v>5.7999999999999996E-3</v>
      </c>
      <c r="AK157" s="228">
        <v>58.2</v>
      </c>
      <c r="AL157" s="228">
        <v>74.3</v>
      </c>
      <c r="AM157" s="228">
        <v>-16.100000000000001</v>
      </c>
      <c r="AN157" s="229">
        <v>0.01</v>
      </c>
      <c r="AO157" s="231">
        <v>5795.44</v>
      </c>
      <c r="AP157" s="231">
        <v>5824.51</v>
      </c>
      <c r="AQ157" s="228">
        <v>0</v>
      </c>
      <c r="AR157" s="230">
        <v>942400</v>
      </c>
      <c r="AS157" s="230">
        <v>3706700</v>
      </c>
      <c r="AT157" s="230">
        <v>-2764300</v>
      </c>
      <c r="AU157" s="229">
        <v>-0.74580000000000002</v>
      </c>
      <c r="AV157" s="230">
        <v>849400</v>
      </c>
      <c r="AW157" s="230">
        <v>3483900</v>
      </c>
      <c r="AX157" s="230">
        <v>-2634500</v>
      </c>
      <c r="AY157" s="229">
        <v>-0.75619999999999998</v>
      </c>
      <c r="AZ157" s="230">
        <v>83200</v>
      </c>
      <c r="BA157" s="230">
        <v>204400</v>
      </c>
      <c r="BB157" s="230">
        <v>-121200</v>
      </c>
      <c r="BC157" s="229">
        <v>-0.59299999999999997</v>
      </c>
      <c r="BD157" s="230">
        <v>9800</v>
      </c>
      <c r="BE157" s="230">
        <v>18400</v>
      </c>
      <c r="BF157" s="230">
        <v>-8600</v>
      </c>
      <c r="BG157" s="229">
        <v>-0.46739999999999998</v>
      </c>
      <c r="BH157" s="230">
        <v>6256900</v>
      </c>
      <c r="BI157" s="230">
        <v>23459800</v>
      </c>
      <c r="BJ157" s="230">
        <v>-17202900</v>
      </c>
      <c r="BK157" s="229">
        <v>-0.73329999999999995</v>
      </c>
      <c r="BL157" s="230">
        <v>4129100</v>
      </c>
      <c r="BM157" s="230">
        <v>11618400</v>
      </c>
      <c r="BN157" s="230">
        <v>-7489300</v>
      </c>
      <c r="BO157" s="229">
        <v>-0.64459999999999995</v>
      </c>
      <c r="BP157" s="230">
        <v>11328400</v>
      </c>
      <c r="BQ157" s="230">
        <v>38784900</v>
      </c>
      <c r="BR157" s="230">
        <v>-27456500</v>
      </c>
      <c r="BS157" s="229">
        <v>-0.70789999999999997</v>
      </c>
      <c r="BT157" s="230">
        <v>965382</v>
      </c>
      <c r="BU157" s="230">
        <v>3582054</v>
      </c>
      <c r="BV157" s="230">
        <v>-2616672</v>
      </c>
      <c r="BW157" s="229">
        <v>-0.73050000000000004</v>
      </c>
      <c r="BX157" s="230">
        <v>3217600</v>
      </c>
      <c r="BY157" s="230">
        <v>3283500</v>
      </c>
      <c r="BZ157" s="230">
        <v>-65900</v>
      </c>
      <c r="CA157" s="229">
        <v>-2.01E-2</v>
      </c>
      <c r="CB157" s="230">
        <v>3099000</v>
      </c>
      <c r="CC157" s="230">
        <v>3186300</v>
      </c>
      <c r="CD157" s="230">
        <v>-87300</v>
      </c>
      <c r="CE157" s="229">
        <v>-2.7400000000000001E-2</v>
      </c>
      <c r="CF157" s="230">
        <v>105800</v>
      </c>
      <c r="CG157" s="230">
        <v>85500</v>
      </c>
      <c r="CH157" s="230">
        <v>20300</v>
      </c>
      <c r="CI157" s="229">
        <v>0.2374</v>
      </c>
      <c r="CJ157" s="230">
        <v>12800</v>
      </c>
      <c r="CK157" s="230">
        <v>11700</v>
      </c>
      <c r="CL157" s="230">
        <v>1100</v>
      </c>
      <c r="CM157" s="229">
        <v>9.4E-2</v>
      </c>
      <c r="CN157" s="230">
        <v>1458100</v>
      </c>
      <c r="CO157" s="230">
        <v>1687800</v>
      </c>
      <c r="CP157" s="230">
        <v>-229700</v>
      </c>
      <c r="CQ157" s="229">
        <v>-0.1361</v>
      </c>
      <c r="CR157" s="230">
        <v>1897600</v>
      </c>
      <c r="CS157" s="230">
        <v>1891400</v>
      </c>
      <c r="CT157" s="230">
        <v>6200</v>
      </c>
      <c r="CU157" s="229">
        <v>3.3E-3</v>
      </c>
      <c r="CV157" s="230">
        <v>6573300</v>
      </c>
      <c r="CW157" s="230">
        <v>6862700</v>
      </c>
      <c r="CX157" s="230">
        <v>-289400</v>
      </c>
      <c r="CY157" s="229">
        <v>-4.2200000000000001E-2</v>
      </c>
      <c r="CZ157" s="228">
        <v>29.94</v>
      </c>
      <c r="DA157" s="228">
        <v>31.8</v>
      </c>
      <c r="DB157" s="228">
        <v>-1.86</v>
      </c>
      <c r="DC157" s="228">
        <v>-1.86</v>
      </c>
      <c r="DD157" s="228">
        <v>42.45</v>
      </c>
      <c r="DE157" s="228">
        <v>42.47</v>
      </c>
      <c r="DF157" s="228">
        <v>-12.51</v>
      </c>
      <c r="DG157" s="228">
        <v>-0.02</v>
      </c>
      <c r="DH157" s="228">
        <v>27.97</v>
      </c>
      <c r="DI157" s="228">
        <v>30.64</v>
      </c>
      <c r="DJ157" s="228">
        <v>-2.67</v>
      </c>
      <c r="DK157" s="228">
        <v>-2.67</v>
      </c>
      <c r="DL157" s="228">
        <v>32.92</v>
      </c>
      <c r="DM157" s="228">
        <v>34.14</v>
      </c>
      <c r="DN157" s="228">
        <v>-1.22</v>
      </c>
      <c r="DO157" s="228">
        <v>-1.22</v>
      </c>
      <c r="DP157" s="228">
        <v>1.3</v>
      </c>
      <c r="DQ157" s="228">
        <v>1.1200000000000001</v>
      </c>
      <c r="DR157" s="228">
        <v>0.18</v>
      </c>
      <c r="DS157" s="229">
        <v>0.16070000000000001</v>
      </c>
      <c r="DT157" s="231">
        <v>6000</v>
      </c>
      <c r="DU157" s="231">
        <v>5500</v>
      </c>
      <c r="DV157" s="228">
        <v>0.66</v>
      </c>
      <c r="DW157" s="228">
        <v>0.5</v>
      </c>
      <c r="DX157" s="228">
        <v>0.16</v>
      </c>
      <c r="DY157" s="229">
        <v>0.32</v>
      </c>
      <c r="DZ157" s="229">
        <v>3.6900000000000002E-2</v>
      </c>
      <c r="EA157" s="230">
        <v>97200</v>
      </c>
      <c r="EB157" s="229">
        <v>5.1000000000000004E-3</v>
      </c>
      <c r="EC157" s="229">
        <v>3.6900000000000002E-2</v>
      </c>
      <c r="ED157" s="228">
        <v>29.07</v>
      </c>
      <c r="EE157" s="229">
        <v>5.0000000000000001E-3</v>
      </c>
      <c r="EF157" s="230">
        <v>439720</v>
      </c>
      <c r="EG157" s="230">
        <v>1093664</v>
      </c>
      <c r="EH157" s="229">
        <v>-0.59789999999999999</v>
      </c>
      <c r="EI157" s="229">
        <v>0.45550000000000002</v>
      </c>
      <c r="EJ157" s="231">
        <v>375469.86</v>
      </c>
      <c r="EK157" s="231">
        <v>229298.39</v>
      </c>
      <c r="EL157" s="231">
        <v>54647.28</v>
      </c>
      <c r="EM157" s="231">
        <v>13962</v>
      </c>
      <c r="EN157" s="231">
        <v>659415.53</v>
      </c>
      <c r="EO157" s="231">
        <v>2232945.35</v>
      </c>
      <c r="EP157" s="231">
        <v>-1573529.82</v>
      </c>
      <c r="EQ157" s="229">
        <v>-0.70469999999999999</v>
      </c>
      <c r="ER157" s="231">
        <v>83918</v>
      </c>
      <c r="ES157" s="231">
        <v>101345</v>
      </c>
      <c r="ET157" s="231">
        <v>188114</v>
      </c>
      <c r="EU157" s="231">
        <v>16151851</v>
      </c>
      <c r="EV157" s="231">
        <v>373377</v>
      </c>
      <c r="EW157" s="231">
        <v>385676</v>
      </c>
      <c r="EX157" s="231">
        <v>-12299</v>
      </c>
      <c r="EY157" s="229">
        <v>-3.1899999999999998E-2</v>
      </c>
      <c r="EZ157" s="229">
        <v>0.40699999999999997</v>
      </c>
      <c r="FA157" s="227" t="s">
        <v>556</v>
      </c>
      <c r="FB157" s="161">
        <f t="shared" si="3"/>
        <v>0</v>
      </c>
    </row>
    <row r="158" spans="1:158" ht="17.25" thickBot="1" x14ac:dyDescent="0.3">
      <c r="A158" s="226">
        <v>45946</v>
      </c>
      <c r="B158" s="227" t="s">
        <v>193</v>
      </c>
      <c r="C158" s="227" t="s">
        <v>272</v>
      </c>
      <c r="D158" s="228">
        <v>1800</v>
      </c>
      <c r="E158" s="228">
        <v>279.45</v>
      </c>
      <c r="F158" s="228">
        <v>280.64999999999998</v>
      </c>
      <c r="G158" s="228">
        <v>-1.2</v>
      </c>
      <c r="H158" s="229">
        <v>-4.3E-3</v>
      </c>
      <c r="I158" s="228">
        <v>278.75</v>
      </c>
      <c r="J158" s="228">
        <v>279.64999999999998</v>
      </c>
      <c r="K158" s="228">
        <v>-0.9</v>
      </c>
      <c r="L158" s="229">
        <v>-3.2000000000000002E-3</v>
      </c>
      <c r="M158" s="228">
        <v>279.45</v>
      </c>
      <c r="N158" s="228">
        <v>280.64999999999998</v>
      </c>
      <c r="O158" s="228">
        <v>-1.2</v>
      </c>
      <c r="P158" s="229">
        <v>-4.3E-3</v>
      </c>
      <c r="Q158" s="228">
        <v>281.10000000000002</v>
      </c>
      <c r="R158" s="228">
        <v>282.45</v>
      </c>
      <c r="S158" s="228">
        <v>-1.35</v>
      </c>
      <c r="T158" s="229">
        <v>-4.7999999999999996E-3</v>
      </c>
      <c r="U158" s="228">
        <v>283</v>
      </c>
      <c r="V158" s="228">
        <v>283.8</v>
      </c>
      <c r="W158" s="228">
        <v>-0.8</v>
      </c>
      <c r="X158" s="229">
        <v>-2.8E-3</v>
      </c>
      <c r="Y158" s="228">
        <v>0.7</v>
      </c>
      <c r="Z158" s="228">
        <v>1</v>
      </c>
      <c r="AA158" s="228">
        <v>-0.3</v>
      </c>
      <c r="AB158" s="229">
        <v>2.5000000000000001E-3</v>
      </c>
      <c r="AC158" s="228">
        <v>0.7</v>
      </c>
      <c r="AD158" s="228">
        <v>1</v>
      </c>
      <c r="AE158" s="228">
        <v>-0.3</v>
      </c>
      <c r="AF158" s="229">
        <v>2.5000000000000001E-3</v>
      </c>
      <c r="AG158" s="228">
        <v>2.35</v>
      </c>
      <c r="AH158" s="228">
        <v>2.8</v>
      </c>
      <c r="AI158" s="228">
        <v>-0.45</v>
      </c>
      <c r="AJ158" s="229">
        <v>8.3999999999999995E-3</v>
      </c>
      <c r="AK158" s="228">
        <v>4.25</v>
      </c>
      <c r="AL158" s="228">
        <v>4.1500000000000004</v>
      </c>
      <c r="AM158" s="228">
        <v>0.1</v>
      </c>
      <c r="AN158" s="229">
        <v>1.52E-2</v>
      </c>
      <c r="AO158" s="228">
        <v>280.37</v>
      </c>
      <c r="AP158" s="228">
        <v>282.23</v>
      </c>
      <c r="AQ158" s="228">
        <v>0</v>
      </c>
      <c r="AR158" s="230">
        <v>8211600</v>
      </c>
      <c r="AS158" s="230">
        <v>5886000</v>
      </c>
      <c r="AT158" s="230">
        <v>2325600</v>
      </c>
      <c r="AU158" s="229">
        <v>0.39510000000000001</v>
      </c>
      <c r="AV158" s="230">
        <v>5171400</v>
      </c>
      <c r="AW158" s="230">
        <v>4350600</v>
      </c>
      <c r="AX158" s="230">
        <v>820800</v>
      </c>
      <c r="AY158" s="229">
        <v>0.18870000000000001</v>
      </c>
      <c r="AZ158" s="230">
        <v>3025800</v>
      </c>
      <c r="BA158" s="230">
        <v>1488600</v>
      </c>
      <c r="BB158" s="230">
        <v>1537200</v>
      </c>
      <c r="BC158" s="229">
        <v>1.0326</v>
      </c>
      <c r="BD158" s="230">
        <v>14400</v>
      </c>
      <c r="BE158" s="230">
        <v>46800</v>
      </c>
      <c r="BF158" s="230">
        <v>-32400</v>
      </c>
      <c r="BG158" s="229">
        <v>-0.69230000000000003</v>
      </c>
      <c r="BH158" s="230">
        <v>5367600</v>
      </c>
      <c r="BI158" s="230">
        <v>6660000</v>
      </c>
      <c r="BJ158" s="230">
        <v>-1292400</v>
      </c>
      <c r="BK158" s="229">
        <v>-0.19409999999999999</v>
      </c>
      <c r="BL158" s="230">
        <v>3004200</v>
      </c>
      <c r="BM158" s="230">
        <v>4435200</v>
      </c>
      <c r="BN158" s="230">
        <v>-1431000</v>
      </c>
      <c r="BO158" s="229">
        <v>-0.3226</v>
      </c>
      <c r="BP158" s="230">
        <v>16583400</v>
      </c>
      <c r="BQ158" s="230">
        <v>16981200</v>
      </c>
      <c r="BR158" s="230">
        <v>-397800</v>
      </c>
      <c r="BS158" s="229">
        <v>-2.3400000000000001E-2</v>
      </c>
      <c r="BT158" s="230">
        <v>1528095</v>
      </c>
      <c r="BU158" s="230">
        <v>2249412</v>
      </c>
      <c r="BV158" s="230">
        <v>-721317</v>
      </c>
      <c r="BW158" s="229">
        <v>-0.32069999999999999</v>
      </c>
      <c r="BX158" s="230">
        <v>45599400</v>
      </c>
      <c r="BY158" s="230">
        <v>44028000</v>
      </c>
      <c r="BZ158" s="230">
        <v>1571400</v>
      </c>
      <c r="CA158" s="229">
        <v>3.5700000000000003E-2</v>
      </c>
      <c r="CB158" s="230">
        <v>40964400</v>
      </c>
      <c r="CC158" s="230">
        <v>42004800</v>
      </c>
      <c r="CD158" s="230">
        <v>-1040400</v>
      </c>
      <c r="CE158" s="229">
        <v>-2.4799999999999999E-2</v>
      </c>
      <c r="CF158" s="230">
        <v>4503600</v>
      </c>
      <c r="CG158" s="230">
        <v>1899000</v>
      </c>
      <c r="CH158" s="230">
        <v>2604600</v>
      </c>
      <c r="CI158" s="229">
        <v>1.3715999999999999</v>
      </c>
      <c r="CJ158" s="230">
        <v>131400</v>
      </c>
      <c r="CK158" s="230">
        <v>124200</v>
      </c>
      <c r="CL158" s="230">
        <v>7200</v>
      </c>
      <c r="CM158" s="229">
        <v>5.8000000000000003E-2</v>
      </c>
      <c r="CN158" s="230">
        <v>16255800</v>
      </c>
      <c r="CO158" s="230">
        <v>16461000</v>
      </c>
      <c r="CP158" s="230">
        <v>-205200</v>
      </c>
      <c r="CQ158" s="229">
        <v>-1.2500000000000001E-2</v>
      </c>
      <c r="CR158" s="230">
        <v>15881400</v>
      </c>
      <c r="CS158" s="230">
        <v>15777000</v>
      </c>
      <c r="CT158" s="230">
        <v>104400</v>
      </c>
      <c r="CU158" s="229">
        <v>6.6E-3</v>
      </c>
      <c r="CV158" s="230">
        <v>77736600</v>
      </c>
      <c r="CW158" s="230">
        <v>76266000</v>
      </c>
      <c r="CX158" s="230">
        <v>1470600</v>
      </c>
      <c r="CY158" s="229">
        <v>1.9300000000000001E-2</v>
      </c>
      <c r="CZ158" s="228">
        <v>25.52</v>
      </c>
      <c r="DA158" s="228">
        <v>24.52</v>
      </c>
      <c r="DB158" s="228">
        <v>1</v>
      </c>
      <c r="DC158" s="228">
        <v>1</v>
      </c>
      <c r="DD158" s="228">
        <v>32.909999999999997</v>
      </c>
      <c r="DE158" s="228">
        <v>32.979999999999997</v>
      </c>
      <c r="DF158" s="228">
        <v>-7.39</v>
      </c>
      <c r="DG158" s="228">
        <v>-7.0000000000000007E-2</v>
      </c>
      <c r="DH158" s="228">
        <v>25.64</v>
      </c>
      <c r="DI158" s="228">
        <v>24.22</v>
      </c>
      <c r="DJ158" s="228">
        <v>1.42</v>
      </c>
      <c r="DK158" s="228">
        <v>1.42</v>
      </c>
      <c r="DL158" s="228">
        <v>25.29</v>
      </c>
      <c r="DM158" s="228">
        <v>24.96</v>
      </c>
      <c r="DN158" s="228">
        <v>0.33</v>
      </c>
      <c r="DO158" s="228">
        <v>0.33</v>
      </c>
      <c r="DP158" s="228">
        <v>0.98</v>
      </c>
      <c r="DQ158" s="228">
        <v>0.96</v>
      </c>
      <c r="DR158" s="228">
        <v>0.02</v>
      </c>
      <c r="DS158" s="229">
        <v>2.0799999999999999E-2</v>
      </c>
      <c r="DT158" s="228">
        <v>290</v>
      </c>
      <c r="DU158" s="228">
        <v>270</v>
      </c>
      <c r="DV158" s="228">
        <v>0.56000000000000005</v>
      </c>
      <c r="DW158" s="228">
        <v>0.67</v>
      </c>
      <c r="DX158" s="228">
        <v>-0.11</v>
      </c>
      <c r="DY158" s="229">
        <v>-0.16420000000000001</v>
      </c>
      <c r="DZ158" s="229">
        <v>0.1016</v>
      </c>
      <c r="EA158" s="230">
        <v>2023200</v>
      </c>
      <c r="EB158" s="229">
        <v>5.8999999999999999E-3</v>
      </c>
      <c r="EC158" s="229">
        <v>0.1016</v>
      </c>
      <c r="ED158" s="228">
        <v>1.86</v>
      </c>
      <c r="EE158" s="229">
        <v>6.6E-3</v>
      </c>
      <c r="EF158" s="230">
        <v>829886</v>
      </c>
      <c r="EG158" s="230">
        <v>1317820</v>
      </c>
      <c r="EH158" s="229">
        <v>-0.37030000000000002</v>
      </c>
      <c r="EI158" s="229">
        <v>0.54310000000000003</v>
      </c>
      <c r="EJ158" s="231">
        <v>15553.95</v>
      </c>
      <c r="EK158" s="231">
        <v>8564.7099999999991</v>
      </c>
      <c r="EL158" s="231">
        <v>23079.4</v>
      </c>
      <c r="EM158" s="231">
        <v>1962</v>
      </c>
      <c r="EN158" s="231">
        <v>47198.06</v>
      </c>
      <c r="EO158" s="231">
        <v>48410.400000000001</v>
      </c>
      <c r="EP158" s="231">
        <v>-1212.3399999999999</v>
      </c>
      <c r="EQ158" s="229">
        <v>-2.5000000000000001E-2</v>
      </c>
      <c r="ER158" s="231">
        <v>47551</v>
      </c>
      <c r="ES158" s="231">
        <v>44557</v>
      </c>
      <c r="ET158" s="231">
        <v>127506</v>
      </c>
      <c r="EU158" s="231">
        <v>93668136</v>
      </c>
      <c r="EV158" s="231">
        <v>219615</v>
      </c>
      <c r="EW158" s="231">
        <v>216094</v>
      </c>
      <c r="EX158" s="231">
        <v>3521</v>
      </c>
      <c r="EY158" s="229">
        <v>1.6299999999999999E-2</v>
      </c>
      <c r="EZ158" s="229">
        <v>0.82989999999999997</v>
      </c>
      <c r="FA158" s="227" t="s">
        <v>567</v>
      </c>
      <c r="FB158" s="161">
        <f t="shared" si="3"/>
        <v>0</v>
      </c>
    </row>
    <row r="159" spans="1:158" ht="17.25" thickBot="1" x14ac:dyDescent="0.3">
      <c r="A159" s="226">
        <v>45946</v>
      </c>
      <c r="B159" s="227" t="s">
        <v>175</v>
      </c>
      <c r="C159" s="227" t="s">
        <v>273</v>
      </c>
      <c r="D159" s="228">
        <v>1300</v>
      </c>
      <c r="E159" s="228">
        <v>402.3</v>
      </c>
      <c r="F159" s="228">
        <v>406.9</v>
      </c>
      <c r="G159" s="228">
        <v>-4.5999999999999996</v>
      </c>
      <c r="H159" s="229">
        <v>-1.1299999999999999E-2</v>
      </c>
      <c r="I159" s="228">
        <v>401.55</v>
      </c>
      <c r="J159" s="228">
        <v>405</v>
      </c>
      <c r="K159" s="228">
        <v>-3.45</v>
      </c>
      <c r="L159" s="229">
        <v>-8.5000000000000006E-3</v>
      </c>
      <c r="M159" s="228">
        <v>402.3</v>
      </c>
      <c r="N159" s="228">
        <v>406.9</v>
      </c>
      <c r="O159" s="228">
        <v>-4.5999999999999996</v>
      </c>
      <c r="P159" s="229">
        <v>-1.1299999999999999E-2</v>
      </c>
      <c r="Q159" s="228">
        <v>402.05</v>
      </c>
      <c r="R159" s="228">
        <v>405.75</v>
      </c>
      <c r="S159" s="228">
        <v>-3.7</v>
      </c>
      <c r="T159" s="229">
        <v>-9.1000000000000004E-3</v>
      </c>
      <c r="U159" s="228">
        <v>403.85</v>
      </c>
      <c r="V159" s="228">
        <v>407.1</v>
      </c>
      <c r="W159" s="228">
        <v>-3.25</v>
      </c>
      <c r="X159" s="229">
        <v>-8.0000000000000002E-3</v>
      </c>
      <c r="Y159" s="228">
        <v>0.75</v>
      </c>
      <c r="Z159" s="228">
        <v>1.9</v>
      </c>
      <c r="AA159" s="228">
        <v>-1.1499999999999999</v>
      </c>
      <c r="AB159" s="229">
        <v>1.9E-3</v>
      </c>
      <c r="AC159" s="228">
        <v>0.75</v>
      </c>
      <c r="AD159" s="228">
        <v>1.9</v>
      </c>
      <c r="AE159" s="228">
        <v>-1.1499999999999999</v>
      </c>
      <c r="AF159" s="229">
        <v>1.9E-3</v>
      </c>
      <c r="AG159" s="228">
        <v>0.5</v>
      </c>
      <c r="AH159" s="228">
        <v>0.75</v>
      </c>
      <c r="AI159" s="228">
        <v>-0.25</v>
      </c>
      <c r="AJ159" s="229">
        <v>1.1999999999999999E-3</v>
      </c>
      <c r="AK159" s="228">
        <v>2.2999999999999998</v>
      </c>
      <c r="AL159" s="228">
        <v>2.1</v>
      </c>
      <c r="AM159" s="228">
        <v>0.2</v>
      </c>
      <c r="AN159" s="229">
        <v>5.7000000000000002E-3</v>
      </c>
      <c r="AO159" s="228">
        <v>405.93</v>
      </c>
      <c r="AP159" s="228">
        <v>404.58</v>
      </c>
      <c r="AQ159" s="228">
        <v>0</v>
      </c>
      <c r="AR159" s="230">
        <v>9332700</v>
      </c>
      <c r="AS159" s="230">
        <v>11021400</v>
      </c>
      <c r="AT159" s="230">
        <v>-1688700</v>
      </c>
      <c r="AU159" s="229">
        <v>-0.1532</v>
      </c>
      <c r="AV159" s="230">
        <v>7017400</v>
      </c>
      <c r="AW159" s="230">
        <v>8933600</v>
      </c>
      <c r="AX159" s="230">
        <v>-1916200</v>
      </c>
      <c r="AY159" s="229">
        <v>-0.2145</v>
      </c>
      <c r="AZ159" s="230">
        <v>2204800</v>
      </c>
      <c r="BA159" s="230">
        <v>1968200</v>
      </c>
      <c r="BB159" s="230">
        <v>236600</v>
      </c>
      <c r="BC159" s="229">
        <v>0.1202</v>
      </c>
      <c r="BD159" s="230">
        <v>110500</v>
      </c>
      <c r="BE159" s="230">
        <v>119600</v>
      </c>
      <c r="BF159" s="230">
        <v>-9100</v>
      </c>
      <c r="BG159" s="229">
        <v>-7.6100000000000001E-2</v>
      </c>
      <c r="BH159" s="230">
        <v>20482800</v>
      </c>
      <c r="BI159" s="230">
        <v>25065300</v>
      </c>
      <c r="BJ159" s="230">
        <v>-4582500</v>
      </c>
      <c r="BK159" s="229">
        <v>-0.18279999999999999</v>
      </c>
      <c r="BL159" s="230">
        <v>12386400</v>
      </c>
      <c r="BM159" s="230">
        <v>14189500</v>
      </c>
      <c r="BN159" s="230">
        <v>-1803100</v>
      </c>
      <c r="BO159" s="229">
        <v>-0.12709999999999999</v>
      </c>
      <c r="BP159" s="230">
        <v>42201900</v>
      </c>
      <c r="BQ159" s="230">
        <v>50276200</v>
      </c>
      <c r="BR159" s="230">
        <v>-8074300</v>
      </c>
      <c r="BS159" s="229">
        <v>-0.16059999999999999</v>
      </c>
      <c r="BT159" s="230">
        <v>4606472</v>
      </c>
      <c r="BU159" s="230">
        <v>6927400</v>
      </c>
      <c r="BV159" s="230">
        <v>-2320928</v>
      </c>
      <c r="BW159" s="229">
        <v>-0.33500000000000002</v>
      </c>
      <c r="BX159" s="230">
        <v>57748600</v>
      </c>
      <c r="BY159" s="230">
        <v>56539600</v>
      </c>
      <c r="BZ159" s="230">
        <v>1209000</v>
      </c>
      <c r="CA159" s="229">
        <v>2.1399999999999999E-2</v>
      </c>
      <c r="CB159" s="230">
        <v>50226800</v>
      </c>
      <c r="CC159" s="230">
        <v>50342500</v>
      </c>
      <c r="CD159" s="230">
        <v>-115700</v>
      </c>
      <c r="CE159" s="229">
        <v>-2.3E-3</v>
      </c>
      <c r="CF159" s="230">
        <v>7170800</v>
      </c>
      <c r="CG159" s="230">
        <v>5895500</v>
      </c>
      <c r="CH159" s="230">
        <v>1275300</v>
      </c>
      <c r="CI159" s="229">
        <v>0.21629999999999999</v>
      </c>
      <c r="CJ159" s="230">
        <v>351000</v>
      </c>
      <c r="CK159" s="230">
        <v>301600</v>
      </c>
      <c r="CL159" s="230">
        <v>49400</v>
      </c>
      <c r="CM159" s="229">
        <v>0.1638</v>
      </c>
      <c r="CN159" s="230">
        <v>26527800</v>
      </c>
      <c r="CO159" s="230">
        <v>24278800</v>
      </c>
      <c r="CP159" s="230">
        <v>2249000</v>
      </c>
      <c r="CQ159" s="229">
        <v>9.2600000000000002E-2</v>
      </c>
      <c r="CR159" s="230">
        <v>19996600</v>
      </c>
      <c r="CS159" s="230">
        <v>19093100</v>
      </c>
      <c r="CT159" s="230">
        <v>903500</v>
      </c>
      <c r="CU159" s="229">
        <v>4.7300000000000002E-2</v>
      </c>
      <c r="CV159" s="230">
        <v>104273000</v>
      </c>
      <c r="CW159" s="230">
        <v>99911500</v>
      </c>
      <c r="CX159" s="230">
        <v>4361500</v>
      </c>
      <c r="CY159" s="229">
        <v>4.3700000000000003E-2</v>
      </c>
      <c r="CZ159" s="228">
        <v>25.63</v>
      </c>
      <c r="DA159" s="228">
        <v>26.02</v>
      </c>
      <c r="DB159" s="228">
        <v>-0.39</v>
      </c>
      <c r="DC159" s="228">
        <v>-0.39</v>
      </c>
      <c r="DD159" s="228">
        <v>44.6</v>
      </c>
      <c r="DE159" s="228">
        <v>44.68</v>
      </c>
      <c r="DF159" s="228">
        <v>-18.97</v>
      </c>
      <c r="DG159" s="228">
        <v>-0.08</v>
      </c>
      <c r="DH159" s="228">
        <v>26.47</v>
      </c>
      <c r="DI159" s="228">
        <v>26.05</v>
      </c>
      <c r="DJ159" s="228">
        <v>0.42</v>
      </c>
      <c r="DK159" s="228">
        <v>0.42</v>
      </c>
      <c r="DL159" s="228">
        <v>24.24</v>
      </c>
      <c r="DM159" s="228">
        <v>25.95</v>
      </c>
      <c r="DN159" s="228">
        <v>-1.71</v>
      </c>
      <c r="DO159" s="228">
        <v>-1.71</v>
      </c>
      <c r="DP159" s="228">
        <v>0.75</v>
      </c>
      <c r="DQ159" s="228">
        <v>0.79</v>
      </c>
      <c r="DR159" s="228">
        <v>-0.04</v>
      </c>
      <c r="DS159" s="229">
        <v>-5.0599999999999999E-2</v>
      </c>
      <c r="DT159" s="228">
        <v>410</v>
      </c>
      <c r="DU159" s="228">
        <v>400</v>
      </c>
      <c r="DV159" s="228">
        <v>0.6</v>
      </c>
      <c r="DW159" s="228">
        <v>0.56999999999999995</v>
      </c>
      <c r="DX159" s="228">
        <v>0.03</v>
      </c>
      <c r="DY159" s="229">
        <v>5.2600000000000001E-2</v>
      </c>
      <c r="DZ159" s="229">
        <v>0.1303</v>
      </c>
      <c r="EA159" s="230">
        <v>6197100</v>
      </c>
      <c r="EB159" s="229">
        <v>-5.9999999999999995E-4</v>
      </c>
      <c r="EC159" s="229">
        <v>0.1303</v>
      </c>
      <c r="ED159" s="228">
        <v>-1.35</v>
      </c>
      <c r="EE159" s="229">
        <v>-3.3E-3</v>
      </c>
      <c r="EF159" s="230">
        <v>2968976</v>
      </c>
      <c r="EG159" s="230">
        <v>4966515</v>
      </c>
      <c r="EH159" s="229">
        <v>-0.4022</v>
      </c>
      <c r="EI159" s="229">
        <v>0.64449999999999996</v>
      </c>
      <c r="EJ159" s="231">
        <v>85877.25</v>
      </c>
      <c r="EK159" s="231">
        <v>50184.14</v>
      </c>
      <c r="EL159" s="231">
        <v>37854.660000000003</v>
      </c>
      <c r="EM159" s="231">
        <v>5716</v>
      </c>
      <c r="EN159" s="231">
        <v>173916.05</v>
      </c>
      <c r="EO159" s="231">
        <v>207334.55</v>
      </c>
      <c r="EP159" s="231">
        <v>-33418.5</v>
      </c>
      <c r="EQ159" s="229">
        <v>-0.16120000000000001</v>
      </c>
      <c r="ER159" s="231">
        <v>111466</v>
      </c>
      <c r="ES159" s="231">
        <v>80416</v>
      </c>
      <c r="ET159" s="231">
        <v>232310</v>
      </c>
      <c r="EU159" s="231">
        <v>203602113</v>
      </c>
      <c r="EV159" s="231">
        <v>424192</v>
      </c>
      <c r="EW159" s="231">
        <v>409231</v>
      </c>
      <c r="EX159" s="231">
        <v>14961</v>
      </c>
      <c r="EY159" s="229">
        <v>3.6600000000000001E-2</v>
      </c>
      <c r="EZ159" s="229">
        <v>0.5121</v>
      </c>
      <c r="FA159" s="227" t="s">
        <v>567</v>
      </c>
      <c r="FB159" s="161">
        <f t="shared" si="3"/>
        <v>0</v>
      </c>
    </row>
    <row r="160" spans="1:158" ht="17.25" thickBot="1" x14ac:dyDescent="0.3">
      <c r="A160" s="226">
        <v>45946</v>
      </c>
      <c r="B160" s="227" t="s">
        <v>184</v>
      </c>
      <c r="C160" s="227" t="s">
        <v>681</v>
      </c>
      <c r="D160" s="228">
        <v>700</v>
      </c>
      <c r="E160" s="228">
        <v>569.70000000000005</v>
      </c>
      <c r="F160" s="228">
        <v>572.1</v>
      </c>
      <c r="G160" s="228">
        <v>-2.4</v>
      </c>
      <c r="H160" s="229">
        <v>-4.1999999999999997E-3</v>
      </c>
      <c r="I160" s="228">
        <v>568.85</v>
      </c>
      <c r="J160" s="228">
        <v>571.29999999999995</v>
      </c>
      <c r="K160" s="228">
        <v>-2.4500000000000002</v>
      </c>
      <c r="L160" s="229">
        <v>-4.3E-3</v>
      </c>
      <c r="M160" s="228">
        <v>569.70000000000005</v>
      </c>
      <c r="N160" s="228">
        <v>572.1</v>
      </c>
      <c r="O160" s="228">
        <v>-2.4</v>
      </c>
      <c r="P160" s="229">
        <v>-4.1999999999999997E-3</v>
      </c>
      <c r="Q160" s="228">
        <v>572.15</v>
      </c>
      <c r="R160" s="228">
        <v>574.25</v>
      </c>
      <c r="S160" s="228">
        <v>-2.1</v>
      </c>
      <c r="T160" s="229">
        <v>-3.7000000000000002E-3</v>
      </c>
      <c r="U160" s="228">
        <v>569.29999999999995</v>
      </c>
      <c r="V160" s="228">
        <v>574.9</v>
      </c>
      <c r="W160" s="228">
        <v>-5.6</v>
      </c>
      <c r="X160" s="229">
        <v>-9.7000000000000003E-3</v>
      </c>
      <c r="Y160" s="228">
        <v>0.85</v>
      </c>
      <c r="Z160" s="228">
        <v>0.8</v>
      </c>
      <c r="AA160" s="228">
        <v>0.05</v>
      </c>
      <c r="AB160" s="229">
        <v>1.5E-3</v>
      </c>
      <c r="AC160" s="228">
        <v>0.85</v>
      </c>
      <c r="AD160" s="228">
        <v>0.8</v>
      </c>
      <c r="AE160" s="228">
        <v>0.05</v>
      </c>
      <c r="AF160" s="229">
        <v>1.5E-3</v>
      </c>
      <c r="AG160" s="228">
        <v>3.3</v>
      </c>
      <c r="AH160" s="228">
        <v>2.95</v>
      </c>
      <c r="AI160" s="228">
        <v>0.35</v>
      </c>
      <c r="AJ160" s="229">
        <v>5.7999999999999996E-3</v>
      </c>
      <c r="AK160" s="228">
        <v>0.45</v>
      </c>
      <c r="AL160" s="228">
        <v>3.6</v>
      </c>
      <c r="AM160" s="228">
        <v>-3.15</v>
      </c>
      <c r="AN160" s="229">
        <v>8.0000000000000004E-4</v>
      </c>
      <c r="AO160" s="228">
        <v>569.54999999999995</v>
      </c>
      <c r="AP160" s="228">
        <v>571.65</v>
      </c>
      <c r="AQ160" s="228">
        <v>0</v>
      </c>
      <c r="AR160" s="230">
        <v>1892800</v>
      </c>
      <c r="AS160" s="230">
        <v>3318000</v>
      </c>
      <c r="AT160" s="230">
        <v>-1425200</v>
      </c>
      <c r="AU160" s="229">
        <v>-0.42949999999999999</v>
      </c>
      <c r="AV160" s="230">
        <v>1766100</v>
      </c>
      <c r="AW160" s="230">
        <v>3051300</v>
      </c>
      <c r="AX160" s="230">
        <v>-1285200</v>
      </c>
      <c r="AY160" s="229">
        <v>-0.42120000000000002</v>
      </c>
      <c r="AZ160" s="230">
        <v>124600</v>
      </c>
      <c r="BA160" s="230">
        <v>252700</v>
      </c>
      <c r="BB160" s="230">
        <v>-128100</v>
      </c>
      <c r="BC160" s="229">
        <v>-0.50690000000000002</v>
      </c>
      <c r="BD160" s="230">
        <v>2100</v>
      </c>
      <c r="BE160" s="230">
        <v>14000</v>
      </c>
      <c r="BF160" s="230">
        <v>-11900</v>
      </c>
      <c r="BG160" s="229">
        <v>-0.85</v>
      </c>
      <c r="BH160" s="230">
        <v>5208000</v>
      </c>
      <c r="BI160" s="230">
        <v>11150300</v>
      </c>
      <c r="BJ160" s="230">
        <v>-5942300</v>
      </c>
      <c r="BK160" s="229">
        <v>-0.53290000000000004</v>
      </c>
      <c r="BL160" s="230">
        <v>2245600</v>
      </c>
      <c r="BM160" s="230">
        <v>5208000</v>
      </c>
      <c r="BN160" s="230">
        <v>-2962400</v>
      </c>
      <c r="BO160" s="229">
        <v>-0.56879999999999997</v>
      </c>
      <c r="BP160" s="230">
        <v>9346400</v>
      </c>
      <c r="BQ160" s="230">
        <v>19676300</v>
      </c>
      <c r="BR160" s="230">
        <v>-10329900</v>
      </c>
      <c r="BS160" s="229">
        <v>-0.52500000000000002</v>
      </c>
      <c r="BT160" s="230">
        <v>1775795</v>
      </c>
      <c r="BU160" s="230">
        <v>2711165</v>
      </c>
      <c r="BV160" s="230">
        <v>-935370</v>
      </c>
      <c r="BW160" s="229">
        <v>-0.34499999999999997</v>
      </c>
      <c r="BX160" s="230">
        <v>9347800</v>
      </c>
      <c r="BY160" s="230">
        <v>9577400</v>
      </c>
      <c r="BZ160" s="230">
        <v>-229600</v>
      </c>
      <c r="CA160" s="229">
        <v>-2.4E-2</v>
      </c>
      <c r="CB160" s="230">
        <v>8801100</v>
      </c>
      <c r="CC160" s="230">
        <v>9067800</v>
      </c>
      <c r="CD160" s="230">
        <v>-266700</v>
      </c>
      <c r="CE160" s="229">
        <v>-2.9399999999999999E-2</v>
      </c>
      <c r="CF160" s="230">
        <v>491400</v>
      </c>
      <c r="CG160" s="230">
        <v>454300</v>
      </c>
      <c r="CH160" s="230">
        <v>37100</v>
      </c>
      <c r="CI160" s="229">
        <v>8.1699999999999995E-2</v>
      </c>
      <c r="CJ160" s="230">
        <v>55300</v>
      </c>
      <c r="CK160" s="230">
        <v>55300</v>
      </c>
      <c r="CL160" s="228">
        <v>0</v>
      </c>
      <c r="CM160" s="229">
        <v>0</v>
      </c>
      <c r="CN160" s="230">
        <v>6962900</v>
      </c>
      <c r="CO160" s="230">
        <v>6990900</v>
      </c>
      <c r="CP160" s="230">
        <v>-28000</v>
      </c>
      <c r="CQ160" s="229">
        <v>-4.0000000000000001E-3</v>
      </c>
      <c r="CR160" s="230">
        <v>5033700</v>
      </c>
      <c r="CS160" s="230">
        <v>4991700</v>
      </c>
      <c r="CT160" s="230">
        <v>42000</v>
      </c>
      <c r="CU160" s="229">
        <v>8.3999999999999995E-3</v>
      </c>
      <c r="CV160" s="230">
        <v>21344400</v>
      </c>
      <c r="CW160" s="230">
        <v>21560000</v>
      </c>
      <c r="CX160" s="230">
        <v>-215600</v>
      </c>
      <c r="CY160" s="229">
        <v>-0.01</v>
      </c>
      <c r="CZ160" s="228">
        <v>37.67</v>
      </c>
      <c r="DA160" s="228">
        <v>40.08</v>
      </c>
      <c r="DB160" s="228">
        <v>-2.41</v>
      </c>
      <c r="DC160" s="228">
        <v>-2.41</v>
      </c>
      <c r="DD160" s="228">
        <v>69.930000000000007</v>
      </c>
      <c r="DE160" s="228">
        <v>70.11</v>
      </c>
      <c r="DF160" s="228">
        <v>-32.26</v>
      </c>
      <c r="DG160" s="228">
        <v>-0.18</v>
      </c>
      <c r="DH160" s="228">
        <v>37.9</v>
      </c>
      <c r="DI160" s="228">
        <v>40.24</v>
      </c>
      <c r="DJ160" s="228">
        <v>-2.34</v>
      </c>
      <c r="DK160" s="228">
        <v>-2.34</v>
      </c>
      <c r="DL160" s="228">
        <v>37.130000000000003</v>
      </c>
      <c r="DM160" s="228">
        <v>39.75</v>
      </c>
      <c r="DN160" s="228">
        <v>-2.62</v>
      </c>
      <c r="DO160" s="228">
        <v>-2.62</v>
      </c>
      <c r="DP160" s="228">
        <v>0.72</v>
      </c>
      <c r="DQ160" s="228">
        <v>0.71</v>
      </c>
      <c r="DR160" s="228">
        <v>0.01</v>
      </c>
      <c r="DS160" s="229">
        <v>1.41E-2</v>
      </c>
      <c r="DT160" s="228">
        <v>600</v>
      </c>
      <c r="DU160" s="228">
        <v>500</v>
      </c>
      <c r="DV160" s="228">
        <v>0.43</v>
      </c>
      <c r="DW160" s="228">
        <v>0.47</v>
      </c>
      <c r="DX160" s="228">
        <v>-0.04</v>
      </c>
      <c r="DY160" s="229">
        <v>-8.5099999999999995E-2</v>
      </c>
      <c r="DZ160" s="229">
        <v>5.8500000000000003E-2</v>
      </c>
      <c r="EA160" s="230">
        <v>509600</v>
      </c>
      <c r="EB160" s="229">
        <v>4.3E-3</v>
      </c>
      <c r="EC160" s="229">
        <v>5.8500000000000003E-2</v>
      </c>
      <c r="ED160" s="228">
        <v>2.1</v>
      </c>
      <c r="EE160" s="229">
        <v>3.7000000000000002E-3</v>
      </c>
      <c r="EF160" s="230">
        <v>436193</v>
      </c>
      <c r="EG160" s="230">
        <v>949730</v>
      </c>
      <c r="EH160" s="229">
        <v>-0.54069999999999996</v>
      </c>
      <c r="EI160" s="229">
        <v>0.24560000000000001</v>
      </c>
      <c r="EJ160" s="231">
        <v>31215.41</v>
      </c>
      <c r="EK160" s="231">
        <v>12783.99</v>
      </c>
      <c r="EL160" s="231">
        <v>10783.12</v>
      </c>
      <c r="EM160" s="231">
        <v>8238</v>
      </c>
      <c r="EN160" s="231">
        <v>54782.52</v>
      </c>
      <c r="EO160" s="231">
        <v>116121.21</v>
      </c>
      <c r="EP160" s="231">
        <v>-61338.69</v>
      </c>
      <c r="EQ160" s="229">
        <v>-0.5282</v>
      </c>
      <c r="ER160" s="231">
        <v>41300</v>
      </c>
      <c r="ES160" s="231">
        <v>26766</v>
      </c>
      <c r="ET160" s="231">
        <v>53266</v>
      </c>
      <c r="EU160" s="231">
        <v>23897684</v>
      </c>
      <c r="EV160" s="231">
        <v>121332</v>
      </c>
      <c r="EW160" s="231">
        <v>122834</v>
      </c>
      <c r="EX160" s="231">
        <v>-1502</v>
      </c>
      <c r="EY160" s="229">
        <v>-1.2200000000000001E-2</v>
      </c>
      <c r="EZ160" s="229">
        <v>0.89319999999999999</v>
      </c>
      <c r="FA160" s="227" t="s">
        <v>568</v>
      </c>
      <c r="FB160" s="161">
        <f t="shared" si="3"/>
        <v>0</v>
      </c>
    </row>
    <row r="161" spans="1:158" ht="17.25" thickBot="1" x14ac:dyDescent="0.3">
      <c r="A161" s="226">
        <v>45946</v>
      </c>
      <c r="B161" s="227" t="s">
        <v>206</v>
      </c>
      <c r="C161" s="227" t="s">
        <v>645</v>
      </c>
      <c r="D161" s="228">
        <v>350</v>
      </c>
      <c r="E161" s="231">
        <v>1701.4</v>
      </c>
      <c r="F161" s="231">
        <v>1678.6</v>
      </c>
      <c r="G161" s="228">
        <v>22.8</v>
      </c>
      <c r="H161" s="229">
        <v>1.3599999999999999E-2</v>
      </c>
      <c r="I161" s="231">
        <v>1694.9</v>
      </c>
      <c r="J161" s="231">
        <v>1676.3</v>
      </c>
      <c r="K161" s="228">
        <v>18.600000000000001</v>
      </c>
      <c r="L161" s="229">
        <v>1.11E-2</v>
      </c>
      <c r="M161" s="231">
        <v>1701.4</v>
      </c>
      <c r="N161" s="231">
        <v>1678.6</v>
      </c>
      <c r="O161" s="228">
        <v>22.8</v>
      </c>
      <c r="P161" s="229">
        <v>1.3599999999999999E-2</v>
      </c>
      <c r="Q161" s="231">
        <v>1710.5</v>
      </c>
      <c r="R161" s="231">
        <v>1687.6</v>
      </c>
      <c r="S161" s="228">
        <v>22.9</v>
      </c>
      <c r="T161" s="229">
        <v>1.3599999999999999E-2</v>
      </c>
      <c r="U161" s="231">
        <v>1738</v>
      </c>
      <c r="V161" s="231">
        <v>1698.8</v>
      </c>
      <c r="W161" s="228">
        <v>39.200000000000003</v>
      </c>
      <c r="X161" s="229">
        <v>2.3099999999999999E-2</v>
      </c>
      <c r="Y161" s="228">
        <v>6.5</v>
      </c>
      <c r="Z161" s="228">
        <v>2.2999999999999998</v>
      </c>
      <c r="AA161" s="228">
        <v>4.2</v>
      </c>
      <c r="AB161" s="229">
        <v>3.8E-3</v>
      </c>
      <c r="AC161" s="228">
        <v>6.5</v>
      </c>
      <c r="AD161" s="228">
        <v>2.2999999999999998</v>
      </c>
      <c r="AE161" s="228">
        <v>4.2</v>
      </c>
      <c r="AF161" s="229">
        <v>3.8E-3</v>
      </c>
      <c r="AG161" s="228">
        <v>15.6</v>
      </c>
      <c r="AH161" s="228">
        <v>11.3</v>
      </c>
      <c r="AI161" s="228">
        <v>4.3</v>
      </c>
      <c r="AJ161" s="229">
        <v>9.1999999999999998E-3</v>
      </c>
      <c r="AK161" s="228">
        <v>43.1</v>
      </c>
      <c r="AL161" s="228">
        <v>22.5</v>
      </c>
      <c r="AM161" s="228">
        <v>20.6</v>
      </c>
      <c r="AN161" s="229">
        <v>2.5399999999999999E-2</v>
      </c>
      <c r="AO161" s="231">
        <v>1701.03</v>
      </c>
      <c r="AP161" s="231">
        <v>1707.69</v>
      </c>
      <c r="AQ161" s="228">
        <v>0</v>
      </c>
      <c r="AR161" s="230">
        <v>1756650</v>
      </c>
      <c r="AS161" s="230">
        <v>787500</v>
      </c>
      <c r="AT161" s="230">
        <v>969150</v>
      </c>
      <c r="AU161" s="229">
        <v>1.2306999999999999</v>
      </c>
      <c r="AV161" s="230">
        <v>1605800</v>
      </c>
      <c r="AW161" s="230">
        <v>734650</v>
      </c>
      <c r="AX161" s="230">
        <v>871150</v>
      </c>
      <c r="AY161" s="229">
        <v>1.1858</v>
      </c>
      <c r="AZ161" s="230">
        <v>147000</v>
      </c>
      <c r="BA161" s="230">
        <v>51450</v>
      </c>
      <c r="BB161" s="230">
        <v>95550</v>
      </c>
      <c r="BC161" s="229">
        <v>1.8571</v>
      </c>
      <c r="BD161" s="230">
        <v>3850</v>
      </c>
      <c r="BE161" s="230">
        <v>1400</v>
      </c>
      <c r="BF161" s="230">
        <v>2450</v>
      </c>
      <c r="BG161" s="229">
        <v>1.75</v>
      </c>
      <c r="BH161" s="230">
        <v>4538450</v>
      </c>
      <c r="BI161" s="230">
        <v>3964100</v>
      </c>
      <c r="BJ161" s="230">
        <v>574350</v>
      </c>
      <c r="BK161" s="229">
        <v>0.1449</v>
      </c>
      <c r="BL161" s="230">
        <v>1449700</v>
      </c>
      <c r="BM161" s="230">
        <v>1167950</v>
      </c>
      <c r="BN161" s="230">
        <v>281750</v>
      </c>
      <c r="BO161" s="229">
        <v>0.2412</v>
      </c>
      <c r="BP161" s="230">
        <v>7744800</v>
      </c>
      <c r="BQ161" s="230">
        <v>5919550</v>
      </c>
      <c r="BR161" s="230">
        <v>1825250</v>
      </c>
      <c r="BS161" s="229">
        <v>0.30830000000000002</v>
      </c>
      <c r="BT161" s="230">
        <v>1452253</v>
      </c>
      <c r="BU161" s="230">
        <v>1374910</v>
      </c>
      <c r="BV161" s="230">
        <v>77343</v>
      </c>
      <c r="BW161" s="229">
        <v>5.6300000000000003E-2</v>
      </c>
      <c r="BX161" s="230">
        <v>4257050</v>
      </c>
      <c r="BY161" s="230">
        <v>3925250</v>
      </c>
      <c r="BZ161" s="230">
        <v>331800</v>
      </c>
      <c r="CA161" s="229">
        <v>8.4500000000000006E-2</v>
      </c>
      <c r="CB161" s="230">
        <v>4151350</v>
      </c>
      <c r="CC161" s="230">
        <v>3830050</v>
      </c>
      <c r="CD161" s="230">
        <v>321300</v>
      </c>
      <c r="CE161" s="229">
        <v>8.3900000000000002E-2</v>
      </c>
      <c r="CF161" s="230">
        <v>96250</v>
      </c>
      <c r="CG161" s="230">
        <v>87850</v>
      </c>
      <c r="CH161" s="230">
        <v>8400</v>
      </c>
      <c r="CI161" s="229">
        <v>9.5600000000000004E-2</v>
      </c>
      <c r="CJ161" s="230">
        <v>9450</v>
      </c>
      <c r="CK161" s="230">
        <v>7350</v>
      </c>
      <c r="CL161" s="230">
        <v>2100</v>
      </c>
      <c r="CM161" s="229">
        <v>0.28570000000000001</v>
      </c>
      <c r="CN161" s="230">
        <v>1549450</v>
      </c>
      <c r="CO161" s="230">
        <v>1135050</v>
      </c>
      <c r="CP161" s="230">
        <v>414400</v>
      </c>
      <c r="CQ161" s="229">
        <v>0.36509999999999998</v>
      </c>
      <c r="CR161" s="230">
        <v>1148000</v>
      </c>
      <c r="CS161" s="230">
        <v>876400</v>
      </c>
      <c r="CT161" s="230">
        <v>271600</v>
      </c>
      <c r="CU161" s="229">
        <v>0.30990000000000001</v>
      </c>
      <c r="CV161" s="230">
        <v>6954500</v>
      </c>
      <c r="CW161" s="230">
        <v>5936700</v>
      </c>
      <c r="CX161" s="230">
        <v>1017800</v>
      </c>
      <c r="CY161" s="229">
        <v>0.1714</v>
      </c>
      <c r="CZ161" s="228">
        <v>32.659999999999997</v>
      </c>
      <c r="DA161" s="228">
        <v>30.74</v>
      </c>
      <c r="DB161" s="228">
        <v>1.92</v>
      </c>
      <c r="DC161" s="228">
        <v>1.92</v>
      </c>
      <c r="DD161" s="228">
        <v>44.51</v>
      </c>
      <c r="DE161" s="228">
        <v>44.59</v>
      </c>
      <c r="DF161" s="228">
        <v>-11.85</v>
      </c>
      <c r="DG161" s="228">
        <v>-0.08</v>
      </c>
      <c r="DH161" s="228">
        <v>32.71</v>
      </c>
      <c r="DI161" s="228">
        <v>30.29</v>
      </c>
      <c r="DJ161" s="228">
        <v>2.42</v>
      </c>
      <c r="DK161" s="228">
        <v>2.42</v>
      </c>
      <c r="DL161" s="228">
        <v>32.53</v>
      </c>
      <c r="DM161" s="228">
        <v>32.26</v>
      </c>
      <c r="DN161" s="228">
        <v>0.27</v>
      </c>
      <c r="DO161" s="228">
        <v>0.27</v>
      </c>
      <c r="DP161" s="228">
        <v>0.74</v>
      </c>
      <c r="DQ161" s="228">
        <v>0.77</v>
      </c>
      <c r="DR161" s="228">
        <v>-0.03</v>
      </c>
      <c r="DS161" s="229">
        <v>-3.9E-2</v>
      </c>
      <c r="DT161" s="231">
        <v>1700</v>
      </c>
      <c r="DU161" s="231">
        <v>1640</v>
      </c>
      <c r="DV161" s="228">
        <v>0.32</v>
      </c>
      <c r="DW161" s="228">
        <v>0.28999999999999998</v>
      </c>
      <c r="DX161" s="228">
        <v>0.03</v>
      </c>
      <c r="DY161" s="229">
        <v>0.10340000000000001</v>
      </c>
      <c r="DZ161" s="229">
        <v>2.4799999999999999E-2</v>
      </c>
      <c r="EA161" s="230">
        <v>95200</v>
      </c>
      <c r="EB161" s="229">
        <v>5.3E-3</v>
      </c>
      <c r="EC161" s="229">
        <v>2.4799999999999999E-2</v>
      </c>
      <c r="ED161" s="228">
        <v>6.66</v>
      </c>
      <c r="EE161" s="229">
        <v>3.8999999999999998E-3</v>
      </c>
      <c r="EF161" s="230">
        <v>888110</v>
      </c>
      <c r="EG161" s="230">
        <v>812774</v>
      </c>
      <c r="EH161" s="229">
        <v>9.2700000000000005E-2</v>
      </c>
      <c r="EI161" s="229">
        <v>0.61150000000000004</v>
      </c>
      <c r="EJ161" s="231">
        <v>79562.09</v>
      </c>
      <c r="EK161" s="231">
        <v>24260.41</v>
      </c>
      <c r="EL161" s="231">
        <v>29891.71</v>
      </c>
      <c r="EM161" s="231">
        <v>1804</v>
      </c>
      <c r="EN161" s="231">
        <v>133714.21</v>
      </c>
      <c r="EO161" s="231">
        <v>100165.77</v>
      </c>
      <c r="EP161" s="231">
        <v>33548.44</v>
      </c>
      <c r="EQ161" s="229">
        <v>0.33489999999999998</v>
      </c>
      <c r="ER161" s="231">
        <v>26466</v>
      </c>
      <c r="ES161" s="231">
        <v>18442</v>
      </c>
      <c r="ET161" s="231">
        <v>72442</v>
      </c>
      <c r="EU161" s="231">
        <v>28283155</v>
      </c>
      <c r="EV161" s="231">
        <v>117350</v>
      </c>
      <c r="EW161" s="231">
        <v>98947</v>
      </c>
      <c r="EX161" s="231">
        <v>18403</v>
      </c>
      <c r="EY161" s="229">
        <v>0.186</v>
      </c>
      <c r="EZ161" s="229">
        <v>0.24590000000000001</v>
      </c>
      <c r="FA161" s="227" t="s">
        <v>555</v>
      </c>
      <c r="FB161" s="161">
        <f t="shared" si="3"/>
        <v>0</v>
      </c>
    </row>
    <row r="162" spans="1:158" ht="17.25" thickBot="1" x14ac:dyDescent="0.3">
      <c r="A162" s="226">
        <v>45946</v>
      </c>
      <c r="B162" s="227" t="s">
        <v>168</v>
      </c>
      <c r="C162" s="227" t="s">
        <v>274</v>
      </c>
      <c r="D162" s="228">
        <v>500</v>
      </c>
      <c r="E162" s="231">
        <v>1524.4</v>
      </c>
      <c r="F162" s="231">
        <v>1507.8</v>
      </c>
      <c r="G162" s="228">
        <v>16.600000000000001</v>
      </c>
      <c r="H162" s="229">
        <v>1.0999999999999999E-2</v>
      </c>
      <c r="I162" s="231">
        <v>1523</v>
      </c>
      <c r="J162" s="231">
        <v>1500.8</v>
      </c>
      <c r="K162" s="228">
        <v>22.2</v>
      </c>
      <c r="L162" s="229">
        <v>1.4800000000000001E-2</v>
      </c>
      <c r="M162" s="231">
        <v>1524.4</v>
      </c>
      <c r="N162" s="231">
        <v>1507.8</v>
      </c>
      <c r="O162" s="228">
        <v>16.600000000000001</v>
      </c>
      <c r="P162" s="229">
        <v>1.0999999999999999E-2</v>
      </c>
      <c r="Q162" s="231">
        <v>1532</v>
      </c>
      <c r="R162" s="231">
        <v>1515.5</v>
      </c>
      <c r="S162" s="228">
        <v>16.5</v>
      </c>
      <c r="T162" s="229">
        <v>1.09E-2</v>
      </c>
      <c r="U162" s="231">
        <v>1539</v>
      </c>
      <c r="V162" s="231">
        <v>1526.2</v>
      </c>
      <c r="W162" s="228">
        <v>12.8</v>
      </c>
      <c r="X162" s="229">
        <v>8.3999999999999995E-3</v>
      </c>
      <c r="Y162" s="228">
        <v>1.4</v>
      </c>
      <c r="Z162" s="228">
        <v>7</v>
      </c>
      <c r="AA162" s="228">
        <v>-5.6</v>
      </c>
      <c r="AB162" s="229">
        <v>8.9999999999999998E-4</v>
      </c>
      <c r="AC162" s="228">
        <v>1.4</v>
      </c>
      <c r="AD162" s="228">
        <v>7</v>
      </c>
      <c r="AE162" s="228">
        <v>-5.6</v>
      </c>
      <c r="AF162" s="229">
        <v>8.9999999999999998E-4</v>
      </c>
      <c r="AG162" s="228">
        <v>9</v>
      </c>
      <c r="AH162" s="228">
        <v>14.7</v>
      </c>
      <c r="AI162" s="228">
        <v>-5.7</v>
      </c>
      <c r="AJ162" s="229">
        <v>5.8999999999999999E-3</v>
      </c>
      <c r="AK162" s="228">
        <v>16</v>
      </c>
      <c r="AL162" s="228">
        <v>25.4</v>
      </c>
      <c r="AM162" s="228">
        <v>-9.4</v>
      </c>
      <c r="AN162" s="229">
        <v>1.0500000000000001E-2</v>
      </c>
      <c r="AO162" s="231">
        <v>1521.17</v>
      </c>
      <c r="AP162" s="231">
        <v>1528.52</v>
      </c>
      <c r="AQ162" s="228">
        <v>0</v>
      </c>
      <c r="AR162" s="230">
        <v>982500</v>
      </c>
      <c r="AS162" s="230">
        <v>827000</v>
      </c>
      <c r="AT162" s="230">
        <v>155500</v>
      </c>
      <c r="AU162" s="229">
        <v>0.188</v>
      </c>
      <c r="AV162" s="230">
        <v>910000</v>
      </c>
      <c r="AW162" s="230">
        <v>768000</v>
      </c>
      <c r="AX162" s="230">
        <v>142000</v>
      </c>
      <c r="AY162" s="229">
        <v>0.18490000000000001</v>
      </c>
      <c r="AZ162" s="230">
        <v>71500</v>
      </c>
      <c r="BA162" s="230">
        <v>58500</v>
      </c>
      <c r="BB162" s="230">
        <v>13000</v>
      </c>
      <c r="BC162" s="229">
        <v>0.22220000000000001</v>
      </c>
      <c r="BD162" s="230">
        <v>1000</v>
      </c>
      <c r="BE162" s="228">
        <v>500</v>
      </c>
      <c r="BF162" s="228">
        <v>500</v>
      </c>
      <c r="BG162" s="229">
        <v>1</v>
      </c>
      <c r="BH162" s="230">
        <v>2441500</v>
      </c>
      <c r="BI162" s="230">
        <v>1121000</v>
      </c>
      <c r="BJ162" s="230">
        <v>1320500</v>
      </c>
      <c r="BK162" s="229">
        <v>1.1779999999999999</v>
      </c>
      <c r="BL162" s="230">
        <v>697000</v>
      </c>
      <c r="BM162" s="230">
        <v>587000</v>
      </c>
      <c r="BN162" s="230">
        <v>110000</v>
      </c>
      <c r="BO162" s="229">
        <v>0.18740000000000001</v>
      </c>
      <c r="BP162" s="230">
        <v>4121000</v>
      </c>
      <c r="BQ162" s="230">
        <v>2535000</v>
      </c>
      <c r="BR162" s="230">
        <v>1586000</v>
      </c>
      <c r="BS162" s="229">
        <v>0.62560000000000004</v>
      </c>
      <c r="BT162" s="230">
        <v>514596</v>
      </c>
      <c r="BU162" s="230">
        <v>421734</v>
      </c>
      <c r="BV162" s="230">
        <v>92862</v>
      </c>
      <c r="BW162" s="229">
        <v>0.22020000000000001</v>
      </c>
      <c r="BX162" s="230">
        <v>9625000</v>
      </c>
      <c r="BY162" s="230">
        <v>9743000</v>
      </c>
      <c r="BZ162" s="230">
        <v>-118000</v>
      </c>
      <c r="CA162" s="229">
        <v>-1.21E-2</v>
      </c>
      <c r="CB162" s="230">
        <v>9486000</v>
      </c>
      <c r="CC162" s="230">
        <v>9617000</v>
      </c>
      <c r="CD162" s="230">
        <v>-131000</v>
      </c>
      <c r="CE162" s="229">
        <v>-1.3599999999999999E-2</v>
      </c>
      <c r="CF162" s="230">
        <v>135500</v>
      </c>
      <c r="CG162" s="230">
        <v>122000</v>
      </c>
      <c r="CH162" s="230">
        <v>13500</v>
      </c>
      <c r="CI162" s="229">
        <v>0.11070000000000001</v>
      </c>
      <c r="CJ162" s="230">
        <v>3500</v>
      </c>
      <c r="CK162" s="230">
        <v>4000</v>
      </c>
      <c r="CL162" s="228">
        <v>-500</v>
      </c>
      <c r="CM162" s="229">
        <v>-0.125</v>
      </c>
      <c r="CN162" s="230">
        <v>1467500</v>
      </c>
      <c r="CO162" s="230">
        <v>1374500</v>
      </c>
      <c r="CP162" s="230">
        <v>93000</v>
      </c>
      <c r="CQ162" s="229">
        <v>6.7699999999999996E-2</v>
      </c>
      <c r="CR162" s="230">
        <v>950500</v>
      </c>
      <c r="CS162" s="230">
        <v>850000</v>
      </c>
      <c r="CT162" s="230">
        <v>100500</v>
      </c>
      <c r="CU162" s="229">
        <v>0.1182</v>
      </c>
      <c r="CV162" s="230">
        <v>12043000</v>
      </c>
      <c r="CW162" s="230">
        <v>11967500</v>
      </c>
      <c r="CX162" s="230">
        <v>75500</v>
      </c>
      <c r="CY162" s="229">
        <v>6.3E-3</v>
      </c>
      <c r="CZ162" s="228">
        <v>18.920000000000002</v>
      </c>
      <c r="DA162" s="228">
        <v>17.399999999999999</v>
      </c>
      <c r="DB162" s="228">
        <v>1.52</v>
      </c>
      <c r="DC162" s="228">
        <v>1.52</v>
      </c>
      <c r="DD162" s="228">
        <v>22.14</v>
      </c>
      <c r="DE162" s="228">
        <v>22.1</v>
      </c>
      <c r="DF162" s="228">
        <v>-3.22</v>
      </c>
      <c r="DG162" s="228">
        <v>0.04</v>
      </c>
      <c r="DH162" s="228">
        <v>18.88</v>
      </c>
      <c r="DI162" s="228">
        <v>17.32</v>
      </c>
      <c r="DJ162" s="228">
        <v>1.56</v>
      </c>
      <c r="DK162" s="228">
        <v>1.56</v>
      </c>
      <c r="DL162" s="228">
        <v>19.07</v>
      </c>
      <c r="DM162" s="228">
        <v>17.55</v>
      </c>
      <c r="DN162" s="228">
        <v>1.52</v>
      </c>
      <c r="DO162" s="228">
        <v>1.52</v>
      </c>
      <c r="DP162" s="228">
        <v>0.65</v>
      </c>
      <c r="DQ162" s="228">
        <v>0.62</v>
      </c>
      <c r="DR162" s="228">
        <v>0.03</v>
      </c>
      <c r="DS162" s="229">
        <v>4.8399999999999999E-2</v>
      </c>
      <c r="DT162" s="231">
        <v>1550</v>
      </c>
      <c r="DU162" s="231">
        <v>1500</v>
      </c>
      <c r="DV162" s="228">
        <v>0.28999999999999998</v>
      </c>
      <c r="DW162" s="228">
        <v>0.52</v>
      </c>
      <c r="DX162" s="228">
        <v>-0.23</v>
      </c>
      <c r="DY162" s="229">
        <v>-0.44230000000000003</v>
      </c>
      <c r="DZ162" s="229">
        <v>1.44E-2</v>
      </c>
      <c r="EA162" s="230">
        <v>126000</v>
      </c>
      <c r="EB162" s="229">
        <v>5.0000000000000001E-3</v>
      </c>
      <c r="EC162" s="229">
        <v>1.44E-2</v>
      </c>
      <c r="ED162" s="228">
        <v>7.35</v>
      </c>
      <c r="EE162" s="229">
        <v>4.7999999999999996E-3</v>
      </c>
      <c r="EF162" s="230">
        <v>332258</v>
      </c>
      <c r="EG162" s="230">
        <v>271566</v>
      </c>
      <c r="EH162" s="229">
        <v>0.2235</v>
      </c>
      <c r="EI162" s="229">
        <v>0.64570000000000005</v>
      </c>
      <c r="EJ162" s="231">
        <v>38004.68</v>
      </c>
      <c r="EK162" s="231">
        <v>10433.14</v>
      </c>
      <c r="EL162" s="231">
        <v>14950.88</v>
      </c>
      <c r="EM162" s="231">
        <v>1925</v>
      </c>
      <c r="EN162" s="231">
        <v>63388.7</v>
      </c>
      <c r="EO162" s="231">
        <v>38502.120000000003</v>
      </c>
      <c r="EP162" s="231">
        <v>24886.58</v>
      </c>
      <c r="EQ162" s="229">
        <v>0.64639999999999997</v>
      </c>
      <c r="ER162" s="231">
        <v>22646</v>
      </c>
      <c r="ES162" s="231">
        <v>13986</v>
      </c>
      <c r="ET162" s="231">
        <v>146734</v>
      </c>
      <c r="EU162" s="231">
        <v>31170515</v>
      </c>
      <c r="EV162" s="231">
        <v>183366</v>
      </c>
      <c r="EW162" s="231">
        <v>180547</v>
      </c>
      <c r="EX162" s="231">
        <v>2819</v>
      </c>
      <c r="EY162" s="229">
        <v>1.5599999999999999E-2</v>
      </c>
      <c r="EZ162" s="229">
        <v>0.38640000000000002</v>
      </c>
      <c r="FA162" s="227" t="s">
        <v>556</v>
      </c>
      <c r="FB162" s="161">
        <f t="shared" ref="FB162:FB194" si="4">BX229-CB229</f>
        <v>0</v>
      </c>
    </row>
    <row r="163" spans="1:158" ht="17.25" thickBot="1" x14ac:dyDescent="0.3">
      <c r="A163" s="226">
        <v>45946</v>
      </c>
      <c r="B163" s="227" t="s">
        <v>498</v>
      </c>
      <c r="C163" s="227" t="s">
        <v>483</v>
      </c>
      <c r="D163" s="228">
        <v>175</v>
      </c>
      <c r="E163" s="231">
        <v>3564.2</v>
      </c>
      <c r="F163" s="231">
        <v>3561.6</v>
      </c>
      <c r="G163" s="228">
        <v>2.6</v>
      </c>
      <c r="H163" s="229">
        <v>6.9999999999999999E-4</v>
      </c>
      <c r="I163" s="231">
        <v>3550.3</v>
      </c>
      <c r="J163" s="231">
        <v>3555.3</v>
      </c>
      <c r="K163" s="228">
        <v>-5</v>
      </c>
      <c r="L163" s="229">
        <v>-1.4E-3</v>
      </c>
      <c r="M163" s="231">
        <v>3564.2</v>
      </c>
      <c r="N163" s="231">
        <v>3561.6</v>
      </c>
      <c r="O163" s="228">
        <v>2.6</v>
      </c>
      <c r="P163" s="229">
        <v>6.9999999999999999E-4</v>
      </c>
      <c r="Q163" s="231">
        <v>3578.7</v>
      </c>
      <c r="R163" s="231">
        <v>3572</v>
      </c>
      <c r="S163" s="228">
        <v>6.7</v>
      </c>
      <c r="T163" s="229">
        <v>1.9E-3</v>
      </c>
      <c r="U163" s="231">
        <v>3590</v>
      </c>
      <c r="V163" s="231">
        <v>3588</v>
      </c>
      <c r="W163" s="228">
        <v>2</v>
      </c>
      <c r="X163" s="229">
        <v>5.9999999999999995E-4</v>
      </c>
      <c r="Y163" s="228">
        <v>13.9</v>
      </c>
      <c r="Z163" s="228">
        <v>6.3</v>
      </c>
      <c r="AA163" s="228">
        <v>7.6</v>
      </c>
      <c r="AB163" s="229">
        <v>3.8999999999999998E-3</v>
      </c>
      <c r="AC163" s="228">
        <v>13.9</v>
      </c>
      <c r="AD163" s="228">
        <v>6.3</v>
      </c>
      <c r="AE163" s="228">
        <v>7.6</v>
      </c>
      <c r="AF163" s="229">
        <v>3.8999999999999998E-3</v>
      </c>
      <c r="AG163" s="228">
        <v>28.4</v>
      </c>
      <c r="AH163" s="228">
        <v>16.7</v>
      </c>
      <c r="AI163" s="228">
        <v>11.7</v>
      </c>
      <c r="AJ163" s="229">
        <v>8.0000000000000002E-3</v>
      </c>
      <c r="AK163" s="228">
        <v>39.700000000000003</v>
      </c>
      <c r="AL163" s="228">
        <v>32.700000000000003</v>
      </c>
      <c r="AM163" s="228">
        <v>7</v>
      </c>
      <c r="AN163" s="229">
        <v>1.12E-2</v>
      </c>
      <c r="AO163" s="231">
        <v>3567.56</v>
      </c>
      <c r="AP163" s="231">
        <v>3575.09</v>
      </c>
      <c r="AQ163" s="228">
        <v>0</v>
      </c>
      <c r="AR163" s="230">
        <v>256725</v>
      </c>
      <c r="AS163" s="230">
        <v>123900</v>
      </c>
      <c r="AT163" s="230">
        <v>132825</v>
      </c>
      <c r="AU163" s="229">
        <v>1.0720000000000001</v>
      </c>
      <c r="AV163" s="230">
        <v>238875</v>
      </c>
      <c r="AW163" s="230">
        <v>118825</v>
      </c>
      <c r="AX163" s="230">
        <v>120050</v>
      </c>
      <c r="AY163" s="229">
        <v>1.0103</v>
      </c>
      <c r="AZ163" s="230">
        <v>17500</v>
      </c>
      <c r="BA163" s="230">
        <v>4725</v>
      </c>
      <c r="BB163" s="230">
        <v>12775</v>
      </c>
      <c r="BC163" s="229">
        <v>2.7037</v>
      </c>
      <c r="BD163" s="228">
        <v>350</v>
      </c>
      <c r="BE163" s="228">
        <v>350</v>
      </c>
      <c r="BF163" s="228">
        <v>0</v>
      </c>
      <c r="BG163" s="229">
        <v>0</v>
      </c>
      <c r="BH163" s="230">
        <v>368900</v>
      </c>
      <c r="BI163" s="230">
        <v>290850</v>
      </c>
      <c r="BJ163" s="230">
        <v>78050</v>
      </c>
      <c r="BK163" s="229">
        <v>0.26840000000000003</v>
      </c>
      <c r="BL163" s="230">
        <v>101500</v>
      </c>
      <c r="BM163" s="230">
        <v>46375</v>
      </c>
      <c r="BN163" s="230">
        <v>55125</v>
      </c>
      <c r="BO163" s="229">
        <v>1.1887000000000001</v>
      </c>
      <c r="BP163" s="230">
        <v>727125</v>
      </c>
      <c r="BQ163" s="230">
        <v>461125</v>
      </c>
      <c r="BR163" s="230">
        <v>266000</v>
      </c>
      <c r="BS163" s="229">
        <v>0.57689999999999997</v>
      </c>
      <c r="BT163" s="230">
        <v>86224</v>
      </c>
      <c r="BU163" s="230">
        <v>94603</v>
      </c>
      <c r="BV163" s="230">
        <v>-8379</v>
      </c>
      <c r="BW163" s="229">
        <v>-8.8599999999999998E-2</v>
      </c>
      <c r="BX163" s="230">
        <v>1860600</v>
      </c>
      <c r="BY163" s="230">
        <v>1848000</v>
      </c>
      <c r="BZ163" s="230">
        <v>12600</v>
      </c>
      <c r="CA163" s="229">
        <v>6.7999999999999996E-3</v>
      </c>
      <c r="CB163" s="230">
        <v>1805825</v>
      </c>
      <c r="CC163" s="230">
        <v>1797950</v>
      </c>
      <c r="CD163" s="230">
        <v>7875</v>
      </c>
      <c r="CE163" s="229">
        <v>4.4000000000000003E-3</v>
      </c>
      <c r="CF163" s="230">
        <v>50575</v>
      </c>
      <c r="CG163" s="230">
        <v>46025</v>
      </c>
      <c r="CH163" s="230">
        <v>4550</v>
      </c>
      <c r="CI163" s="229">
        <v>9.8900000000000002E-2</v>
      </c>
      <c r="CJ163" s="230">
        <v>4200</v>
      </c>
      <c r="CK163" s="230">
        <v>4025</v>
      </c>
      <c r="CL163" s="228">
        <v>175</v>
      </c>
      <c r="CM163" s="229">
        <v>4.3499999999999997E-2</v>
      </c>
      <c r="CN163" s="230">
        <v>525175</v>
      </c>
      <c r="CO163" s="230">
        <v>497350</v>
      </c>
      <c r="CP163" s="230">
        <v>27825</v>
      </c>
      <c r="CQ163" s="229">
        <v>5.5899999999999998E-2</v>
      </c>
      <c r="CR163" s="230">
        <v>301875</v>
      </c>
      <c r="CS163" s="230">
        <v>301700</v>
      </c>
      <c r="CT163" s="228">
        <v>175</v>
      </c>
      <c r="CU163" s="229">
        <v>5.9999999999999995E-4</v>
      </c>
      <c r="CV163" s="230">
        <v>2687650</v>
      </c>
      <c r="CW163" s="230">
        <v>2647050</v>
      </c>
      <c r="CX163" s="230">
        <v>40600</v>
      </c>
      <c r="CY163" s="229">
        <v>1.5299999999999999E-2</v>
      </c>
      <c r="CZ163" s="228">
        <v>24.13</v>
      </c>
      <c r="DA163" s="228">
        <v>24.46</v>
      </c>
      <c r="DB163" s="228">
        <v>-0.33</v>
      </c>
      <c r="DC163" s="228">
        <v>-0.33</v>
      </c>
      <c r="DD163" s="228">
        <v>30.12</v>
      </c>
      <c r="DE163" s="228">
        <v>30.19</v>
      </c>
      <c r="DF163" s="228">
        <v>-5.99</v>
      </c>
      <c r="DG163" s="228">
        <v>-7.0000000000000007E-2</v>
      </c>
      <c r="DH163" s="228">
        <v>24.27</v>
      </c>
      <c r="DI163" s="228">
        <v>24.53</v>
      </c>
      <c r="DJ163" s="228">
        <v>-0.26</v>
      </c>
      <c r="DK163" s="228">
        <v>-0.26</v>
      </c>
      <c r="DL163" s="228">
        <v>23.62</v>
      </c>
      <c r="DM163" s="228">
        <v>24.01</v>
      </c>
      <c r="DN163" s="228">
        <v>-0.39</v>
      </c>
      <c r="DO163" s="228">
        <v>-0.39</v>
      </c>
      <c r="DP163" s="228">
        <v>0.56999999999999995</v>
      </c>
      <c r="DQ163" s="228">
        <v>0.61</v>
      </c>
      <c r="DR163" s="228">
        <v>-0.04</v>
      </c>
      <c r="DS163" s="229">
        <v>-6.5600000000000006E-2</v>
      </c>
      <c r="DT163" s="231">
        <v>3800</v>
      </c>
      <c r="DU163" s="231">
        <v>3400</v>
      </c>
      <c r="DV163" s="228">
        <v>0.28000000000000003</v>
      </c>
      <c r="DW163" s="228">
        <v>0.16</v>
      </c>
      <c r="DX163" s="228">
        <v>0.12</v>
      </c>
      <c r="DY163" s="229">
        <v>0.75</v>
      </c>
      <c r="DZ163" s="229">
        <v>2.9399999999999999E-2</v>
      </c>
      <c r="EA163" s="230">
        <v>50050</v>
      </c>
      <c r="EB163" s="229">
        <v>4.1000000000000003E-3</v>
      </c>
      <c r="EC163" s="229">
        <v>2.9399999999999999E-2</v>
      </c>
      <c r="ED163" s="228">
        <v>7.53</v>
      </c>
      <c r="EE163" s="229">
        <v>2.0999999999999999E-3</v>
      </c>
      <c r="EF163" s="230">
        <v>43984</v>
      </c>
      <c r="EG163" s="230">
        <v>63484</v>
      </c>
      <c r="EH163" s="229">
        <v>-0.30719999999999997</v>
      </c>
      <c r="EI163" s="229">
        <v>0.5101</v>
      </c>
      <c r="EJ163" s="231">
        <v>13599.33</v>
      </c>
      <c r="EK163" s="231">
        <v>3627.33</v>
      </c>
      <c r="EL163" s="231">
        <v>9160.19</v>
      </c>
      <c r="EM163" s="231">
        <v>1999</v>
      </c>
      <c r="EN163" s="231">
        <v>26386.85</v>
      </c>
      <c r="EO163" s="231">
        <v>16842.330000000002</v>
      </c>
      <c r="EP163" s="231">
        <v>9544.52</v>
      </c>
      <c r="EQ163" s="229">
        <v>0.56669999999999998</v>
      </c>
      <c r="ER163" s="231">
        <v>19489</v>
      </c>
      <c r="ES163" s="231">
        <v>10627</v>
      </c>
      <c r="ET163" s="231">
        <v>66324</v>
      </c>
      <c r="EU163" s="231">
        <v>8178275</v>
      </c>
      <c r="EV163" s="231">
        <v>96440</v>
      </c>
      <c r="EW163" s="231">
        <v>94888</v>
      </c>
      <c r="EX163" s="231">
        <v>1552</v>
      </c>
      <c r="EY163" s="229">
        <v>1.6400000000000001E-2</v>
      </c>
      <c r="EZ163" s="229">
        <v>0.3286</v>
      </c>
      <c r="FA163" s="227" t="s">
        <v>555</v>
      </c>
      <c r="FB163" s="161">
        <f t="shared" si="4"/>
        <v>0</v>
      </c>
    </row>
    <row r="164" spans="1:158" ht="17.25" thickBot="1" x14ac:dyDescent="0.3">
      <c r="A164" s="226">
        <v>45946</v>
      </c>
      <c r="B164" s="227" t="s">
        <v>172</v>
      </c>
      <c r="C164" s="227" t="s">
        <v>275</v>
      </c>
      <c r="D164" s="228">
        <v>8000</v>
      </c>
      <c r="E164" s="228">
        <v>116.57</v>
      </c>
      <c r="F164" s="228">
        <v>116.9</v>
      </c>
      <c r="G164" s="228">
        <v>-0.33</v>
      </c>
      <c r="H164" s="229">
        <v>-2.8E-3</v>
      </c>
      <c r="I164" s="228">
        <v>116.11</v>
      </c>
      <c r="J164" s="228">
        <v>116.4</v>
      </c>
      <c r="K164" s="228">
        <v>-0.28999999999999998</v>
      </c>
      <c r="L164" s="229">
        <v>-2.5000000000000001E-3</v>
      </c>
      <c r="M164" s="228">
        <v>116.57</v>
      </c>
      <c r="N164" s="228">
        <v>116.9</v>
      </c>
      <c r="O164" s="228">
        <v>-0.33</v>
      </c>
      <c r="P164" s="229">
        <v>-2.8E-3</v>
      </c>
      <c r="Q164" s="228">
        <v>117.17</v>
      </c>
      <c r="R164" s="228">
        <v>117.47</v>
      </c>
      <c r="S164" s="228">
        <v>-0.3</v>
      </c>
      <c r="T164" s="229">
        <v>-2.5999999999999999E-3</v>
      </c>
      <c r="U164" s="228">
        <v>117.9</v>
      </c>
      <c r="V164" s="228">
        <v>118.2</v>
      </c>
      <c r="W164" s="228">
        <v>-0.3</v>
      </c>
      <c r="X164" s="229">
        <v>-2.5000000000000001E-3</v>
      </c>
      <c r="Y164" s="228">
        <v>0.46</v>
      </c>
      <c r="Z164" s="228">
        <v>0.5</v>
      </c>
      <c r="AA164" s="228">
        <v>-0.04</v>
      </c>
      <c r="AB164" s="229">
        <v>4.0000000000000001E-3</v>
      </c>
      <c r="AC164" s="228">
        <v>0.46</v>
      </c>
      <c r="AD164" s="228">
        <v>0.5</v>
      </c>
      <c r="AE164" s="228">
        <v>-0.04</v>
      </c>
      <c r="AF164" s="229">
        <v>4.0000000000000001E-3</v>
      </c>
      <c r="AG164" s="228">
        <v>1.06</v>
      </c>
      <c r="AH164" s="228">
        <v>1.07</v>
      </c>
      <c r="AI164" s="228">
        <v>-0.01</v>
      </c>
      <c r="AJ164" s="229">
        <v>9.1000000000000004E-3</v>
      </c>
      <c r="AK164" s="228">
        <v>1.79</v>
      </c>
      <c r="AL164" s="228">
        <v>1.8</v>
      </c>
      <c r="AM164" s="228">
        <v>-0.01</v>
      </c>
      <c r="AN164" s="229">
        <v>1.54E-2</v>
      </c>
      <c r="AO164" s="228">
        <v>117.45</v>
      </c>
      <c r="AP164" s="228">
        <v>118.11</v>
      </c>
      <c r="AQ164" s="228">
        <v>0</v>
      </c>
      <c r="AR164" s="230">
        <v>62184000</v>
      </c>
      <c r="AS164" s="230">
        <v>44696000</v>
      </c>
      <c r="AT164" s="230">
        <v>17488000</v>
      </c>
      <c r="AU164" s="229">
        <v>0.39129999999999998</v>
      </c>
      <c r="AV164" s="230">
        <v>52744000</v>
      </c>
      <c r="AW164" s="230">
        <v>36496000</v>
      </c>
      <c r="AX164" s="230">
        <v>16248000</v>
      </c>
      <c r="AY164" s="229">
        <v>0.44519999999999998</v>
      </c>
      <c r="AZ164" s="230">
        <v>8776000</v>
      </c>
      <c r="BA164" s="230">
        <v>7824000</v>
      </c>
      <c r="BB164" s="230">
        <v>952000</v>
      </c>
      <c r="BC164" s="229">
        <v>0.1217</v>
      </c>
      <c r="BD164" s="230">
        <v>664000</v>
      </c>
      <c r="BE164" s="230">
        <v>376000</v>
      </c>
      <c r="BF164" s="230">
        <v>288000</v>
      </c>
      <c r="BG164" s="229">
        <v>0.76600000000000001</v>
      </c>
      <c r="BH164" s="230">
        <v>167056000</v>
      </c>
      <c r="BI164" s="230">
        <v>140688000</v>
      </c>
      <c r="BJ164" s="230">
        <v>26368000</v>
      </c>
      <c r="BK164" s="229">
        <v>0.18740000000000001</v>
      </c>
      <c r="BL164" s="230">
        <v>106248000</v>
      </c>
      <c r="BM164" s="230">
        <v>77768000</v>
      </c>
      <c r="BN164" s="230">
        <v>28480000</v>
      </c>
      <c r="BO164" s="229">
        <v>0.36620000000000003</v>
      </c>
      <c r="BP164" s="230">
        <v>335488000</v>
      </c>
      <c r="BQ164" s="230">
        <v>263152000</v>
      </c>
      <c r="BR164" s="230">
        <v>72336000</v>
      </c>
      <c r="BS164" s="229">
        <v>0.27489999999999998</v>
      </c>
      <c r="BT164" s="230">
        <v>17353696</v>
      </c>
      <c r="BU164" s="230">
        <v>12333709</v>
      </c>
      <c r="BV164" s="230">
        <v>5019987</v>
      </c>
      <c r="BW164" s="229">
        <v>0.40699999999999997</v>
      </c>
      <c r="BX164" s="230">
        <v>248664000</v>
      </c>
      <c r="BY164" s="230">
        <v>257344000</v>
      </c>
      <c r="BZ164" s="230">
        <v>-8680000</v>
      </c>
      <c r="CA164" s="229">
        <v>-3.3700000000000001E-2</v>
      </c>
      <c r="CB164" s="230">
        <v>224144000</v>
      </c>
      <c r="CC164" s="230">
        <v>235696000</v>
      </c>
      <c r="CD164" s="230">
        <v>-11552000</v>
      </c>
      <c r="CE164" s="229">
        <v>-4.9000000000000002E-2</v>
      </c>
      <c r="CF164" s="230">
        <v>22528000</v>
      </c>
      <c r="CG164" s="230">
        <v>19704000</v>
      </c>
      <c r="CH164" s="230">
        <v>2824000</v>
      </c>
      <c r="CI164" s="229">
        <v>0.14330000000000001</v>
      </c>
      <c r="CJ164" s="230">
        <v>1992000</v>
      </c>
      <c r="CK164" s="230">
        <v>1944000</v>
      </c>
      <c r="CL164" s="230">
        <v>48000</v>
      </c>
      <c r="CM164" s="229">
        <v>2.47E-2</v>
      </c>
      <c r="CN164" s="230">
        <v>127680000</v>
      </c>
      <c r="CO164" s="230">
        <v>122368000</v>
      </c>
      <c r="CP164" s="230">
        <v>5312000</v>
      </c>
      <c r="CQ164" s="229">
        <v>4.3400000000000001E-2</v>
      </c>
      <c r="CR164" s="230">
        <v>102560000</v>
      </c>
      <c r="CS164" s="230">
        <v>98648000</v>
      </c>
      <c r="CT164" s="230">
        <v>3912000</v>
      </c>
      <c r="CU164" s="229">
        <v>3.9699999999999999E-2</v>
      </c>
      <c r="CV164" s="230">
        <v>478904000</v>
      </c>
      <c r="CW164" s="230">
        <v>478360000</v>
      </c>
      <c r="CX164" s="230">
        <v>544000</v>
      </c>
      <c r="CY164" s="229">
        <v>1.1000000000000001E-3</v>
      </c>
      <c r="CZ164" s="228">
        <v>29.85</v>
      </c>
      <c r="DA164" s="228">
        <v>29.48</v>
      </c>
      <c r="DB164" s="228">
        <v>0.37</v>
      </c>
      <c r="DC164" s="228">
        <v>0.37</v>
      </c>
      <c r="DD164" s="228">
        <v>37.049999999999997</v>
      </c>
      <c r="DE164" s="228">
        <v>37.14</v>
      </c>
      <c r="DF164" s="228">
        <v>-7.2</v>
      </c>
      <c r="DG164" s="228">
        <v>-0.09</v>
      </c>
      <c r="DH164" s="228">
        <v>29.99</v>
      </c>
      <c r="DI164" s="228">
        <v>29.11</v>
      </c>
      <c r="DJ164" s="228">
        <v>0.88</v>
      </c>
      <c r="DK164" s="228">
        <v>0.88</v>
      </c>
      <c r="DL164" s="228">
        <v>29.63</v>
      </c>
      <c r="DM164" s="228">
        <v>30.16</v>
      </c>
      <c r="DN164" s="228">
        <v>-0.53</v>
      </c>
      <c r="DO164" s="228">
        <v>-0.53</v>
      </c>
      <c r="DP164" s="228">
        <v>0.8</v>
      </c>
      <c r="DQ164" s="228">
        <v>0.81</v>
      </c>
      <c r="DR164" s="228">
        <v>-0.01</v>
      </c>
      <c r="DS164" s="229">
        <v>-1.23E-2</v>
      </c>
      <c r="DT164" s="228">
        <v>120</v>
      </c>
      <c r="DU164" s="228">
        <v>115</v>
      </c>
      <c r="DV164" s="228">
        <v>0.64</v>
      </c>
      <c r="DW164" s="228">
        <v>0.55000000000000004</v>
      </c>
      <c r="DX164" s="228">
        <v>0.09</v>
      </c>
      <c r="DY164" s="229">
        <v>0.1636</v>
      </c>
      <c r="DZ164" s="229">
        <v>9.8599999999999993E-2</v>
      </c>
      <c r="EA164" s="230">
        <v>21648000</v>
      </c>
      <c r="EB164" s="229">
        <v>5.1000000000000004E-3</v>
      </c>
      <c r="EC164" s="229">
        <v>9.8599999999999993E-2</v>
      </c>
      <c r="ED164" s="228">
        <v>0.66</v>
      </c>
      <c r="EE164" s="229">
        <v>5.5999999999999999E-3</v>
      </c>
      <c r="EF164" s="230">
        <v>8308622</v>
      </c>
      <c r="EG164" s="230">
        <v>5978510</v>
      </c>
      <c r="EH164" s="229">
        <v>0.38969999999999999</v>
      </c>
      <c r="EI164" s="229">
        <v>0.4788</v>
      </c>
      <c r="EJ164" s="231">
        <v>202487.74</v>
      </c>
      <c r="EK164" s="231">
        <v>124041.24</v>
      </c>
      <c r="EL164" s="231">
        <v>73099.81</v>
      </c>
      <c r="EM164" s="231">
        <v>6559</v>
      </c>
      <c r="EN164" s="231">
        <v>399628.79</v>
      </c>
      <c r="EO164" s="231">
        <v>311695.89</v>
      </c>
      <c r="EP164" s="231">
        <v>87932.9</v>
      </c>
      <c r="EQ164" s="229">
        <v>0.28210000000000002</v>
      </c>
      <c r="ER164" s="231">
        <v>151492</v>
      </c>
      <c r="ES164" s="231">
        <v>114406</v>
      </c>
      <c r="ET164" s="231">
        <v>290029</v>
      </c>
      <c r="EU164" s="231">
        <v>447910372</v>
      </c>
      <c r="EV164" s="231">
        <v>555928</v>
      </c>
      <c r="EW164" s="231">
        <v>555759</v>
      </c>
      <c r="EX164" s="228">
        <v>169</v>
      </c>
      <c r="EY164" s="229">
        <v>2.9999999999999997E-4</v>
      </c>
      <c r="EZ164" s="229">
        <v>1.0691999999999999</v>
      </c>
      <c r="FA164" s="227" t="s">
        <v>568</v>
      </c>
      <c r="FB164" s="161">
        <f t="shared" si="4"/>
        <v>0</v>
      </c>
    </row>
    <row r="165" spans="1:158" ht="17.25" thickBot="1" x14ac:dyDescent="0.3">
      <c r="A165" s="226">
        <v>45946</v>
      </c>
      <c r="B165" s="227" t="s">
        <v>175</v>
      </c>
      <c r="C165" s="227" t="s">
        <v>671</v>
      </c>
      <c r="D165" s="228">
        <v>650</v>
      </c>
      <c r="E165" s="228">
        <v>845.25</v>
      </c>
      <c r="F165" s="228">
        <v>852.4</v>
      </c>
      <c r="G165" s="228">
        <v>-7.15</v>
      </c>
      <c r="H165" s="229">
        <v>-8.3999999999999995E-3</v>
      </c>
      <c r="I165" s="228">
        <v>843.4</v>
      </c>
      <c r="J165" s="228">
        <v>848.85</v>
      </c>
      <c r="K165" s="228">
        <v>-5.45</v>
      </c>
      <c r="L165" s="229">
        <v>-6.4000000000000003E-3</v>
      </c>
      <c r="M165" s="228">
        <v>845.25</v>
      </c>
      <c r="N165" s="228">
        <v>852.4</v>
      </c>
      <c r="O165" s="228">
        <v>-7.15</v>
      </c>
      <c r="P165" s="229">
        <v>-8.3999999999999995E-3</v>
      </c>
      <c r="Q165" s="228">
        <v>850.2</v>
      </c>
      <c r="R165" s="228">
        <v>856.7</v>
      </c>
      <c r="S165" s="228">
        <v>-6.5</v>
      </c>
      <c r="T165" s="229">
        <v>-7.6E-3</v>
      </c>
      <c r="U165" s="228">
        <v>855.7</v>
      </c>
      <c r="V165" s="228">
        <v>866.8</v>
      </c>
      <c r="W165" s="228">
        <v>-11.1</v>
      </c>
      <c r="X165" s="229">
        <v>-1.2800000000000001E-2</v>
      </c>
      <c r="Y165" s="228">
        <v>1.85</v>
      </c>
      <c r="Z165" s="228">
        <v>3.55</v>
      </c>
      <c r="AA165" s="228">
        <v>-1.7</v>
      </c>
      <c r="AB165" s="229">
        <v>2.2000000000000001E-3</v>
      </c>
      <c r="AC165" s="228">
        <v>1.85</v>
      </c>
      <c r="AD165" s="228">
        <v>3.55</v>
      </c>
      <c r="AE165" s="228">
        <v>-1.7</v>
      </c>
      <c r="AF165" s="229">
        <v>2.2000000000000001E-3</v>
      </c>
      <c r="AG165" s="228">
        <v>6.8</v>
      </c>
      <c r="AH165" s="228">
        <v>7.85</v>
      </c>
      <c r="AI165" s="228">
        <v>-1.05</v>
      </c>
      <c r="AJ165" s="229">
        <v>8.0999999999999996E-3</v>
      </c>
      <c r="AK165" s="228">
        <v>12.3</v>
      </c>
      <c r="AL165" s="228">
        <v>17.95</v>
      </c>
      <c r="AM165" s="228">
        <v>-5.65</v>
      </c>
      <c r="AN165" s="229">
        <v>1.46E-2</v>
      </c>
      <c r="AO165" s="228">
        <v>845.63</v>
      </c>
      <c r="AP165" s="228">
        <v>850.54</v>
      </c>
      <c r="AQ165" s="228">
        <v>0</v>
      </c>
      <c r="AR165" s="230">
        <v>1989650</v>
      </c>
      <c r="AS165" s="230">
        <v>1553500</v>
      </c>
      <c r="AT165" s="230">
        <v>436150</v>
      </c>
      <c r="AU165" s="229">
        <v>0.28079999999999999</v>
      </c>
      <c r="AV165" s="230">
        <v>1682850</v>
      </c>
      <c r="AW165" s="230">
        <v>1370850</v>
      </c>
      <c r="AX165" s="230">
        <v>312000</v>
      </c>
      <c r="AY165" s="229">
        <v>0.2276</v>
      </c>
      <c r="AZ165" s="230">
        <v>291200</v>
      </c>
      <c r="BA165" s="230">
        <v>178100</v>
      </c>
      <c r="BB165" s="230">
        <v>113100</v>
      </c>
      <c r="BC165" s="229">
        <v>0.63500000000000001</v>
      </c>
      <c r="BD165" s="230">
        <v>15600</v>
      </c>
      <c r="BE165" s="230">
        <v>4550</v>
      </c>
      <c r="BF165" s="230">
        <v>11050</v>
      </c>
      <c r="BG165" s="229">
        <v>2.4285999999999999</v>
      </c>
      <c r="BH165" s="230">
        <v>2752100</v>
      </c>
      <c r="BI165" s="230">
        <v>2148900</v>
      </c>
      <c r="BJ165" s="230">
        <v>603200</v>
      </c>
      <c r="BK165" s="229">
        <v>0.28070000000000001</v>
      </c>
      <c r="BL165" s="230">
        <v>1497600</v>
      </c>
      <c r="BM165" s="230">
        <v>982800</v>
      </c>
      <c r="BN165" s="230">
        <v>514800</v>
      </c>
      <c r="BO165" s="229">
        <v>0.52380000000000004</v>
      </c>
      <c r="BP165" s="230">
        <v>6239350</v>
      </c>
      <c r="BQ165" s="230">
        <v>4685200</v>
      </c>
      <c r="BR165" s="230">
        <v>1554150</v>
      </c>
      <c r="BS165" s="229">
        <v>0.33169999999999999</v>
      </c>
      <c r="BT165" s="230">
        <v>863919</v>
      </c>
      <c r="BU165" s="230">
        <v>976739</v>
      </c>
      <c r="BV165" s="230">
        <v>-112820</v>
      </c>
      <c r="BW165" s="229">
        <v>-0.11550000000000001</v>
      </c>
      <c r="BX165" s="230">
        <v>15104700</v>
      </c>
      <c r="BY165" s="230">
        <v>15151500</v>
      </c>
      <c r="BZ165" s="230">
        <v>-46800</v>
      </c>
      <c r="CA165" s="229">
        <v>-3.0999999999999999E-3</v>
      </c>
      <c r="CB165" s="230">
        <v>14394900</v>
      </c>
      <c r="CC165" s="230">
        <v>14611350</v>
      </c>
      <c r="CD165" s="230">
        <v>-216450</v>
      </c>
      <c r="CE165" s="229">
        <v>-1.4800000000000001E-2</v>
      </c>
      <c r="CF165" s="230">
        <v>636350</v>
      </c>
      <c r="CG165" s="230">
        <v>473200</v>
      </c>
      <c r="CH165" s="230">
        <v>163150</v>
      </c>
      <c r="CI165" s="229">
        <v>0.3448</v>
      </c>
      <c r="CJ165" s="230">
        <v>73450</v>
      </c>
      <c r="CK165" s="230">
        <v>66950</v>
      </c>
      <c r="CL165" s="230">
        <v>6500</v>
      </c>
      <c r="CM165" s="229">
        <v>9.7100000000000006E-2</v>
      </c>
      <c r="CN165" s="230">
        <v>4936100</v>
      </c>
      <c r="CO165" s="230">
        <v>4812600</v>
      </c>
      <c r="CP165" s="230">
        <v>123500</v>
      </c>
      <c r="CQ165" s="229">
        <v>2.5700000000000001E-2</v>
      </c>
      <c r="CR165" s="230">
        <v>3514550</v>
      </c>
      <c r="CS165" s="230">
        <v>3439800</v>
      </c>
      <c r="CT165" s="230">
        <v>74750</v>
      </c>
      <c r="CU165" s="229">
        <v>2.1700000000000001E-2</v>
      </c>
      <c r="CV165" s="230">
        <v>23555350</v>
      </c>
      <c r="CW165" s="230">
        <v>23403900</v>
      </c>
      <c r="CX165" s="230">
        <v>151450</v>
      </c>
      <c r="CY165" s="229">
        <v>6.4999999999999997E-3</v>
      </c>
      <c r="CZ165" s="228">
        <v>40.1</v>
      </c>
      <c r="DA165" s="228">
        <v>40.549999999999997</v>
      </c>
      <c r="DB165" s="228">
        <v>-0.45</v>
      </c>
      <c r="DC165" s="228">
        <v>-0.45</v>
      </c>
      <c r="DD165" s="228">
        <v>49.04</v>
      </c>
      <c r="DE165" s="228">
        <v>49.16</v>
      </c>
      <c r="DF165" s="228">
        <v>-8.94</v>
      </c>
      <c r="DG165" s="228">
        <v>-0.12</v>
      </c>
      <c r="DH165" s="228">
        <v>40.659999999999997</v>
      </c>
      <c r="DI165" s="228">
        <v>40.99</v>
      </c>
      <c r="DJ165" s="228">
        <v>-0.33</v>
      </c>
      <c r="DK165" s="228">
        <v>-0.33</v>
      </c>
      <c r="DL165" s="228">
        <v>39.08</v>
      </c>
      <c r="DM165" s="228">
        <v>39.58</v>
      </c>
      <c r="DN165" s="228">
        <v>-0.5</v>
      </c>
      <c r="DO165" s="228">
        <v>-0.5</v>
      </c>
      <c r="DP165" s="228">
        <v>0.71</v>
      </c>
      <c r="DQ165" s="228">
        <v>0.71</v>
      </c>
      <c r="DR165" s="228">
        <v>0</v>
      </c>
      <c r="DS165" s="229">
        <v>0</v>
      </c>
      <c r="DT165" s="228">
        <v>900</v>
      </c>
      <c r="DU165" s="228">
        <v>850</v>
      </c>
      <c r="DV165" s="228">
        <v>0.54</v>
      </c>
      <c r="DW165" s="228">
        <v>0.46</v>
      </c>
      <c r="DX165" s="228">
        <v>0.08</v>
      </c>
      <c r="DY165" s="229">
        <v>0.1739</v>
      </c>
      <c r="DZ165" s="229">
        <v>4.7E-2</v>
      </c>
      <c r="EA165" s="230">
        <v>540150</v>
      </c>
      <c r="EB165" s="229">
        <v>5.8999999999999999E-3</v>
      </c>
      <c r="EC165" s="229">
        <v>4.7E-2</v>
      </c>
      <c r="ED165" s="228">
        <v>4.91</v>
      </c>
      <c r="EE165" s="229">
        <v>5.7999999999999996E-3</v>
      </c>
      <c r="EF165" s="230">
        <v>386741</v>
      </c>
      <c r="EG165" s="230">
        <v>616030</v>
      </c>
      <c r="EH165" s="229">
        <v>-0.37219999999999998</v>
      </c>
      <c r="EI165" s="229">
        <v>0.44769999999999999</v>
      </c>
      <c r="EJ165" s="231">
        <v>24567.54</v>
      </c>
      <c r="EK165" s="231">
        <v>12909.34</v>
      </c>
      <c r="EL165" s="231">
        <v>16840.96</v>
      </c>
      <c r="EM165" s="231">
        <v>2501</v>
      </c>
      <c r="EN165" s="231">
        <v>54317.84</v>
      </c>
      <c r="EO165" s="231">
        <v>41053.53</v>
      </c>
      <c r="EP165" s="231">
        <v>13264.31</v>
      </c>
      <c r="EQ165" s="229">
        <v>0.3231</v>
      </c>
      <c r="ER165" s="231">
        <v>44805</v>
      </c>
      <c r="ES165" s="231">
        <v>29255</v>
      </c>
      <c r="ET165" s="231">
        <v>127712</v>
      </c>
      <c r="EU165" s="231">
        <v>28062406</v>
      </c>
      <c r="EV165" s="231">
        <v>201772</v>
      </c>
      <c r="EW165" s="231">
        <v>201624</v>
      </c>
      <c r="EX165" s="228">
        <v>148</v>
      </c>
      <c r="EY165" s="229">
        <v>6.9999999999999999E-4</v>
      </c>
      <c r="EZ165" s="229">
        <v>0.83940000000000003</v>
      </c>
      <c r="FA165" s="227" t="s">
        <v>568</v>
      </c>
      <c r="FB165" s="161">
        <f t="shared" si="4"/>
        <v>0</v>
      </c>
    </row>
    <row r="166" spans="1:158" ht="17.25" thickBot="1" x14ac:dyDescent="0.3">
      <c r="A166" s="226">
        <v>45946</v>
      </c>
      <c r="B166" s="227" t="s">
        <v>615</v>
      </c>
      <c r="C166" s="227" t="s">
        <v>573</v>
      </c>
      <c r="D166" s="228">
        <v>350</v>
      </c>
      <c r="E166" s="231">
        <v>1697.3</v>
      </c>
      <c r="F166" s="231">
        <v>1681.2</v>
      </c>
      <c r="G166" s="228">
        <v>16.100000000000001</v>
      </c>
      <c r="H166" s="229">
        <v>9.5999999999999992E-3</v>
      </c>
      <c r="I166" s="231">
        <v>1691</v>
      </c>
      <c r="J166" s="231">
        <v>1674.1</v>
      </c>
      <c r="K166" s="228">
        <v>16.899999999999999</v>
      </c>
      <c r="L166" s="229">
        <v>1.01E-2</v>
      </c>
      <c r="M166" s="231">
        <v>1697.3</v>
      </c>
      <c r="N166" s="231">
        <v>1681.2</v>
      </c>
      <c r="O166" s="228">
        <v>16.100000000000001</v>
      </c>
      <c r="P166" s="229">
        <v>9.5999999999999992E-3</v>
      </c>
      <c r="Q166" s="231">
        <v>1706.1</v>
      </c>
      <c r="R166" s="231">
        <v>1690</v>
      </c>
      <c r="S166" s="228">
        <v>16.100000000000001</v>
      </c>
      <c r="T166" s="229">
        <v>9.4999999999999998E-3</v>
      </c>
      <c r="U166" s="231">
        <v>1718.3</v>
      </c>
      <c r="V166" s="231">
        <v>1700.6</v>
      </c>
      <c r="W166" s="228">
        <v>17.7</v>
      </c>
      <c r="X166" s="229">
        <v>1.04E-2</v>
      </c>
      <c r="Y166" s="228">
        <v>6.3</v>
      </c>
      <c r="Z166" s="228">
        <v>7.1</v>
      </c>
      <c r="AA166" s="228">
        <v>-0.8</v>
      </c>
      <c r="AB166" s="229">
        <v>3.7000000000000002E-3</v>
      </c>
      <c r="AC166" s="228">
        <v>6.3</v>
      </c>
      <c r="AD166" s="228">
        <v>7.1</v>
      </c>
      <c r="AE166" s="228">
        <v>-0.8</v>
      </c>
      <c r="AF166" s="229">
        <v>3.7000000000000002E-3</v>
      </c>
      <c r="AG166" s="228">
        <v>15.1</v>
      </c>
      <c r="AH166" s="228">
        <v>15.9</v>
      </c>
      <c r="AI166" s="228">
        <v>-0.8</v>
      </c>
      <c r="AJ166" s="229">
        <v>8.8999999999999999E-3</v>
      </c>
      <c r="AK166" s="228">
        <v>27.3</v>
      </c>
      <c r="AL166" s="228">
        <v>26.5</v>
      </c>
      <c r="AM166" s="228">
        <v>0.8</v>
      </c>
      <c r="AN166" s="229">
        <v>1.61E-2</v>
      </c>
      <c r="AO166" s="231">
        <v>1697.19</v>
      </c>
      <c r="AP166" s="231">
        <v>1708.6</v>
      </c>
      <c r="AQ166" s="228">
        <v>0</v>
      </c>
      <c r="AR166" s="230">
        <v>1369900</v>
      </c>
      <c r="AS166" s="230">
        <v>1361150</v>
      </c>
      <c r="AT166" s="230">
        <v>8750</v>
      </c>
      <c r="AU166" s="229">
        <v>6.4000000000000003E-3</v>
      </c>
      <c r="AV166" s="230">
        <v>1239000</v>
      </c>
      <c r="AW166" s="230">
        <v>1282400</v>
      </c>
      <c r="AX166" s="230">
        <v>-43400</v>
      </c>
      <c r="AY166" s="229">
        <v>-3.3799999999999997E-2</v>
      </c>
      <c r="AZ166" s="230">
        <v>127050</v>
      </c>
      <c r="BA166" s="230">
        <v>72800</v>
      </c>
      <c r="BB166" s="230">
        <v>54250</v>
      </c>
      <c r="BC166" s="229">
        <v>0.74519999999999997</v>
      </c>
      <c r="BD166" s="230">
        <v>3850</v>
      </c>
      <c r="BE166" s="230">
        <v>5950</v>
      </c>
      <c r="BF166" s="230">
        <v>-2100</v>
      </c>
      <c r="BG166" s="229">
        <v>-0.35289999999999999</v>
      </c>
      <c r="BH166" s="230">
        <v>1789900</v>
      </c>
      <c r="BI166" s="230">
        <v>1394050</v>
      </c>
      <c r="BJ166" s="230">
        <v>395850</v>
      </c>
      <c r="BK166" s="229">
        <v>0.28399999999999997</v>
      </c>
      <c r="BL166" s="230">
        <v>428750</v>
      </c>
      <c r="BM166" s="230">
        <v>728000</v>
      </c>
      <c r="BN166" s="230">
        <v>-299250</v>
      </c>
      <c r="BO166" s="229">
        <v>-0.41110000000000002</v>
      </c>
      <c r="BP166" s="230">
        <v>3588550</v>
      </c>
      <c r="BQ166" s="230">
        <v>3483200</v>
      </c>
      <c r="BR166" s="230">
        <v>105350</v>
      </c>
      <c r="BS166" s="229">
        <v>3.0200000000000001E-2</v>
      </c>
      <c r="BT166" s="230">
        <v>2012888</v>
      </c>
      <c r="BU166" s="230">
        <v>2120593</v>
      </c>
      <c r="BV166" s="230">
        <v>-107705</v>
      </c>
      <c r="BW166" s="229">
        <v>-5.0799999999999998E-2</v>
      </c>
      <c r="BX166" s="230">
        <v>7304500</v>
      </c>
      <c r="BY166" s="230">
        <v>7097650</v>
      </c>
      <c r="BZ166" s="230">
        <v>206850</v>
      </c>
      <c r="CA166" s="229">
        <v>2.9100000000000001E-2</v>
      </c>
      <c r="CB166" s="230">
        <v>7160300</v>
      </c>
      <c r="CC166" s="230">
        <v>7003850</v>
      </c>
      <c r="CD166" s="230">
        <v>156450</v>
      </c>
      <c r="CE166" s="229">
        <v>2.23E-2</v>
      </c>
      <c r="CF166" s="230">
        <v>133700</v>
      </c>
      <c r="CG166" s="230">
        <v>83650</v>
      </c>
      <c r="CH166" s="230">
        <v>50050</v>
      </c>
      <c r="CI166" s="229">
        <v>0.59830000000000005</v>
      </c>
      <c r="CJ166" s="230">
        <v>10500</v>
      </c>
      <c r="CK166" s="230">
        <v>10150</v>
      </c>
      <c r="CL166" s="228">
        <v>350</v>
      </c>
      <c r="CM166" s="229">
        <v>3.4500000000000003E-2</v>
      </c>
      <c r="CN166" s="230">
        <v>1344700</v>
      </c>
      <c r="CO166" s="230">
        <v>1429400</v>
      </c>
      <c r="CP166" s="230">
        <v>-84700</v>
      </c>
      <c r="CQ166" s="229">
        <v>-5.9299999999999999E-2</v>
      </c>
      <c r="CR166" s="230">
        <v>921900</v>
      </c>
      <c r="CS166" s="230">
        <v>925750</v>
      </c>
      <c r="CT166" s="230">
        <v>-3850</v>
      </c>
      <c r="CU166" s="229">
        <v>-4.1999999999999997E-3</v>
      </c>
      <c r="CV166" s="230">
        <v>9571100</v>
      </c>
      <c r="CW166" s="230">
        <v>9452800</v>
      </c>
      <c r="CX166" s="230">
        <v>118300</v>
      </c>
      <c r="CY166" s="229">
        <v>1.2500000000000001E-2</v>
      </c>
      <c r="CZ166" s="228">
        <v>28.58</v>
      </c>
      <c r="DA166" s="228">
        <v>31.27</v>
      </c>
      <c r="DB166" s="228">
        <v>-2.69</v>
      </c>
      <c r="DC166" s="228">
        <v>-2.69</v>
      </c>
      <c r="DD166" s="228">
        <v>47.52</v>
      </c>
      <c r="DE166" s="228">
        <v>47.62</v>
      </c>
      <c r="DF166" s="228">
        <v>-18.940000000000001</v>
      </c>
      <c r="DG166" s="228">
        <v>-0.1</v>
      </c>
      <c r="DH166" s="228">
        <v>28.55</v>
      </c>
      <c r="DI166" s="228">
        <v>31.77</v>
      </c>
      <c r="DJ166" s="228">
        <v>-3.22</v>
      </c>
      <c r="DK166" s="228">
        <v>-3.22</v>
      </c>
      <c r="DL166" s="228">
        <v>28.71</v>
      </c>
      <c r="DM166" s="228">
        <v>30.3</v>
      </c>
      <c r="DN166" s="228">
        <v>-1.59</v>
      </c>
      <c r="DO166" s="228">
        <v>-1.59</v>
      </c>
      <c r="DP166" s="228">
        <v>0.69</v>
      </c>
      <c r="DQ166" s="228">
        <v>0.65</v>
      </c>
      <c r="DR166" s="228">
        <v>0.04</v>
      </c>
      <c r="DS166" s="229">
        <v>6.1499999999999999E-2</v>
      </c>
      <c r="DT166" s="231">
        <v>1800</v>
      </c>
      <c r="DU166" s="231">
        <v>1600</v>
      </c>
      <c r="DV166" s="228">
        <v>0.24</v>
      </c>
      <c r="DW166" s="228">
        <v>0.52</v>
      </c>
      <c r="DX166" s="228">
        <v>-0.28000000000000003</v>
      </c>
      <c r="DY166" s="229">
        <v>-0.53849999999999998</v>
      </c>
      <c r="DZ166" s="229">
        <v>1.9699999999999999E-2</v>
      </c>
      <c r="EA166" s="230">
        <v>93800</v>
      </c>
      <c r="EB166" s="229">
        <v>5.1999999999999998E-3</v>
      </c>
      <c r="EC166" s="229">
        <v>1.9699999999999999E-2</v>
      </c>
      <c r="ED166" s="228">
        <v>11.41</v>
      </c>
      <c r="EE166" s="229">
        <v>6.7000000000000002E-3</v>
      </c>
      <c r="EF166" s="230">
        <v>1584174</v>
      </c>
      <c r="EG166" s="230">
        <v>1562013</v>
      </c>
      <c r="EH166" s="229">
        <v>1.4200000000000001E-2</v>
      </c>
      <c r="EI166" s="229">
        <v>0.78700000000000003</v>
      </c>
      <c r="EJ166" s="231">
        <v>31586.46</v>
      </c>
      <c r="EK166" s="231">
        <v>7292.48</v>
      </c>
      <c r="EL166" s="231">
        <v>23265.23</v>
      </c>
      <c r="EM166" s="231">
        <v>3782</v>
      </c>
      <c r="EN166" s="231">
        <v>62144.17</v>
      </c>
      <c r="EO166" s="231">
        <v>60163.24</v>
      </c>
      <c r="EP166" s="231">
        <v>1980.93</v>
      </c>
      <c r="EQ166" s="229">
        <v>3.2899999999999999E-2</v>
      </c>
      <c r="ER166" s="231">
        <v>24426</v>
      </c>
      <c r="ES166" s="231">
        <v>15304</v>
      </c>
      <c r="ET166" s="231">
        <v>123993</v>
      </c>
      <c r="EU166" s="231">
        <v>51720057</v>
      </c>
      <c r="EV166" s="231">
        <v>163724</v>
      </c>
      <c r="EW166" s="231">
        <v>160677</v>
      </c>
      <c r="EX166" s="231">
        <v>3047</v>
      </c>
      <c r="EY166" s="229">
        <v>1.9E-2</v>
      </c>
      <c r="EZ166" s="229">
        <v>0.18509999999999999</v>
      </c>
      <c r="FA166" s="227" t="s">
        <v>555</v>
      </c>
      <c r="FB166" s="161">
        <f t="shared" si="4"/>
        <v>0</v>
      </c>
    </row>
    <row r="167" spans="1:158" ht="17.25" thickBot="1" x14ac:dyDescent="0.3">
      <c r="A167" s="226">
        <v>45946</v>
      </c>
      <c r="B167" s="227" t="s">
        <v>184</v>
      </c>
      <c r="C167" s="227" t="s">
        <v>519</v>
      </c>
      <c r="D167" s="228">
        <v>125</v>
      </c>
      <c r="E167" s="231">
        <v>7600</v>
      </c>
      <c r="F167" s="231">
        <v>7682</v>
      </c>
      <c r="G167" s="228">
        <v>-82</v>
      </c>
      <c r="H167" s="229">
        <v>-1.0699999999999999E-2</v>
      </c>
      <c r="I167" s="231">
        <v>7578</v>
      </c>
      <c r="J167" s="231">
        <v>7658.5</v>
      </c>
      <c r="K167" s="228">
        <v>-80.5</v>
      </c>
      <c r="L167" s="229">
        <v>-1.0500000000000001E-2</v>
      </c>
      <c r="M167" s="231">
        <v>7600</v>
      </c>
      <c r="N167" s="231">
        <v>7682</v>
      </c>
      <c r="O167" s="228">
        <v>-82</v>
      </c>
      <c r="P167" s="229">
        <v>-1.0699999999999999E-2</v>
      </c>
      <c r="Q167" s="231">
        <v>7641</v>
      </c>
      <c r="R167" s="231">
        <v>7721.5</v>
      </c>
      <c r="S167" s="228">
        <v>-80.5</v>
      </c>
      <c r="T167" s="229">
        <v>-1.04E-2</v>
      </c>
      <c r="U167" s="231">
        <v>7688.5</v>
      </c>
      <c r="V167" s="231">
        <v>7769.5</v>
      </c>
      <c r="W167" s="228">
        <v>-81</v>
      </c>
      <c r="X167" s="229">
        <v>-1.04E-2</v>
      </c>
      <c r="Y167" s="228">
        <v>22</v>
      </c>
      <c r="Z167" s="228">
        <v>23.5</v>
      </c>
      <c r="AA167" s="228">
        <v>-1.5</v>
      </c>
      <c r="AB167" s="229">
        <v>2.8999999999999998E-3</v>
      </c>
      <c r="AC167" s="228">
        <v>22</v>
      </c>
      <c r="AD167" s="228">
        <v>23.5</v>
      </c>
      <c r="AE167" s="228">
        <v>-1.5</v>
      </c>
      <c r="AF167" s="229">
        <v>2.8999999999999998E-3</v>
      </c>
      <c r="AG167" s="228">
        <v>63</v>
      </c>
      <c r="AH167" s="228">
        <v>63</v>
      </c>
      <c r="AI167" s="228">
        <v>0</v>
      </c>
      <c r="AJ167" s="229">
        <v>8.3000000000000001E-3</v>
      </c>
      <c r="AK167" s="228">
        <v>110.5</v>
      </c>
      <c r="AL167" s="228">
        <v>111</v>
      </c>
      <c r="AM167" s="228">
        <v>-0.5</v>
      </c>
      <c r="AN167" s="229">
        <v>1.46E-2</v>
      </c>
      <c r="AO167" s="231">
        <v>7603.29</v>
      </c>
      <c r="AP167" s="231">
        <v>7640.13</v>
      </c>
      <c r="AQ167" s="228">
        <v>0</v>
      </c>
      <c r="AR167" s="230">
        <v>683750</v>
      </c>
      <c r="AS167" s="230">
        <v>445875</v>
      </c>
      <c r="AT167" s="230">
        <v>237875</v>
      </c>
      <c r="AU167" s="229">
        <v>0.53349999999999997</v>
      </c>
      <c r="AV167" s="230">
        <v>628500</v>
      </c>
      <c r="AW167" s="230">
        <v>425375</v>
      </c>
      <c r="AX167" s="230">
        <v>203125</v>
      </c>
      <c r="AY167" s="229">
        <v>0.47749999999999998</v>
      </c>
      <c r="AZ167" s="230">
        <v>52500</v>
      </c>
      <c r="BA167" s="230">
        <v>18250</v>
      </c>
      <c r="BB167" s="230">
        <v>34250</v>
      </c>
      <c r="BC167" s="229">
        <v>1.8767</v>
      </c>
      <c r="BD167" s="230">
        <v>2750</v>
      </c>
      <c r="BE167" s="230">
        <v>2250</v>
      </c>
      <c r="BF167" s="228">
        <v>500</v>
      </c>
      <c r="BG167" s="229">
        <v>0.22220000000000001</v>
      </c>
      <c r="BH167" s="230">
        <v>1783875</v>
      </c>
      <c r="BI167" s="230">
        <v>1231375</v>
      </c>
      <c r="BJ167" s="230">
        <v>552500</v>
      </c>
      <c r="BK167" s="229">
        <v>0.44869999999999999</v>
      </c>
      <c r="BL167" s="230">
        <v>779875</v>
      </c>
      <c r="BM167" s="230">
        <v>672000</v>
      </c>
      <c r="BN167" s="230">
        <v>107875</v>
      </c>
      <c r="BO167" s="229">
        <v>0.1605</v>
      </c>
      <c r="BP167" s="230">
        <v>3247500</v>
      </c>
      <c r="BQ167" s="230">
        <v>2349250</v>
      </c>
      <c r="BR167" s="230">
        <v>898250</v>
      </c>
      <c r="BS167" s="229">
        <v>0.38240000000000002</v>
      </c>
      <c r="BT167" s="230">
        <v>193454</v>
      </c>
      <c r="BU167" s="230">
        <v>122041</v>
      </c>
      <c r="BV167" s="230">
        <v>71413</v>
      </c>
      <c r="BW167" s="229">
        <v>0.58520000000000005</v>
      </c>
      <c r="BX167" s="230">
        <v>1851625</v>
      </c>
      <c r="BY167" s="230">
        <v>1774000</v>
      </c>
      <c r="BZ167" s="230">
        <v>77625</v>
      </c>
      <c r="CA167" s="229">
        <v>4.3799999999999999E-2</v>
      </c>
      <c r="CB167" s="230">
        <v>1795500</v>
      </c>
      <c r="CC167" s="230">
        <v>1723125</v>
      </c>
      <c r="CD167" s="230">
        <v>72375</v>
      </c>
      <c r="CE167" s="229">
        <v>4.2000000000000003E-2</v>
      </c>
      <c r="CF167" s="230">
        <v>47625</v>
      </c>
      <c r="CG167" s="230">
        <v>43250</v>
      </c>
      <c r="CH167" s="230">
        <v>4375</v>
      </c>
      <c r="CI167" s="229">
        <v>0.1012</v>
      </c>
      <c r="CJ167" s="230">
        <v>8500</v>
      </c>
      <c r="CK167" s="230">
        <v>7625</v>
      </c>
      <c r="CL167" s="228">
        <v>875</v>
      </c>
      <c r="CM167" s="229">
        <v>0.1148</v>
      </c>
      <c r="CN167" s="230">
        <v>1090625</v>
      </c>
      <c r="CO167" s="230">
        <v>997500</v>
      </c>
      <c r="CP167" s="230">
        <v>93125</v>
      </c>
      <c r="CQ167" s="229">
        <v>9.3399999999999997E-2</v>
      </c>
      <c r="CR167" s="230">
        <v>543000</v>
      </c>
      <c r="CS167" s="230">
        <v>528000</v>
      </c>
      <c r="CT167" s="230">
        <v>15000</v>
      </c>
      <c r="CU167" s="229">
        <v>2.8400000000000002E-2</v>
      </c>
      <c r="CV167" s="230">
        <v>3485250</v>
      </c>
      <c r="CW167" s="230">
        <v>3299500</v>
      </c>
      <c r="CX167" s="230">
        <v>185750</v>
      </c>
      <c r="CY167" s="229">
        <v>5.6300000000000003E-2</v>
      </c>
      <c r="CZ167" s="228">
        <v>35.799999999999997</v>
      </c>
      <c r="DA167" s="228">
        <v>34.86</v>
      </c>
      <c r="DB167" s="228">
        <v>0.94</v>
      </c>
      <c r="DC167" s="228">
        <v>0.94</v>
      </c>
      <c r="DD167" s="228">
        <v>40.799999999999997</v>
      </c>
      <c r="DE167" s="228">
        <v>40.880000000000003</v>
      </c>
      <c r="DF167" s="228">
        <v>-5</v>
      </c>
      <c r="DG167" s="228">
        <v>-0.08</v>
      </c>
      <c r="DH167" s="228">
        <v>35.479999999999997</v>
      </c>
      <c r="DI167" s="228">
        <v>34.1</v>
      </c>
      <c r="DJ167" s="228">
        <v>1.38</v>
      </c>
      <c r="DK167" s="228">
        <v>1.38</v>
      </c>
      <c r="DL167" s="228">
        <v>36.53</v>
      </c>
      <c r="DM167" s="228">
        <v>36.26</v>
      </c>
      <c r="DN167" s="228">
        <v>0.27</v>
      </c>
      <c r="DO167" s="228">
        <v>0.27</v>
      </c>
      <c r="DP167" s="228">
        <v>0.5</v>
      </c>
      <c r="DQ167" s="228">
        <v>0.53</v>
      </c>
      <c r="DR167" s="228">
        <v>-0.03</v>
      </c>
      <c r="DS167" s="229">
        <v>-5.6599999999999998E-2</v>
      </c>
      <c r="DT167" s="231">
        <v>8000</v>
      </c>
      <c r="DU167" s="231">
        <v>7000</v>
      </c>
      <c r="DV167" s="228">
        <v>0.44</v>
      </c>
      <c r="DW167" s="228">
        <v>0.55000000000000004</v>
      </c>
      <c r="DX167" s="228">
        <v>-0.11</v>
      </c>
      <c r="DY167" s="229">
        <v>-0.2</v>
      </c>
      <c r="DZ167" s="229">
        <v>3.0300000000000001E-2</v>
      </c>
      <c r="EA167" s="230">
        <v>50875</v>
      </c>
      <c r="EB167" s="229">
        <v>5.4000000000000003E-3</v>
      </c>
      <c r="EC167" s="229">
        <v>3.0300000000000001E-2</v>
      </c>
      <c r="ED167" s="228">
        <v>36.840000000000003</v>
      </c>
      <c r="EE167" s="229">
        <v>4.7999999999999996E-3</v>
      </c>
      <c r="EF167" s="230">
        <v>68103</v>
      </c>
      <c r="EG167" s="230">
        <v>52722</v>
      </c>
      <c r="EH167" s="229">
        <v>0.29170000000000001</v>
      </c>
      <c r="EI167" s="229">
        <v>0.35199999999999998</v>
      </c>
      <c r="EJ167" s="231">
        <v>142327.76999999999</v>
      </c>
      <c r="EK167" s="231">
        <v>58089.01</v>
      </c>
      <c r="EL167" s="231">
        <v>52009.279999999999</v>
      </c>
      <c r="EM167" s="231">
        <v>3433</v>
      </c>
      <c r="EN167" s="231">
        <v>252426.06</v>
      </c>
      <c r="EO167" s="231">
        <v>183241.82</v>
      </c>
      <c r="EP167" s="231">
        <v>69184.240000000005</v>
      </c>
      <c r="EQ167" s="229">
        <v>0.37759999999999999</v>
      </c>
      <c r="ER167" s="231">
        <v>85765</v>
      </c>
      <c r="ES167" s="231">
        <v>39650</v>
      </c>
      <c r="ET167" s="231">
        <v>140751</v>
      </c>
      <c r="EU167" s="231">
        <v>8350688</v>
      </c>
      <c r="EV167" s="231">
        <v>266165</v>
      </c>
      <c r="EW167" s="231">
        <v>253391</v>
      </c>
      <c r="EX167" s="231">
        <v>12774</v>
      </c>
      <c r="EY167" s="229">
        <v>5.04E-2</v>
      </c>
      <c r="EZ167" s="229">
        <v>0.41739999999999999</v>
      </c>
      <c r="FA167" s="227" t="s">
        <v>567</v>
      </c>
      <c r="FB167" s="161">
        <f t="shared" si="4"/>
        <v>0</v>
      </c>
    </row>
    <row r="168" spans="1:158" ht="17.25" thickBot="1" x14ac:dyDescent="0.3">
      <c r="A168" s="226">
        <v>45946</v>
      </c>
      <c r="B168" s="227" t="s">
        <v>161</v>
      </c>
      <c r="C168" s="227" t="s">
        <v>276</v>
      </c>
      <c r="D168" s="228">
        <v>1900</v>
      </c>
      <c r="E168" s="228">
        <v>292.55</v>
      </c>
      <c r="F168" s="228">
        <v>292.2</v>
      </c>
      <c r="G168" s="228">
        <v>0.35</v>
      </c>
      <c r="H168" s="229">
        <v>1.1999999999999999E-3</v>
      </c>
      <c r="I168" s="228">
        <v>291.85000000000002</v>
      </c>
      <c r="J168" s="228">
        <v>290.95</v>
      </c>
      <c r="K168" s="228">
        <v>0.9</v>
      </c>
      <c r="L168" s="229">
        <v>3.0999999999999999E-3</v>
      </c>
      <c r="M168" s="228">
        <v>292.55</v>
      </c>
      <c r="N168" s="228">
        <v>292.2</v>
      </c>
      <c r="O168" s="228">
        <v>0.35</v>
      </c>
      <c r="P168" s="229">
        <v>1.1999999999999999E-3</v>
      </c>
      <c r="Q168" s="228">
        <v>290.60000000000002</v>
      </c>
      <c r="R168" s="228">
        <v>289.85000000000002</v>
      </c>
      <c r="S168" s="228">
        <v>0.75</v>
      </c>
      <c r="T168" s="229">
        <v>2.5999999999999999E-3</v>
      </c>
      <c r="U168" s="228">
        <v>292.3</v>
      </c>
      <c r="V168" s="228">
        <v>292</v>
      </c>
      <c r="W168" s="228">
        <v>0.3</v>
      </c>
      <c r="X168" s="229">
        <v>1E-3</v>
      </c>
      <c r="Y168" s="228">
        <v>0.7</v>
      </c>
      <c r="Z168" s="228">
        <v>1.25</v>
      </c>
      <c r="AA168" s="228">
        <v>-0.55000000000000004</v>
      </c>
      <c r="AB168" s="229">
        <v>2.3999999999999998E-3</v>
      </c>
      <c r="AC168" s="228">
        <v>0.7</v>
      </c>
      <c r="AD168" s="228">
        <v>1.25</v>
      </c>
      <c r="AE168" s="228">
        <v>-0.55000000000000004</v>
      </c>
      <c r="AF168" s="229">
        <v>2.3999999999999998E-3</v>
      </c>
      <c r="AG168" s="228">
        <v>-1.25</v>
      </c>
      <c r="AH168" s="228">
        <v>-1.1000000000000001</v>
      </c>
      <c r="AI168" s="228">
        <v>-0.15</v>
      </c>
      <c r="AJ168" s="229">
        <v>-4.3E-3</v>
      </c>
      <c r="AK168" s="228">
        <v>0.45</v>
      </c>
      <c r="AL168" s="228">
        <v>1.05</v>
      </c>
      <c r="AM168" s="228">
        <v>-0.6</v>
      </c>
      <c r="AN168" s="229">
        <v>1.5E-3</v>
      </c>
      <c r="AO168" s="228">
        <v>292.8</v>
      </c>
      <c r="AP168" s="228">
        <v>290.75</v>
      </c>
      <c r="AQ168" s="228">
        <v>0</v>
      </c>
      <c r="AR168" s="230">
        <v>8474000</v>
      </c>
      <c r="AS168" s="230">
        <v>8506300</v>
      </c>
      <c r="AT168" s="230">
        <v>-32300</v>
      </c>
      <c r="AU168" s="229">
        <v>-3.8E-3</v>
      </c>
      <c r="AV168" s="230">
        <v>6955900</v>
      </c>
      <c r="AW168" s="230">
        <v>7142100</v>
      </c>
      <c r="AX168" s="230">
        <v>-186200</v>
      </c>
      <c r="AY168" s="229">
        <v>-2.6100000000000002E-2</v>
      </c>
      <c r="AZ168" s="230">
        <v>1453500</v>
      </c>
      <c r="BA168" s="230">
        <v>1292000</v>
      </c>
      <c r="BB168" s="230">
        <v>161500</v>
      </c>
      <c r="BC168" s="229">
        <v>0.125</v>
      </c>
      <c r="BD168" s="230">
        <v>64600</v>
      </c>
      <c r="BE168" s="230">
        <v>72200</v>
      </c>
      <c r="BF168" s="230">
        <v>-7600</v>
      </c>
      <c r="BG168" s="229">
        <v>-0.1053</v>
      </c>
      <c r="BH168" s="230">
        <v>12783200</v>
      </c>
      <c r="BI168" s="230">
        <v>28794500</v>
      </c>
      <c r="BJ168" s="230">
        <v>-16011300</v>
      </c>
      <c r="BK168" s="229">
        <v>-0.55610000000000004</v>
      </c>
      <c r="BL168" s="230">
        <v>7280800</v>
      </c>
      <c r="BM168" s="230">
        <v>15709200</v>
      </c>
      <c r="BN168" s="230">
        <v>-8428400</v>
      </c>
      <c r="BO168" s="229">
        <v>-0.53649999999999998</v>
      </c>
      <c r="BP168" s="230">
        <v>28538000</v>
      </c>
      <c r="BQ168" s="230">
        <v>53010000</v>
      </c>
      <c r="BR168" s="230">
        <v>-24472000</v>
      </c>
      <c r="BS168" s="229">
        <v>-0.46160000000000001</v>
      </c>
      <c r="BT168" s="230">
        <v>13710250</v>
      </c>
      <c r="BU168" s="230">
        <v>8331273</v>
      </c>
      <c r="BV168" s="230">
        <v>5378977</v>
      </c>
      <c r="BW168" s="229">
        <v>0.64559999999999995</v>
      </c>
      <c r="BX168" s="230">
        <v>73136700</v>
      </c>
      <c r="BY168" s="230">
        <v>72583800</v>
      </c>
      <c r="BZ168" s="230">
        <v>552900</v>
      </c>
      <c r="CA168" s="229">
        <v>7.6E-3</v>
      </c>
      <c r="CB168" s="230">
        <v>69004200</v>
      </c>
      <c r="CC168" s="230">
        <v>69144800</v>
      </c>
      <c r="CD168" s="230">
        <v>-140600</v>
      </c>
      <c r="CE168" s="229">
        <v>-2E-3</v>
      </c>
      <c r="CF168" s="230">
        <v>3895000</v>
      </c>
      <c r="CG168" s="230">
        <v>3226200</v>
      </c>
      <c r="CH168" s="230">
        <v>668800</v>
      </c>
      <c r="CI168" s="229">
        <v>0.20730000000000001</v>
      </c>
      <c r="CJ168" s="230">
        <v>237500</v>
      </c>
      <c r="CK168" s="230">
        <v>212800</v>
      </c>
      <c r="CL168" s="230">
        <v>24700</v>
      </c>
      <c r="CM168" s="229">
        <v>0.11609999999999999</v>
      </c>
      <c r="CN168" s="230">
        <v>29524100</v>
      </c>
      <c r="CO168" s="230">
        <v>29858500</v>
      </c>
      <c r="CP168" s="230">
        <v>-334400</v>
      </c>
      <c r="CQ168" s="229">
        <v>-1.12E-2</v>
      </c>
      <c r="CR168" s="230">
        <v>15051800</v>
      </c>
      <c r="CS168" s="230">
        <v>15315900</v>
      </c>
      <c r="CT168" s="230">
        <v>-264100</v>
      </c>
      <c r="CU168" s="229">
        <v>-1.72E-2</v>
      </c>
      <c r="CV168" s="230">
        <v>117712600</v>
      </c>
      <c r="CW168" s="230">
        <v>117758200</v>
      </c>
      <c r="CX168" s="230">
        <v>-45600</v>
      </c>
      <c r="CY168" s="229">
        <v>-4.0000000000000002E-4</v>
      </c>
      <c r="CZ168" s="228">
        <v>18.52</v>
      </c>
      <c r="DA168" s="228">
        <v>19.18</v>
      </c>
      <c r="DB168" s="228">
        <v>-0.66</v>
      </c>
      <c r="DC168" s="228">
        <v>-0.66</v>
      </c>
      <c r="DD168" s="228">
        <v>29.39</v>
      </c>
      <c r="DE168" s="228">
        <v>29.46</v>
      </c>
      <c r="DF168" s="228">
        <v>-10.87</v>
      </c>
      <c r="DG168" s="228">
        <v>-7.0000000000000007E-2</v>
      </c>
      <c r="DH168" s="228">
        <v>18.52</v>
      </c>
      <c r="DI168" s="228">
        <v>18.670000000000002</v>
      </c>
      <c r="DJ168" s="228">
        <v>-0.15</v>
      </c>
      <c r="DK168" s="228">
        <v>-0.15</v>
      </c>
      <c r="DL168" s="228">
        <v>18.52</v>
      </c>
      <c r="DM168" s="228">
        <v>20.11</v>
      </c>
      <c r="DN168" s="228">
        <v>-1.59</v>
      </c>
      <c r="DO168" s="228">
        <v>-1.59</v>
      </c>
      <c r="DP168" s="228">
        <v>0.51</v>
      </c>
      <c r="DQ168" s="228">
        <v>0.51</v>
      </c>
      <c r="DR168" s="228">
        <v>0</v>
      </c>
      <c r="DS168" s="229">
        <v>0</v>
      </c>
      <c r="DT168" s="228">
        <v>300</v>
      </c>
      <c r="DU168" s="228">
        <v>290</v>
      </c>
      <c r="DV168" s="228">
        <v>0.56999999999999995</v>
      </c>
      <c r="DW168" s="228">
        <v>0.55000000000000004</v>
      </c>
      <c r="DX168" s="228">
        <v>0.02</v>
      </c>
      <c r="DY168" s="229">
        <v>3.6400000000000002E-2</v>
      </c>
      <c r="DZ168" s="229">
        <v>5.6500000000000002E-2</v>
      </c>
      <c r="EA168" s="230">
        <v>3439000</v>
      </c>
      <c r="EB168" s="229">
        <v>-6.7000000000000002E-3</v>
      </c>
      <c r="EC168" s="229">
        <v>5.6500000000000002E-2</v>
      </c>
      <c r="ED168" s="228">
        <v>-2.0499999999999998</v>
      </c>
      <c r="EE168" s="229">
        <v>-7.0000000000000001E-3</v>
      </c>
      <c r="EF168" s="230">
        <v>10924010</v>
      </c>
      <c r="EG168" s="230">
        <v>5634180</v>
      </c>
      <c r="EH168" s="229">
        <v>0.93889999999999996</v>
      </c>
      <c r="EI168" s="229">
        <v>0.79679999999999995</v>
      </c>
      <c r="EJ168" s="231">
        <v>38264.28</v>
      </c>
      <c r="EK168" s="231">
        <v>21359.83</v>
      </c>
      <c r="EL168" s="231">
        <v>24782.19</v>
      </c>
      <c r="EM168" s="231">
        <v>3830</v>
      </c>
      <c r="EN168" s="231">
        <v>84406.3</v>
      </c>
      <c r="EO168" s="231">
        <v>155860.85</v>
      </c>
      <c r="EP168" s="231">
        <v>-71454.55</v>
      </c>
      <c r="EQ168" s="229">
        <v>-0.45850000000000002</v>
      </c>
      <c r="ER168" s="231">
        <v>88540</v>
      </c>
      <c r="ES168" s="231">
        <v>43051</v>
      </c>
      <c r="ET168" s="231">
        <v>213885</v>
      </c>
      <c r="EU168" s="231">
        <v>488832949</v>
      </c>
      <c r="EV168" s="231">
        <v>345476</v>
      </c>
      <c r="EW168" s="231">
        <v>345258</v>
      </c>
      <c r="EX168" s="228">
        <v>218</v>
      </c>
      <c r="EY168" s="229">
        <v>5.9999999999999995E-4</v>
      </c>
      <c r="EZ168" s="229">
        <v>0.24079999999999999</v>
      </c>
      <c r="FA168" s="227" t="s">
        <v>555</v>
      </c>
      <c r="FB168" s="161">
        <f t="shared" si="4"/>
        <v>0</v>
      </c>
    </row>
    <row r="169" spans="1:158" ht="17.25" thickBot="1" x14ac:dyDescent="0.3">
      <c r="A169" s="226">
        <v>45946</v>
      </c>
      <c r="B169" s="227" t="s">
        <v>184</v>
      </c>
      <c r="C169" s="227" t="s">
        <v>688</v>
      </c>
      <c r="D169" s="228">
        <v>50</v>
      </c>
      <c r="E169" s="231">
        <v>17762</v>
      </c>
      <c r="F169" s="231">
        <v>17536</v>
      </c>
      <c r="G169" s="228">
        <v>226</v>
      </c>
      <c r="H169" s="229">
        <v>1.29E-2</v>
      </c>
      <c r="I169" s="231">
        <v>17700</v>
      </c>
      <c r="J169" s="231">
        <v>17488</v>
      </c>
      <c r="K169" s="228">
        <v>212</v>
      </c>
      <c r="L169" s="229">
        <v>1.21E-2</v>
      </c>
      <c r="M169" s="231">
        <v>17762</v>
      </c>
      <c r="N169" s="231">
        <v>17536</v>
      </c>
      <c r="O169" s="228">
        <v>226</v>
      </c>
      <c r="P169" s="229">
        <v>1.29E-2</v>
      </c>
      <c r="Q169" s="231">
        <v>17844</v>
      </c>
      <c r="R169" s="231">
        <v>17584</v>
      </c>
      <c r="S169" s="228">
        <v>260</v>
      </c>
      <c r="T169" s="229">
        <v>1.4800000000000001E-2</v>
      </c>
      <c r="U169" s="228">
        <v>0</v>
      </c>
      <c r="V169" s="228">
        <v>0</v>
      </c>
      <c r="W169" s="228">
        <v>0</v>
      </c>
      <c r="X169" s="229">
        <v>0</v>
      </c>
      <c r="Y169" s="228">
        <v>62</v>
      </c>
      <c r="Z169" s="228">
        <v>48</v>
      </c>
      <c r="AA169" s="228">
        <v>14</v>
      </c>
      <c r="AB169" s="229">
        <v>3.5000000000000001E-3</v>
      </c>
      <c r="AC169" s="228">
        <v>62</v>
      </c>
      <c r="AD169" s="228">
        <v>48</v>
      </c>
      <c r="AE169" s="228">
        <v>14</v>
      </c>
      <c r="AF169" s="229">
        <v>3.5000000000000001E-3</v>
      </c>
      <c r="AG169" s="228">
        <v>144</v>
      </c>
      <c r="AH169" s="228">
        <v>96</v>
      </c>
      <c r="AI169" s="228">
        <v>48</v>
      </c>
      <c r="AJ169" s="229">
        <v>8.0999999999999996E-3</v>
      </c>
      <c r="AK169" s="228">
        <v>0</v>
      </c>
      <c r="AL169" s="228">
        <v>0</v>
      </c>
      <c r="AM169" s="228">
        <v>0</v>
      </c>
      <c r="AN169" s="229">
        <v>0</v>
      </c>
      <c r="AO169" s="231">
        <v>17673.419999999998</v>
      </c>
      <c r="AP169" s="231">
        <v>17772</v>
      </c>
      <c r="AQ169" s="228">
        <v>0</v>
      </c>
      <c r="AR169" s="230">
        <v>69400</v>
      </c>
      <c r="AS169" s="230">
        <v>40600</v>
      </c>
      <c r="AT169" s="230">
        <v>28800</v>
      </c>
      <c r="AU169" s="229">
        <v>0.70940000000000003</v>
      </c>
      <c r="AV169" s="230">
        <v>67150</v>
      </c>
      <c r="AW169" s="230">
        <v>39100</v>
      </c>
      <c r="AX169" s="230">
        <v>28050</v>
      </c>
      <c r="AY169" s="229">
        <v>0.71740000000000004</v>
      </c>
      <c r="AZ169" s="230">
        <v>2250</v>
      </c>
      <c r="BA169" s="230">
        <v>1500</v>
      </c>
      <c r="BB169" s="228">
        <v>750</v>
      </c>
      <c r="BC169" s="229">
        <v>0.5</v>
      </c>
      <c r="BD169" s="228">
        <v>0</v>
      </c>
      <c r="BE169" s="228">
        <v>0</v>
      </c>
      <c r="BF169" s="228">
        <v>0</v>
      </c>
      <c r="BG169" s="229">
        <v>0</v>
      </c>
      <c r="BH169" s="230">
        <v>105400</v>
      </c>
      <c r="BI169" s="230">
        <v>46600</v>
      </c>
      <c r="BJ169" s="230">
        <v>58800</v>
      </c>
      <c r="BK169" s="229">
        <v>1.2618</v>
      </c>
      <c r="BL169" s="230">
        <v>12050</v>
      </c>
      <c r="BM169" s="230">
        <v>13900</v>
      </c>
      <c r="BN169" s="230">
        <v>-1850</v>
      </c>
      <c r="BO169" s="229">
        <v>-0.1331</v>
      </c>
      <c r="BP169" s="230">
        <v>186850</v>
      </c>
      <c r="BQ169" s="230">
        <v>101100</v>
      </c>
      <c r="BR169" s="230">
        <v>85750</v>
      </c>
      <c r="BS169" s="229">
        <v>0.84819999999999995</v>
      </c>
      <c r="BT169" s="230">
        <v>81902</v>
      </c>
      <c r="BU169" s="230">
        <v>80812</v>
      </c>
      <c r="BV169" s="230">
        <v>1090</v>
      </c>
      <c r="BW169" s="229">
        <v>1.35E-2</v>
      </c>
      <c r="BX169" s="230">
        <v>93800</v>
      </c>
      <c r="BY169" s="230">
        <v>81750</v>
      </c>
      <c r="BZ169" s="230">
        <v>12050</v>
      </c>
      <c r="CA169" s="229">
        <v>0.1474</v>
      </c>
      <c r="CB169" s="230">
        <v>91600</v>
      </c>
      <c r="CC169" s="230">
        <v>79550</v>
      </c>
      <c r="CD169" s="230">
        <v>12050</v>
      </c>
      <c r="CE169" s="229">
        <v>0.1515</v>
      </c>
      <c r="CF169" s="230">
        <v>2200</v>
      </c>
      <c r="CG169" s="230">
        <v>2200</v>
      </c>
      <c r="CH169" s="228">
        <v>0</v>
      </c>
      <c r="CI169" s="229">
        <v>0</v>
      </c>
      <c r="CJ169" s="228">
        <v>0</v>
      </c>
      <c r="CK169" s="228">
        <v>0</v>
      </c>
      <c r="CL169" s="228">
        <v>0</v>
      </c>
      <c r="CM169" s="229">
        <v>0</v>
      </c>
      <c r="CN169" s="230">
        <v>65200</v>
      </c>
      <c r="CO169" s="230">
        <v>63750</v>
      </c>
      <c r="CP169" s="230">
        <v>1450</v>
      </c>
      <c r="CQ169" s="229">
        <v>2.2700000000000001E-2</v>
      </c>
      <c r="CR169" s="230">
        <v>15450</v>
      </c>
      <c r="CS169" s="230">
        <v>14750</v>
      </c>
      <c r="CT169" s="228">
        <v>700</v>
      </c>
      <c r="CU169" s="229">
        <v>4.7500000000000001E-2</v>
      </c>
      <c r="CV169" s="230">
        <v>174450</v>
      </c>
      <c r="CW169" s="230">
        <v>160250</v>
      </c>
      <c r="CX169" s="230">
        <v>14200</v>
      </c>
      <c r="CY169" s="229">
        <v>8.8599999999999998E-2</v>
      </c>
      <c r="CZ169" s="228">
        <v>34.479999999999997</v>
      </c>
      <c r="DA169" s="228">
        <v>37.549999999999997</v>
      </c>
      <c r="DB169" s="228">
        <v>-3.07</v>
      </c>
      <c r="DC169" s="228">
        <v>-3.07</v>
      </c>
      <c r="DD169" s="228">
        <v>57.98</v>
      </c>
      <c r="DE169" s="228">
        <v>58.1</v>
      </c>
      <c r="DF169" s="228">
        <v>-23.5</v>
      </c>
      <c r="DG169" s="228">
        <v>-0.12</v>
      </c>
      <c r="DH169" s="228">
        <v>34.44</v>
      </c>
      <c r="DI169" s="228">
        <v>36.68</v>
      </c>
      <c r="DJ169" s="228">
        <v>-2.2400000000000002</v>
      </c>
      <c r="DK169" s="228">
        <v>-2.2400000000000002</v>
      </c>
      <c r="DL169" s="228">
        <v>34.85</v>
      </c>
      <c r="DM169" s="228">
        <v>40.479999999999997</v>
      </c>
      <c r="DN169" s="228">
        <v>-5.63</v>
      </c>
      <c r="DO169" s="228">
        <v>-5.63</v>
      </c>
      <c r="DP169" s="228">
        <v>0.24</v>
      </c>
      <c r="DQ169" s="228">
        <v>0.23</v>
      </c>
      <c r="DR169" s="228">
        <v>0.01</v>
      </c>
      <c r="DS169" s="229">
        <v>4.3499999999999997E-2</v>
      </c>
      <c r="DT169" s="231">
        <v>18500</v>
      </c>
      <c r="DU169" s="231">
        <v>17000</v>
      </c>
      <c r="DV169" s="228">
        <v>0.11</v>
      </c>
      <c r="DW169" s="228">
        <v>0.3</v>
      </c>
      <c r="DX169" s="228">
        <v>-0.19</v>
      </c>
      <c r="DY169" s="229">
        <v>-0.63329999999999997</v>
      </c>
      <c r="DZ169" s="229">
        <v>2.35E-2</v>
      </c>
      <c r="EA169" s="230">
        <v>2200</v>
      </c>
      <c r="EB169" s="229">
        <v>4.5999999999999999E-3</v>
      </c>
      <c r="EC169" s="229">
        <v>2.35E-2</v>
      </c>
      <c r="ED169" s="228">
        <v>98.58</v>
      </c>
      <c r="EE169" s="229">
        <v>5.5999999999999999E-3</v>
      </c>
      <c r="EF169" s="230">
        <v>35231</v>
      </c>
      <c r="EG169" s="230">
        <v>25731</v>
      </c>
      <c r="EH169" s="229">
        <v>0.36919999999999997</v>
      </c>
      <c r="EI169" s="229">
        <v>0.43020000000000003</v>
      </c>
      <c r="EJ169" s="231">
        <v>19549.330000000002</v>
      </c>
      <c r="EK169" s="231">
        <v>2093.39</v>
      </c>
      <c r="EL169" s="231">
        <v>12267.57</v>
      </c>
      <c r="EM169" s="228">
        <v>583</v>
      </c>
      <c r="EN169" s="231">
        <v>33910.29</v>
      </c>
      <c r="EO169" s="231">
        <v>18073.330000000002</v>
      </c>
      <c r="EP169" s="231">
        <v>15836.96</v>
      </c>
      <c r="EQ169" s="229">
        <v>0.87629999999999997</v>
      </c>
      <c r="ER169" s="231">
        <v>12188</v>
      </c>
      <c r="ES169" s="231">
        <v>2643</v>
      </c>
      <c r="ET169" s="231">
        <v>16663</v>
      </c>
      <c r="EU169" s="231">
        <v>1917916</v>
      </c>
      <c r="EV169" s="231">
        <v>31493</v>
      </c>
      <c r="EW169" s="231">
        <v>28847</v>
      </c>
      <c r="EX169" s="231">
        <v>2646</v>
      </c>
      <c r="EY169" s="229">
        <v>9.1700000000000004E-2</v>
      </c>
      <c r="EZ169" s="229">
        <v>9.0999999999999998E-2</v>
      </c>
      <c r="FA169" s="227" t="s">
        <v>555</v>
      </c>
      <c r="FB169" s="161">
        <f t="shared" si="4"/>
        <v>0</v>
      </c>
    </row>
    <row r="170" spans="1:158" ht="17.25" thickBot="1" x14ac:dyDescent="0.3">
      <c r="A170" s="226">
        <v>45946</v>
      </c>
      <c r="B170" s="227" t="s">
        <v>170</v>
      </c>
      <c r="C170" s="227" t="s">
        <v>679</v>
      </c>
      <c r="D170" s="228">
        <v>2500</v>
      </c>
      <c r="E170" s="228">
        <v>194.15</v>
      </c>
      <c r="F170" s="228">
        <v>193.67</v>
      </c>
      <c r="G170" s="228">
        <v>0.48</v>
      </c>
      <c r="H170" s="229">
        <v>2.5000000000000001E-3</v>
      </c>
      <c r="I170" s="228">
        <v>194.16</v>
      </c>
      <c r="J170" s="228">
        <v>193.5</v>
      </c>
      <c r="K170" s="228">
        <v>0.66</v>
      </c>
      <c r="L170" s="229">
        <v>3.3999999999999998E-3</v>
      </c>
      <c r="M170" s="228">
        <v>194.15</v>
      </c>
      <c r="N170" s="228">
        <v>193.67</v>
      </c>
      <c r="O170" s="228">
        <v>0.48</v>
      </c>
      <c r="P170" s="229">
        <v>2.5000000000000001E-3</v>
      </c>
      <c r="Q170" s="228">
        <v>194.71</v>
      </c>
      <c r="R170" s="228">
        <v>194.52</v>
      </c>
      <c r="S170" s="228">
        <v>0.19</v>
      </c>
      <c r="T170" s="229">
        <v>1E-3</v>
      </c>
      <c r="U170" s="228">
        <v>195.63</v>
      </c>
      <c r="V170" s="228">
        <v>195.71</v>
      </c>
      <c r="W170" s="228">
        <v>-0.08</v>
      </c>
      <c r="X170" s="229">
        <v>-4.0000000000000002E-4</v>
      </c>
      <c r="Y170" s="228">
        <v>-0.01</v>
      </c>
      <c r="Z170" s="228">
        <v>0.17</v>
      </c>
      <c r="AA170" s="228">
        <v>-0.18</v>
      </c>
      <c r="AB170" s="229">
        <v>-1E-4</v>
      </c>
      <c r="AC170" s="228">
        <v>-0.01</v>
      </c>
      <c r="AD170" s="228">
        <v>0.17</v>
      </c>
      <c r="AE170" s="228">
        <v>-0.18</v>
      </c>
      <c r="AF170" s="229">
        <v>-1E-4</v>
      </c>
      <c r="AG170" s="228">
        <v>0.55000000000000004</v>
      </c>
      <c r="AH170" s="228">
        <v>1.02</v>
      </c>
      <c r="AI170" s="228">
        <v>-0.47</v>
      </c>
      <c r="AJ170" s="229">
        <v>2.8E-3</v>
      </c>
      <c r="AK170" s="228">
        <v>1.47</v>
      </c>
      <c r="AL170" s="228">
        <v>2.21</v>
      </c>
      <c r="AM170" s="228">
        <v>-0.74</v>
      </c>
      <c r="AN170" s="229">
        <v>7.6E-3</v>
      </c>
      <c r="AO170" s="228">
        <v>194.55</v>
      </c>
      <c r="AP170" s="228">
        <v>195.16</v>
      </c>
      <c r="AQ170" s="228">
        <v>0</v>
      </c>
      <c r="AR170" s="230">
        <v>5002500</v>
      </c>
      <c r="AS170" s="230">
        <v>6185000</v>
      </c>
      <c r="AT170" s="230">
        <v>-1182500</v>
      </c>
      <c r="AU170" s="229">
        <v>-0.19120000000000001</v>
      </c>
      <c r="AV170" s="230">
        <v>3907500</v>
      </c>
      <c r="AW170" s="230">
        <v>5572500</v>
      </c>
      <c r="AX170" s="230">
        <v>-1665000</v>
      </c>
      <c r="AY170" s="229">
        <v>-0.29880000000000001</v>
      </c>
      <c r="AZ170" s="230">
        <v>1055000</v>
      </c>
      <c r="BA170" s="230">
        <v>575000</v>
      </c>
      <c r="BB170" s="230">
        <v>480000</v>
      </c>
      <c r="BC170" s="229">
        <v>0.83479999999999999</v>
      </c>
      <c r="BD170" s="230">
        <v>40000</v>
      </c>
      <c r="BE170" s="230">
        <v>37500</v>
      </c>
      <c r="BF170" s="230">
        <v>2500</v>
      </c>
      <c r="BG170" s="229">
        <v>6.6699999999999995E-2</v>
      </c>
      <c r="BH170" s="230">
        <v>5917500</v>
      </c>
      <c r="BI170" s="230">
        <v>12897500</v>
      </c>
      <c r="BJ170" s="230">
        <v>-6980000</v>
      </c>
      <c r="BK170" s="229">
        <v>-0.54120000000000001</v>
      </c>
      <c r="BL170" s="230">
        <v>1305000</v>
      </c>
      <c r="BM170" s="230">
        <v>6670000</v>
      </c>
      <c r="BN170" s="230">
        <v>-5365000</v>
      </c>
      <c r="BO170" s="229">
        <v>-0.80430000000000001</v>
      </c>
      <c r="BP170" s="230">
        <v>12225000</v>
      </c>
      <c r="BQ170" s="230">
        <v>25752500</v>
      </c>
      <c r="BR170" s="230">
        <v>-13527500</v>
      </c>
      <c r="BS170" s="229">
        <v>-0.52529999999999999</v>
      </c>
      <c r="BT170" s="230">
        <v>2159349</v>
      </c>
      <c r="BU170" s="230">
        <v>2608748</v>
      </c>
      <c r="BV170" s="230">
        <v>-449399</v>
      </c>
      <c r="BW170" s="229">
        <v>-0.17230000000000001</v>
      </c>
      <c r="BX170" s="230">
        <v>22437500</v>
      </c>
      <c r="BY170" s="230">
        <v>22902500</v>
      </c>
      <c r="BZ170" s="230">
        <v>-465000</v>
      </c>
      <c r="CA170" s="229">
        <v>-2.0299999999999999E-2</v>
      </c>
      <c r="CB170" s="230">
        <v>20270000</v>
      </c>
      <c r="CC170" s="230">
        <v>21135000</v>
      </c>
      <c r="CD170" s="230">
        <v>-865000</v>
      </c>
      <c r="CE170" s="229">
        <v>-4.0899999999999999E-2</v>
      </c>
      <c r="CF170" s="230">
        <v>1980000</v>
      </c>
      <c r="CG170" s="230">
        <v>1575000</v>
      </c>
      <c r="CH170" s="230">
        <v>405000</v>
      </c>
      <c r="CI170" s="229">
        <v>0.2571</v>
      </c>
      <c r="CJ170" s="230">
        <v>187500</v>
      </c>
      <c r="CK170" s="230">
        <v>192500</v>
      </c>
      <c r="CL170" s="230">
        <v>-5000</v>
      </c>
      <c r="CM170" s="229">
        <v>-2.5999999999999999E-2</v>
      </c>
      <c r="CN170" s="230">
        <v>14987500</v>
      </c>
      <c r="CO170" s="230">
        <v>14797500</v>
      </c>
      <c r="CP170" s="230">
        <v>190000</v>
      </c>
      <c r="CQ170" s="229">
        <v>1.2800000000000001E-2</v>
      </c>
      <c r="CR170" s="230">
        <v>8255000</v>
      </c>
      <c r="CS170" s="230">
        <v>8262500</v>
      </c>
      <c r="CT170" s="230">
        <v>-7500</v>
      </c>
      <c r="CU170" s="229">
        <v>-8.9999999999999998E-4</v>
      </c>
      <c r="CV170" s="230">
        <v>45680000</v>
      </c>
      <c r="CW170" s="230">
        <v>45962500</v>
      </c>
      <c r="CX170" s="230">
        <v>-282500</v>
      </c>
      <c r="CY170" s="229">
        <v>-6.1000000000000004E-3</v>
      </c>
      <c r="CZ170" s="228">
        <v>34.92</v>
      </c>
      <c r="DA170" s="228">
        <v>35.64</v>
      </c>
      <c r="DB170" s="228">
        <v>-0.72</v>
      </c>
      <c r="DC170" s="228">
        <v>-0.72</v>
      </c>
      <c r="DD170" s="228">
        <v>47.11</v>
      </c>
      <c r="DE170" s="228">
        <v>47.23</v>
      </c>
      <c r="DF170" s="228">
        <v>-12.19</v>
      </c>
      <c r="DG170" s="228">
        <v>-0.12</v>
      </c>
      <c r="DH170" s="228">
        <v>35.18</v>
      </c>
      <c r="DI170" s="228">
        <v>35.85</v>
      </c>
      <c r="DJ170" s="228">
        <v>-0.67</v>
      </c>
      <c r="DK170" s="228">
        <v>-0.67</v>
      </c>
      <c r="DL170" s="228">
        <v>33.729999999999997</v>
      </c>
      <c r="DM170" s="228">
        <v>35.229999999999997</v>
      </c>
      <c r="DN170" s="228">
        <v>-1.5</v>
      </c>
      <c r="DO170" s="228">
        <v>-1.5</v>
      </c>
      <c r="DP170" s="228">
        <v>0.55000000000000004</v>
      </c>
      <c r="DQ170" s="228">
        <v>0.56000000000000005</v>
      </c>
      <c r="DR170" s="228">
        <v>-0.01</v>
      </c>
      <c r="DS170" s="229">
        <v>-1.7899999999999999E-2</v>
      </c>
      <c r="DT170" s="228">
        <v>210</v>
      </c>
      <c r="DU170" s="228">
        <v>185</v>
      </c>
      <c r="DV170" s="228">
        <v>0.22</v>
      </c>
      <c r="DW170" s="228">
        <v>0.52</v>
      </c>
      <c r="DX170" s="228">
        <v>-0.3</v>
      </c>
      <c r="DY170" s="229">
        <v>-0.57689999999999997</v>
      </c>
      <c r="DZ170" s="229">
        <v>9.6600000000000005E-2</v>
      </c>
      <c r="EA170" s="230">
        <v>1767500</v>
      </c>
      <c r="EB170" s="229">
        <v>2.8999999999999998E-3</v>
      </c>
      <c r="EC170" s="229">
        <v>9.6600000000000005E-2</v>
      </c>
      <c r="ED170" s="228">
        <v>0.61</v>
      </c>
      <c r="EE170" s="229">
        <v>3.0999999999999999E-3</v>
      </c>
      <c r="EF170" s="230">
        <v>1118364</v>
      </c>
      <c r="EG170" s="230">
        <v>646057</v>
      </c>
      <c r="EH170" s="229">
        <v>0.73109999999999997</v>
      </c>
      <c r="EI170" s="229">
        <v>0.51790000000000003</v>
      </c>
      <c r="EJ170" s="231">
        <v>12107.84</v>
      </c>
      <c r="EK170" s="231">
        <v>2599.27</v>
      </c>
      <c r="EL170" s="231">
        <v>9739.51</v>
      </c>
      <c r="EM170" s="231">
        <v>3364</v>
      </c>
      <c r="EN170" s="231">
        <v>24446.62</v>
      </c>
      <c r="EO170" s="231">
        <v>51374.879999999997</v>
      </c>
      <c r="EP170" s="231">
        <v>-26928.26</v>
      </c>
      <c r="EQ170" s="229">
        <v>-0.5242</v>
      </c>
      <c r="ER170" s="231">
        <v>31073</v>
      </c>
      <c r="ES170" s="231">
        <v>15919</v>
      </c>
      <c r="ET170" s="231">
        <v>43576</v>
      </c>
      <c r="EU170" s="231">
        <v>120138597</v>
      </c>
      <c r="EV170" s="231">
        <v>90568</v>
      </c>
      <c r="EW170" s="231">
        <v>91016</v>
      </c>
      <c r="EX170" s="228">
        <v>-448</v>
      </c>
      <c r="EY170" s="229">
        <v>-4.8999999999999998E-3</v>
      </c>
      <c r="EZ170" s="229">
        <v>0.38019999999999998</v>
      </c>
      <c r="FA170" s="227" t="s">
        <v>556</v>
      </c>
      <c r="FB170" s="161">
        <f t="shared" si="4"/>
        <v>0</v>
      </c>
    </row>
    <row r="171" spans="1:158" ht="17.25" thickBot="1" x14ac:dyDescent="0.3">
      <c r="A171" s="226">
        <v>45946</v>
      </c>
      <c r="B171" s="227" t="s">
        <v>206</v>
      </c>
      <c r="C171" s="227" t="s">
        <v>605</v>
      </c>
      <c r="D171" s="228">
        <v>450</v>
      </c>
      <c r="E171" s="231">
        <v>1699.8</v>
      </c>
      <c r="F171" s="231">
        <v>1684</v>
      </c>
      <c r="G171" s="228">
        <v>15.8</v>
      </c>
      <c r="H171" s="229">
        <v>9.4000000000000004E-3</v>
      </c>
      <c r="I171" s="231">
        <v>1696.9</v>
      </c>
      <c r="J171" s="231">
        <v>1676</v>
      </c>
      <c r="K171" s="228">
        <v>20.9</v>
      </c>
      <c r="L171" s="229">
        <v>1.2500000000000001E-2</v>
      </c>
      <c r="M171" s="231">
        <v>1699.8</v>
      </c>
      <c r="N171" s="231">
        <v>1684</v>
      </c>
      <c r="O171" s="228">
        <v>15.8</v>
      </c>
      <c r="P171" s="229">
        <v>9.4000000000000004E-3</v>
      </c>
      <c r="Q171" s="231">
        <v>1707.3</v>
      </c>
      <c r="R171" s="231">
        <v>1692.7</v>
      </c>
      <c r="S171" s="228">
        <v>14.6</v>
      </c>
      <c r="T171" s="229">
        <v>8.6E-3</v>
      </c>
      <c r="U171" s="231">
        <v>1734</v>
      </c>
      <c r="V171" s="231">
        <v>1694.1</v>
      </c>
      <c r="W171" s="228">
        <v>39.9</v>
      </c>
      <c r="X171" s="229">
        <v>2.3599999999999999E-2</v>
      </c>
      <c r="Y171" s="228">
        <v>2.9</v>
      </c>
      <c r="Z171" s="228">
        <v>8</v>
      </c>
      <c r="AA171" s="228">
        <v>-5.0999999999999996</v>
      </c>
      <c r="AB171" s="229">
        <v>1.6999999999999999E-3</v>
      </c>
      <c r="AC171" s="228">
        <v>2.9</v>
      </c>
      <c r="AD171" s="228">
        <v>8</v>
      </c>
      <c r="AE171" s="228">
        <v>-5.0999999999999996</v>
      </c>
      <c r="AF171" s="229">
        <v>1.6999999999999999E-3</v>
      </c>
      <c r="AG171" s="228">
        <v>10.4</v>
      </c>
      <c r="AH171" s="228">
        <v>16.7</v>
      </c>
      <c r="AI171" s="228">
        <v>-6.3</v>
      </c>
      <c r="AJ171" s="229">
        <v>6.1000000000000004E-3</v>
      </c>
      <c r="AK171" s="228">
        <v>37.1</v>
      </c>
      <c r="AL171" s="228">
        <v>18.100000000000001</v>
      </c>
      <c r="AM171" s="228">
        <v>19</v>
      </c>
      <c r="AN171" s="229">
        <v>2.1899999999999999E-2</v>
      </c>
      <c r="AO171" s="231">
        <v>1704.47</v>
      </c>
      <c r="AP171" s="231">
        <v>1713.85</v>
      </c>
      <c r="AQ171" s="228">
        <v>0</v>
      </c>
      <c r="AR171" s="230">
        <v>918450</v>
      </c>
      <c r="AS171" s="230">
        <v>2546100</v>
      </c>
      <c r="AT171" s="230">
        <v>-1627650</v>
      </c>
      <c r="AU171" s="229">
        <v>-0.63929999999999998</v>
      </c>
      <c r="AV171" s="230">
        <v>849150</v>
      </c>
      <c r="AW171" s="230">
        <v>2313000</v>
      </c>
      <c r="AX171" s="230">
        <v>-1463850</v>
      </c>
      <c r="AY171" s="229">
        <v>-0.63290000000000002</v>
      </c>
      <c r="AZ171" s="230">
        <v>63900</v>
      </c>
      <c r="BA171" s="230">
        <v>218250</v>
      </c>
      <c r="BB171" s="230">
        <v>-154350</v>
      </c>
      <c r="BC171" s="229">
        <v>-0.70720000000000005</v>
      </c>
      <c r="BD171" s="230">
        <v>5400</v>
      </c>
      <c r="BE171" s="230">
        <v>14850</v>
      </c>
      <c r="BF171" s="230">
        <v>-9450</v>
      </c>
      <c r="BG171" s="229">
        <v>-0.63639999999999997</v>
      </c>
      <c r="BH171" s="230">
        <v>5033700</v>
      </c>
      <c r="BI171" s="230">
        <v>15151950</v>
      </c>
      <c r="BJ171" s="230">
        <v>-10118250</v>
      </c>
      <c r="BK171" s="229">
        <v>-0.66779999999999995</v>
      </c>
      <c r="BL171" s="230">
        <v>1555200</v>
      </c>
      <c r="BM171" s="230">
        <v>4540050</v>
      </c>
      <c r="BN171" s="230">
        <v>-2984850</v>
      </c>
      <c r="BO171" s="229">
        <v>-0.65739999999999998</v>
      </c>
      <c r="BP171" s="230">
        <v>7507350</v>
      </c>
      <c r="BQ171" s="230">
        <v>22238100</v>
      </c>
      <c r="BR171" s="230">
        <v>-14730750</v>
      </c>
      <c r="BS171" s="229">
        <v>-0.66239999999999999</v>
      </c>
      <c r="BT171" s="230">
        <v>1054248</v>
      </c>
      <c r="BU171" s="230">
        <v>2253150</v>
      </c>
      <c r="BV171" s="230">
        <v>-1198902</v>
      </c>
      <c r="BW171" s="229">
        <v>-0.53210000000000002</v>
      </c>
      <c r="BX171" s="230">
        <v>4661550</v>
      </c>
      <c r="BY171" s="230">
        <v>4571100</v>
      </c>
      <c r="BZ171" s="230">
        <v>90450</v>
      </c>
      <c r="CA171" s="229">
        <v>1.9800000000000002E-2</v>
      </c>
      <c r="CB171" s="230">
        <v>4522500</v>
      </c>
      <c r="CC171" s="230">
        <v>4449600</v>
      </c>
      <c r="CD171" s="230">
        <v>72900</v>
      </c>
      <c r="CE171" s="229">
        <v>1.6400000000000001E-2</v>
      </c>
      <c r="CF171" s="230">
        <v>120150</v>
      </c>
      <c r="CG171" s="230">
        <v>106200</v>
      </c>
      <c r="CH171" s="230">
        <v>13950</v>
      </c>
      <c r="CI171" s="229">
        <v>0.13139999999999999</v>
      </c>
      <c r="CJ171" s="230">
        <v>18900</v>
      </c>
      <c r="CK171" s="230">
        <v>15300</v>
      </c>
      <c r="CL171" s="230">
        <v>3600</v>
      </c>
      <c r="CM171" s="229">
        <v>0.23530000000000001</v>
      </c>
      <c r="CN171" s="230">
        <v>2130750</v>
      </c>
      <c r="CO171" s="230">
        <v>2232450</v>
      </c>
      <c r="CP171" s="230">
        <v>-101700</v>
      </c>
      <c r="CQ171" s="229">
        <v>-4.5600000000000002E-2</v>
      </c>
      <c r="CR171" s="230">
        <v>1611900</v>
      </c>
      <c r="CS171" s="230">
        <v>1564650</v>
      </c>
      <c r="CT171" s="230">
        <v>47250</v>
      </c>
      <c r="CU171" s="229">
        <v>3.0200000000000001E-2</v>
      </c>
      <c r="CV171" s="230">
        <v>8404200</v>
      </c>
      <c r="CW171" s="230">
        <v>8368200</v>
      </c>
      <c r="CX171" s="230">
        <v>36000</v>
      </c>
      <c r="CY171" s="229">
        <v>4.3E-3</v>
      </c>
      <c r="CZ171" s="228">
        <v>29.56</v>
      </c>
      <c r="DA171" s="228">
        <v>32.4</v>
      </c>
      <c r="DB171" s="228">
        <v>-2.84</v>
      </c>
      <c r="DC171" s="228">
        <v>-2.84</v>
      </c>
      <c r="DD171" s="228">
        <v>47.46</v>
      </c>
      <c r="DE171" s="228">
        <v>47.56</v>
      </c>
      <c r="DF171" s="228">
        <v>-17.899999999999999</v>
      </c>
      <c r="DG171" s="228">
        <v>-0.1</v>
      </c>
      <c r="DH171" s="228">
        <v>29.43</v>
      </c>
      <c r="DI171" s="228">
        <v>32.44</v>
      </c>
      <c r="DJ171" s="228">
        <v>-3.01</v>
      </c>
      <c r="DK171" s="228">
        <v>-3.01</v>
      </c>
      <c r="DL171" s="228">
        <v>29.96</v>
      </c>
      <c r="DM171" s="228">
        <v>32.26</v>
      </c>
      <c r="DN171" s="228">
        <v>-2.2999999999999998</v>
      </c>
      <c r="DO171" s="228">
        <v>-2.2999999999999998</v>
      </c>
      <c r="DP171" s="228">
        <v>0.76</v>
      </c>
      <c r="DQ171" s="228">
        <v>0.7</v>
      </c>
      <c r="DR171" s="228">
        <v>0.06</v>
      </c>
      <c r="DS171" s="229">
        <v>8.5699999999999998E-2</v>
      </c>
      <c r="DT171" s="231">
        <v>1700</v>
      </c>
      <c r="DU171" s="231">
        <v>1600</v>
      </c>
      <c r="DV171" s="228">
        <v>0.31</v>
      </c>
      <c r="DW171" s="228">
        <v>0.3</v>
      </c>
      <c r="DX171" s="228">
        <v>0.01</v>
      </c>
      <c r="DY171" s="229">
        <v>3.3300000000000003E-2</v>
      </c>
      <c r="DZ171" s="229">
        <v>2.98E-2</v>
      </c>
      <c r="EA171" s="230">
        <v>121500</v>
      </c>
      <c r="EB171" s="229">
        <v>4.4000000000000003E-3</v>
      </c>
      <c r="EC171" s="229">
        <v>2.98E-2</v>
      </c>
      <c r="ED171" s="228">
        <v>9.3800000000000008</v>
      </c>
      <c r="EE171" s="229">
        <v>5.4999999999999997E-3</v>
      </c>
      <c r="EF171" s="230">
        <v>511486</v>
      </c>
      <c r="EG171" s="230">
        <v>869362</v>
      </c>
      <c r="EH171" s="229">
        <v>-0.41170000000000001</v>
      </c>
      <c r="EI171" s="229">
        <v>0.48520000000000002</v>
      </c>
      <c r="EJ171" s="231">
        <v>88323.02</v>
      </c>
      <c r="EK171" s="231">
        <v>25812.05</v>
      </c>
      <c r="EL171" s="231">
        <v>15661.47</v>
      </c>
      <c r="EM171" s="231">
        <v>4040</v>
      </c>
      <c r="EN171" s="231">
        <v>129796.54</v>
      </c>
      <c r="EO171" s="231">
        <v>381094.54</v>
      </c>
      <c r="EP171" s="231">
        <v>-251298</v>
      </c>
      <c r="EQ171" s="229">
        <v>-0.65939999999999999</v>
      </c>
      <c r="ER171" s="231">
        <v>36509</v>
      </c>
      <c r="ES171" s="231">
        <v>25345</v>
      </c>
      <c r="ET171" s="231">
        <v>79253</v>
      </c>
      <c r="EU171" s="231">
        <v>25234534</v>
      </c>
      <c r="EV171" s="231">
        <v>141106</v>
      </c>
      <c r="EW171" s="231">
        <v>139599</v>
      </c>
      <c r="EX171" s="231">
        <v>1507</v>
      </c>
      <c r="EY171" s="229">
        <v>1.0800000000000001E-2</v>
      </c>
      <c r="EZ171" s="229">
        <v>0.33300000000000002</v>
      </c>
      <c r="FA171" s="227" t="s">
        <v>555</v>
      </c>
      <c r="FB171" s="161">
        <f t="shared" si="4"/>
        <v>0</v>
      </c>
    </row>
    <row r="172" spans="1:158" ht="17.25" thickBot="1" x14ac:dyDescent="0.3">
      <c r="A172" s="226">
        <v>45946</v>
      </c>
      <c r="B172" s="227" t="s">
        <v>172</v>
      </c>
      <c r="C172" s="227" t="s">
        <v>279</v>
      </c>
      <c r="D172" s="228">
        <v>3175</v>
      </c>
      <c r="E172" s="228">
        <v>307.89999999999998</v>
      </c>
      <c r="F172" s="228">
        <v>300.85000000000002</v>
      </c>
      <c r="G172" s="228">
        <v>7.05</v>
      </c>
      <c r="H172" s="229">
        <v>2.3400000000000001E-2</v>
      </c>
      <c r="I172" s="228">
        <v>306.75</v>
      </c>
      <c r="J172" s="228">
        <v>299.55</v>
      </c>
      <c r="K172" s="228">
        <v>7.2</v>
      </c>
      <c r="L172" s="229">
        <v>2.4E-2</v>
      </c>
      <c r="M172" s="228">
        <v>307.89999999999998</v>
      </c>
      <c r="N172" s="228">
        <v>300.85000000000002</v>
      </c>
      <c r="O172" s="228">
        <v>7.05</v>
      </c>
      <c r="P172" s="229">
        <v>2.3400000000000001E-2</v>
      </c>
      <c r="Q172" s="228">
        <v>309.7</v>
      </c>
      <c r="R172" s="228">
        <v>301.75</v>
      </c>
      <c r="S172" s="228">
        <v>7.95</v>
      </c>
      <c r="T172" s="229">
        <v>2.63E-2</v>
      </c>
      <c r="U172" s="228">
        <v>311.8</v>
      </c>
      <c r="V172" s="228">
        <v>303</v>
      </c>
      <c r="W172" s="228">
        <v>8.8000000000000007</v>
      </c>
      <c r="X172" s="229">
        <v>2.9000000000000001E-2</v>
      </c>
      <c r="Y172" s="228">
        <v>1.1499999999999999</v>
      </c>
      <c r="Z172" s="228">
        <v>1.3</v>
      </c>
      <c r="AA172" s="228">
        <v>-0.15</v>
      </c>
      <c r="AB172" s="229">
        <v>3.7000000000000002E-3</v>
      </c>
      <c r="AC172" s="228">
        <v>1.1499999999999999</v>
      </c>
      <c r="AD172" s="228">
        <v>1.3</v>
      </c>
      <c r="AE172" s="228">
        <v>-0.15</v>
      </c>
      <c r="AF172" s="229">
        <v>3.7000000000000002E-3</v>
      </c>
      <c r="AG172" s="228">
        <v>2.95</v>
      </c>
      <c r="AH172" s="228">
        <v>2.2000000000000002</v>
      </c>
      <c r="AI172" s="228">
        <v>0.75</v>
      </c>
      <c r="AJ172" s="229">
        <v>9.5999999999999992E-3</v>
      </c>
      <c r="AK172" s="228">
        <v>5.05</v>
      </c>
      <c r="AL172" s="228">
        <v>3.45</v>
      </c>
      <c r="AM172" s="228">
        <v>1.6</v>
      </c>
      <c r="AN172" s="229">
        <v>1.6500000000000001E-2</v>
      </c>
      <c r="AO172" s="228">
        <v>302.64999999999998</v>
      </c>
      <c r="AP172" s="228">
        <v>304.14</v>
      </c>
      <c r="AQ172" s="228">
        <v>0</v>
      </c>
      <c r="AR172" s="230">
        <v>73085325</v>
      </c>
      <c r="AS172" s="230">
        <v>3863975</v>
      </c>
      <c r="AT172" s="230">
        <v>69221350</v>
      </c>
      <c r="AU172" s="229">
        <v>17.9145</v>
      </c>
      <c r="AV172" s="230">
        <v>45288200</v>
      </c>
      <c r="AW172" s="230">
        <v>3781425</v>
      </c>
      <c r="AX172" s="230">
        <v>41506775</v>
      </c>
      <c r="AY172" s="229">
        <v>10.9765</v>
      </c>
      <c r="AZ172" s="230">
        <v>27625675</v>
      </c>
      <c r="BA172" s="230">
        <v>79375</v>
      </c>
      <c r="BB172" s="230">
        <v>27546300</v>
      </c>
      <c r="BC172" s="229">
        <v>347.04</v>
      </c>
      <c r="BD172" s="230">
        <v>171450</v>
      </c>
      <c r="BE172" s="230">
        <v>3175</v>
      </c>
      <c r="BF172" s="230">
        <v>168275</v>
      </c>
      <c r="BG172" s="229">
        <v>53</v>
      </c>
      <c r="BH172" s="230">
        <v>50136425</v>
      </c>
      <c r="BI172" s="230">
        <v>1219200</v>
      </c>
      <c r="BJ172" s="230">
        <v>48917225</v>
      </c>
      <c r="BK172" s="229">
        <v>40.122399999999999</v>
      </c>
      <c r="BL172" s="230">
        <v>27228800</v>
      </c>
      <c r="BM172" s="230">
        <v>962025</v>
      </c>
      <c r="BN172" s="230">
        <v>26266775</v>
      </c>
      <c r="BO172" s="229">
        <v>27.303599999999999</v>
      </c>
      <c r="BP172" s="230">
        <v>150450550</v>
      </c>
      <c r="BQ172" s="230">
        <v>6045200</v>
      </c>
      <c r="BR172" s="230">
        <v>144405350</v>
      </c>
      <c r="BS172" s="229">
        <v>23.887599999999999</v>
      </c>
      <c r="BT172" s="230">
        <v>34100299</v>
      </c>
      <c r="BU172" s="230">
        <v>27973665</v>
      </c>
      <c r="BV172" s="230">
        <v>6126634</v>
      </c>
      <c r="BW172" s="229">
        <v>0.219</v>
      </c>
      <c r="BX172" s="230">
        <v>82242025</v>
      </c>
      <c r="BY172" s="230">
        <v>70307200</v>
      </c>
      <c r="BZ172" s="230">
        <v>11934825</v>
      </c>
      <c r="CA172" s="229">
        <v>0.16980000000000001</v>
      </c>
      <c r="CB172" s="230">
        <v>59616975</v>
      </c>
      <c r="CC172" s="230">
        <v>67030600</v>
      </c>
      <c r="CD172" s="230">
        <v>-7413625</v>
      </c>
      <c r="CE172" s="229">
        <v>-0.1106</v>
      </c>
      <c r="CF172" s="230">
        <v>22386925</v>
      </c>
      <c r="CG172" s="230">
        <v>3143250</v>
      </c>
      <c r="CH172" s="230">
        <v>19243675</v>
      </c>
      <c r="CI172" s="229">
        <v>6.1222000000000003</v>
      </c>
      <c r="CJ172" s="230">
        <v>238125</v>
      </c>
      <c r="CK172" s="230">
        <v>133350</v>
      </c>
      <c r="CL172" s="230">
        <v>104775</v>
      </c>
      <c r="CM172" s="229">
        <v>0.78569999999999995</v>
      </c>
      <c r="CN172" s="230">
        <v>23571200</v>
      </c>
      <c r="CO172" s="230">
        <v>19967575</v>
      </c>
      <c r="CP172" s="230">
        <v>3603625</v>
      </c>
      <c r="CQ172" s="229">
        <v>0.18049999999999999</v>
      </c>
      <c r="CR172" s="230">
        <v>12407900</v>
      </c>
      <c r="CS172" s="230">
        <v>8851900</v>
      </c>
      <c r="CT172" s="230">
        <v>3556000</v>
      </c>
      <c r="CU172" s="229">
        <v>0.4017</v>
      </c>
      <c r="CV172" s="230">
        <v>118221125</v>
      </c>
      <c r="CW172" s="230">
        <v>99126675</v>
      </c>
      <c r="CX172" s="230">
        <v>19094450</v>
      </c>
      <c r="CY172" s="229">
        <v>0.19259999999999999</v>
      </c>
      <c r="CZ172" s="228">
        <v>49.08</v>
      </c>
      <c r="DA172" s="228">
        <v>52.2</v>
      </c>
      <c r="DB172" s="228">
        <v>-3.12</v>
      </c>
      <c r="DC172" s="228">
        <v>-3.12</v>
      </c>
      <c r="DD172" s="228">
        <v>46.54</v>
      </c>
      <c r="DE172" s="228">
        <v>46.54</v>
      </c>
      <c r="DF172" s="228">
        <v>2.54</v>
      </c>
      <c r="DG172" s="228">
        <v>0</v>
      </c>
      <c r="DH172" s="228">
        <v>48.64</v>
      </c>
      <c r="DI172" s="228">
        <v>49.5</v>
      </c>
      <c r="DJ172" s="228">
        <v>-0.86</v>
      </c>
      <c r="DK172" s="228">
        <v>-0.86</v>
      </c>
      <c r="DL172" s="228">
        <v>49.88</v>
      </c>
      <c r="DM172" s="228">
        <v>55.61</v>
      </c>
      <c r="DN172" s="228">
        <v>-5.73</v>
      </c>
      <c r="DO172" s="228">
        <v>-5.73</v>
      </c>
      <c r="DP172" s="228">
        <v>0.53</v>
      </c>
      <c r="DQ172" s="228">
        <v>0.44</v>
      </c>
      <c r="DR172" s="228">
        <v>0.09</v>
      </c>
      <c r="DS172" s="229">
        <v>0.20449999999999999</v>
      </c>
      <c r="DT172" s="228">
        <v>300</v>
      </c>
      <c r="DU172" s="228">
        <v>250</v>
      </c>
      <c r="DV172" s="228">
        <v>0.54</v>
      </c>
      <c r="DW172" s="228">
        <v>0.79</v>
      </c>
      <c r="DX172" s="228">
        <v>-0.25</v>
      </c>
      <c r="DY172" s="229">
        <v>-0.3165</v>
      </c>
      <c r="DZ172" s="229">
        <v>0.27510000000000001</v>
      </c>
      <c r="EA172" s="230">
        <v>3276600</v>
      </c>
      <c r="EB172" s="229">
        <v>5.7999999999999996E-3</v>
      </c>
      <c r="EC172" s="229">
        <v>0.27510000000000001</v>
      </c>
      <c r="ED172" s="228">
        <v>1.49</v>
      </c>
      <c r="EE172" s="229">
        <v>4.8999999999999998E-3</v>
      </c>
      <c r="EF172" s="230">
        <v>13754363</v>
      </c>
      <c r="EG172" s="230">
        <v>11740350</v>
      </c>
      <c r="EH172" s="229">
        <v>0.17150000000000001</v>
      </c>
      <c r="EI172" s="229">
        <v>0.40339999999999998</v>
      </c>
      <c r="EJ172" s="231">
        <v>158737.94</v>
      </c>
      <c r="EK172" s="231">
        <v>79023.960000000006</v>
      </c>
      <c r="EL172" s="231">
        <v>221612.86</v>
      </c>
      <c r="EM172" s="228">
        <v>913</v>
      </c>
      <c r="EN172" s="231">
        <v>459374.76</v>
      </c>
      <c r="EO172" s="231">
        <v>17936.900000000001</v>
      </c>
      <c r="EP172" s="231">
        <v>441437.86</v>
      </c>
      <c r="EQ172" s="229">
        <v>24.610600000000002</v>
      </c>
      <c r="ER172" s="231">
        <v>69877</v>
      </c>
      <c r="ES172" s="231">
        <v>33968</v>
      </c>
      <c r="ET172" s="231">
        <v>253635</v>
      </c>
      <c r="EU172" s="231">
        <v>91351468</v>
      </c>
      <c r="EV172" s="231">
        <v>357481</v>
      </c>
      <c r="EW172" s="231">
        <v>292208</v>
      </c>
      <c r="EX172" s="231">
        <v>65273</v>
      </c>
      <c r="EY172" s="229">
        <v>0.22339999999999999</v>
      </c>
      <c r="EZ172" s="229">
        <v>1.2941</v>
      </c>
      <c r="FA172" s="227" t="s">
        <v>555</v>
      </c>
      <c r="FB172" s="161">
        <f t="shared" si="4"/>
        <v>0</v>
      </c>
    </row>
    <row r="173" spans="1:158" ht="17.25" thickBot="1" x14ac:dyDescent="0.3">
      <c r="A173" s="226">
        <v>45946</v>
      </c>
      <c r="B173" s="227" t="s">
        <v>175</v>
      </c>
      <c r="C173" s="227" t="s">
        <v>280</v>
      </c>
      <c r="D173" s="228">
        <v>1275</v>
      </c>
      <c r="E173" s="228">
        <v>375.45</v>
      </c>
      <c r="F173" s="228">
        <v>374.8</v>
      </c>
      <c r="G173" s="228">
        <v>0.65</v>
      </c>
      <c r="H173" s="229">
        <v>1.6999999999999999E-3</v>
      </c>
      <c r="I173" s="228">
        <v>377.5</v>
      </c>
      <c r="J173" s="228">
        <v>375.8</v>
      </c>
      <c r="K173" s="228">
        <v>1.7</v>
      </c>
      <c r="L173" s="229">
        <v>4.4999999999999997E-3</v>
      </c>
      <c r="M173" s="228">
        <v>375.45</v>
      </c>
      <c r="N173" s="228">
        <v>374.8</v>
      </c>
      <c r="O173" s="228">
        <v>0.65</v>
      </c>
      <c r="P173" s="229">
        <v>1.6999999999999999E-3</v>
      </c>
      <c r="Q173" s="228">
        <v>376.55</v>
      </c>
      <c r="R173" s="228">
        <v>375.15</v>
      </c>
      <c r="S173" s="228">
        <v>1.4</v>
      </c>
      <c r="T173" s="229">
        <v>3.7000000000000002E-3</v>
      </c>
      <c r="U173" s="228">
        <v>378.1</v>
      </c>
      <c r="V173" s="228">
        <v>377.05</v>
      </c>
      <c r="W173" s="228">
        <v>1.05</v>
      </c>
      <c r="X173" s="229">
        <v>2.8E-3</v>
      </c>
      <c r="Y173" s="228">
        <v>-2.0499999999999998</v>
      </c>
      <c r="Z173" s="228">
        <v>-1</v>
      </c>
      <c r="AA173" s="228">
        <v>-1.05</v>
      </c>
      <c r="AB173" s="229">
        <v>-5.4000000000000003E-3</v>
      </c>
      <c r="AC173" s="228">
        <v>-2.0499999999999998</v>
      </c>
      <c r="AD173" s="228">
        <v>-1</v>
      </c>
      <c r="AE173" s="228">
        <v>-1.05</v>
      </c>
      <c r="AF173" s="229">
        <v>-5.4000000000000003E-3</v>
      </c>
      <c r="AG173" s="228">
        <v>-0.95</v>
      </c>
      <c r="AH173" s="228">
        <v>-0.65</v>
      </c>
      <c r="AI173" s="228">
        <v>-0.3</v>
      </c>
      <c r="AJ173" s="229">
        <v>-2.5000000000000001E-3</v>
      </c>
      <c r="AK173" s="228">
        <v>0.6</v>
      </c>
      <c r="AL173" s="228">
        <v>1.25</v>
      </c>
      <c r="AM173" s="228">
        <v>-0.65</v>
      </c>
      <c r="AN173" s="229">
        <v>1.6000000000000001E-3</v>
      </c>
      <c r="AO173" s="228">
        <v>376.3</v>
      </c>
      <c r="AP173" s="228">
        <v>377.31</v>
      </c>
      <c r="AQ173" s="228">
        <v>0</v>
      </c>
      <c r="AR173" s="230">
        <v>8281125</v>
      </c>
      <c r="AS173" s="230">
        <v>11840925</v>
      </c>
      <c r="AT173" s="230">
        <v>-3559800</v>
      </c>
      <c r="AU173" s="229">
        <v>-0.30059999999999998</v>
      </c>
      <c r="AV173" s="230">
        <v>5956800</v>
      </c>
      <c r="AW173" s="230">
        <v>9047400</v>
      </c>
      <c r="AX173" s="230">
        <v>-3090600</v>
      </c>
      <c r="AY173" s="229">
        <v>-0.34160000000000001</v>
      </c>
      <c r="AZ173" s="230">
        <v>2116500</v>
      </c>
      <c r="BA173" s="230">
        <v>2621400</v>
      </c>
      <c r="BB173" s="230">
        <v>-504900</v>
      </c>
      <c r="BC173" s="229">
        <v>-0.19259999999999999</v>
      </c>
      <c r="BD173" s="230">
        <v>207825</v>
      </c>
      <c r="BE173" s="230">
        <v>172125</v>
      </c>
      <c r="BF173" s="230">
        <v>35700</v>
      </c>
      <c r="BG173" s="229">
        <v>0.2074</v>
      </c>
      <c r="BH173" s="230">
        <v>15557550</v>
      </c>
      <c r="BI173" s="230">
        <v>25501275</v>
      </c>
      <c r="BJ173" s="230">
        <v>-9943725</v>
      </c>
      <c r="BK173" s="229">
        <v>-0.38990000000000002</v>
      </c>
      <c r="BL173" s="230">
        <v>10002375</v>
      </c>
      <c r="BM173" s="230">
        <v>14473800</v>
      </c>
      <c r="BN173" s="230">
        <v>-4471425</v>
      </c>
      <c r="BO173" s="229">
        <v>-0.30890000000000001</v>
      </c>
      <c r="BP173" s="230">
        <v>33841050</v>
      </c>
      <c r="BQ173" s="230">
        <v>51816000</v>
      </c>
      <c r="BR173" s="230">
        <v>-17974950</v>
      </c>
      <c r="BS173" s="229">
        <v>-0.34689999999999999</v>
      </c>
      <c r="BT173" s="230">
        <v>2608640</v>
      </c>
      <c r="BU173" s="230">
        <v>4431144</v>
      </c>
      <c r="BV173" s="230">
        <v>-1822504</v>
      </c>
      <c r="BW173" s="229">
        <v>-0.4113</v>
      </c>
      <c r="BX173" s="230">
        <v>93639825</v>
      </c>
      <c r="BY173" s="230">
        <v>92761350</v>
      </c>
      <c r="BZ173" s="230">
        <v>878475</v>
      </c>
      <c r="CA173" s="229">
        <v>9.4999999999999998E-3</v>
      </c>
      <c r="CB173" s="230">
        <v>71067225</v>
      </c>
      <c r="CC173" s="230">
        <v>70960125</v>
      </c>
      <c r="CD173" s="230">
        <v>107100</v>
      </c>
      <c r="CE173" s="229">
        <v>1.5E-3</v>
      </c>
      <c r="CF173" s="230">
        <v>21774450</v>
      </c>
      <c r="CG173" s="230">
        <v>21054075</v>
      </c>
      <c r="CH173" s="230">
        <v>720375</v>
      </c>
      <c r="CI173" s="229">
        <v>3.4200000000000001E-2</v>
      </c>
      <c r="CJ173" s="230">
        <v>798150</v>
      </c>
      <c r="CK173" s="230">
        <v>747150</v>
      </c>
      <c r="CL173" s="230">
        <v>51000</v>
      </c>
      <c r="CM173" s="229">
        <v>6.83E-2</v>
      </c>
      <c r="CN173" s="230">
        <v>27494100</v>
      </c>
      <c r="CO173" s="230">
        <v>27707025</v>
      </c>
      <c r="CP173" s="230">
        <v>-212925</v>
      </c>
      <c r="CQ173" s="229">
        <v>-7.7000000000000002E-3</v>
      </c>
      <c r="CR173" s="230">
        <v>24575625</v>
      </c>
      <c r="CS173" s="230">
        <v>24531000</v>
      </c>
      <c r="CT173" s="230">
        <v>44625</v>
      </c>
      <c r="CU173" s="229">
        <v>1.8E-3</v>
      </c>
      <c r="CV173" s="230">
        <v>145709550</v>
      </c>
      <c r="CW173" s="230">
        <v>144999375</v>
      </c>
      <c r="CX173" s="230">
        <v>710175</v>
      </c>
      <c r="CY173" s="229">
        <v>4.8999999999999998E-3</v>
      </c>
      <c r="CZ173" s="228">
        <v>30.69</v>
      </c>
      <c r="DA173" s="228">
        <v>30.68</v>
      </c>
      <c r="DB173" s="228">
        <v>0.01</v>
      </c>
      <c r="DC173" s="228">
        <v>0.01</v>
      </c>
      <c r="DD173" s="228">
        <v>45.01</v>
      </c>
      <c r="DE173" s="228">
        <v>45.12</v>
      </c>
      <c r="DF173" s="228">
        <v>-14.32</v>
      </c>
      <c r="DG173" s="228">
        <v>-0.11</v>
      </c>
      <c r="DH173" s="228">
        <v>30.47</v>
      </c>
      <c r="DI173" s="228">
        <v>30.56</v>
      </c>
      <c r="DJ173" s="228">
        <v>-0.09</v>
      </c>
      <c r="DK173" s="228">
        <v>-0.09</v>
      </c>
      <c r="DL173" s="228">
        <v>31.02</v>
      </c>
      <c r="DM173" s="228">
        <v>30.88</v>
      </c>
      <c r="DN173" s="228">
        <v>0.14000000000000001</v>
      </c>
      <c r="DO173" s="228">
        <v>0.14000000000000001</v>
      </c>
      <c r="DP173" s="228">
        <v>0.89</v>
      </c>
      <c r="DQ173" s="228">
        <v>0.89</v>
      </c>
      <c r="DR173" s="228">
        <v>0</v>
      </c>
      <c r="DS173" s="229">
        <v>0</v>
      </c>
      <c r="DT173" s="228">
        <v>380</v>
      </c>
      <c r="DU173" s="228">
        <v>370</v>
      </c>
      <c r="DV173" s="228">
        <v>0.64</v>
      </c>
      <c r="DW173" s="228">
        <v>0.56999999999999995</v>
      </c>
      <c r="DX173" s="228">
        <v>7.0000000000000007E-2</v>
      </c>
      <c r="DY173" s="229">
        <v>0.12280000000000001</v>
      </c>
      <c r="DZ173" s="229">
        <v>0.24110000000000001</v>
      </c>
      <c r="EA173" s="230">
        <v>21801225</v>
      </c>
      <c r="EB173" s="229">
        <v>2.8999999999999998E-3</v>
      </c>
      <c r="EC173" s="229">
        <v>0.24110000000000001</v>
      </c>
      <c r="ED173" s="228">
        <v>1.01</v>
      </c>
      <c r="EE173" s="229">
        <v>2.7000000000000001E-3</v>
      </c>
      <c r="EF173" s="230">
        <v>1349018</v>
      </c>
      <c r="EG173" s="230">
        <v>2436521</v>
      </c>
      <c r="EH173" s="229">
        <v>-0.44629999999999997</v>
      </c>
      <c r="EI173" s="229">
        <v>0.5171</v>
      </c>
      <c r="EJ173" s="231">
        <v>61088.98</v>
      </c>
      <c r="EK173" s="231">
        <v>36957.519999999997</v>
      </c>
      <c r="EL173" s="231">
        <v>31188.09</v>
      </c>
      <c r="EM173" s="231">
        <v>9035</v>
      </c>
      <c r="EN173" s="231">
        <v>129234.59</v>
      </c>
      <c r="EO173" s="231">
        <v>198051.95</v>
      </c>
      <c r="EP173" s="231">
        <v>-68817.36</v>
      </c>
      <c r="EQ173" s="229">
        <v>-0.34749999999999998</v>
      </c>
      <c r="ER173" s="231">
        <v>108186</v>
      </c>
      <c r="ES173" s="231">
        <v>89756</v>
      </c>
      <c r="ET173" s="231">
        <v>351831</v>
      </c>
      <c r="EU173" s="231">
        <v>187084550</v>
      </c>
      <c r="EV173" s="231">
        <v>549774</v>
      </c>
      <c r="EW173" s="231">
        <v>546699</v>
      </c>
      <c r="EX173" s="231">
        <v>3075</v>
      </c>
      <c r="EY173" s="229">
        <v>5.5999999999999999E-3</v>
      </c>
      <c r="EZ173" s="229">
        <v>0.77880000000000005</v>
      </c>
      <c r="FA173" s="227" t="s">
        <v>555</v>
      </c>
      <c r="FB173" s="161">
        <f t="shared" si="4"/>
        <v>0</v>
      </c>
    </row>
    <row r="174" spans="1:158" ht="17.25" thickBot="1" x14ac:dyDescent="0.3">
      <c r="A174" s="226">
        <v>45946</v>
      </c>
      <c r="B174" s="227" t="s">
        <v>193</v>
      </c>
      <c r="C174" s="227" t="s">
        <v>281</v>
      </c>
      <c r="D174" s="228">
        <v>500</v>
      </c>
      <c r="E174" s="231">
        <v>1399.8</v>
      </c>
      <c r="F174" s="231">
        <v>1379.5</v>
      </c>
      <c r="G174" s="228">
        <v>20.3</v>
      </c>
      <c r="H174" s="229">
        <v>1.47E-2</v>
      </c>
      <c r="I174" s="231">
        <v>1398.3</v>
      </c>
      <c r="J174" s="231">
        <v>1374.3</v>
      </c>
      <c r="K174" s="228">
        <v>24</v>
      </c>
      <c r="L174" s="229">
        <v>1.7500000000000002E-2</v>
      </c>
      <c r="M174" s="231">
        <v>1399.8</v>
      </c>
      <c r="N174" s="231">
        <v>1379.5</v>
      </c>
      <c r="O174" s="228">
        <v>20.3</v>
      </c>
      <c r="P174" s="229">
        <v>1.47E-2</v>
      </c>
      <c r="Q174" s="231">
        <v>1407.6</v>
      </c>
      <c r="R174" s="231">
        <v>1387.1</v>
      </c>
      <c r="S174" s="228">
        <v>20.5</v>
      </c>
      <c r="T174" s="229">
        <v>1.4800000000000001E-2</v>
      </c>
      <c r="U174" s="231">
        <v>1415.7</v>
      </c>
      <c r="V174" s="231">
        <v>1396</v>
      </c>
      <c r="W174" s="228">
        <v>19.7</v>
      </c>
      <c r="X174" s="229">
        <v>1.41E-2</v>
      </c>
      <c r="Y174" s="228">
        <v>1.5</v>
      </c>
      <c r="Z174" s="228">
        <v>5.2</v>
      </c>
      <c r="AA174" s="228">
        <v>-3.7</v>
      </c>
      <c r="AB174" s="229">
        <v>1.1000000000000001E-3</v>
      </c>
      <c r="AC174" s="228">
        <v>1.5</v>
      </c>
      <c r="AD174" s="228">
        <v>5.2</v>
      </c>
      <c r="AE174" s="228">
        <v>-3.7</v>
      </c>
      <c r="AF174" s="229">
        <v>1.1000000000000001E-3</v>
      </c>
      <c r="AG174" s="228">
        <v>9.3000000000000007</v>
      </c>
      <c r="AH174" s="228">
        <v>12.8</v>
      </c>
      <c r="AI174" s="228">
        <v>-3.5</v>
      </c>
      <c r="AJ174" s="229">
        <v>6.7000000000000002E-3</v>
      </c>
      <c r="AK174" s="228">
        <v>17.399999999999999</v>
      </c>
      <c r="AL174" s="228">
        <v>21.7</v>
      </c>
      <c r="AM174" s="228">
        <v>-4.3</v>
      </c>
      <c r="AN174" s="229">
        <v>1.24E-2</v>
      </c>
      <c r="AO174" s="231">
        <v>1392.21</v>
      </c>
      <c r="AP174" s="231">
        <v>1398.8</v>
      </c>
      <c r="AQ174" s="228">
        <v>0</v>
      </c>
      <c r="AR174" s="230">
        <v>18551000</v>
      </c>
      <c r="AS174" s="230">
        <v>13009500</v>
      </c>
      <c r="AT174" s="230">
        <v>5541500</v>
      </c>
      <c r="AU174" s="229">
        <v>0.42599999999999999</v>
      </c>
      <c r="AV174" s="230">
        <v>14780000</v>
      </c>
      <c r="AW174" s="230">
        <v>10297500</v>
      </c>
      <c r="AX174" s="230">
        <v>4482500</v>
      </c>
      <c r="AY174" s="229">
        <v>0.43530000000000002</v>
      </c>
      <c r="AZ174" s="230">
        <v>3460500</v>
      </c>
      <c r="BA174" s="230">
        <v>2586500</v>
      </c>
      <c r="BB174" s="230">
        <v>874000</v>
      </c>
      <c r="BC174" s="229">
        <v>0.33789999999999998</v>
      </c>
      <c r="BD174" s="230">
        <v>310500</v>
      </c>
      <c r="BE174" s="230">
        <v>125500</v>
      </c>
      <c r="BF174" s="230">
        <v>185000</v>
      </c>
      <c r="BG174" s="229">
        <v>1.4741</v>
      </c>
      <c r="BH174" s="230">
        <v>70512500</v>
      </c>
      <c r="BI174" s="230">
        <v>41570000</v>
      </c>
      <c r="BJ174" s="230">
        <v>28942500</v>
      </c>
      <c r="BK174" s="229">
        <v>0.69620000000000004</v>
      </c>
      <c r="BL174" s="230">
        <v>30264500</v>
      </c>
      <c r="BM174" s="230">
        <v>22418500</v>
      </c>
      <c r="BN174" s="230">
        <v>7846000</v>
      </c>
      <c r="BO174" s="229">
        <v>0.35</v>
      </c>
      <c r="BP174" s="230">
        <v>119328000</v>
      </c>
      <c r="BQ174" s="230">
        <v>76998000</v>
      </c>
      <c r="BR174" s="230">
        <v>42330000</v>
      </c>
      <c r="BS174" s="229">
        <v>0.54979999999999996</v>
      </c>
      <c r="BT174" s="230">
        <v>13479169</v>
      </c>
      <c r="BU174" s="230">
        <v>11514200</v>
      </c>
      <c r="BV174" s="230">
        <v>1964969</v>
      </c>
      <c r="BW174" s="229">
        <v>0.17069999999999999</v>
      </c>
      <c r="BX174" s="230">
        <v>138130500</v>
      </c>
      <c r="BY174" s="230">
        <v>137906000</v>
      </c>
      <c r="BZ174" s="230">
        <v>224500</v>
      </c>
      <c r="CA174" s="229">
        <v>1.6000000000000001E-3</v>
      </c>
      <c r="CB174" s="230">
        <v>121906000</v>
      </c>
      <c r="CC174" s="230">
        <v>123397500</v>
      </c>
      <c r="CD174" s="230">
        <v>-1491500</v>
      </c>
      <c r="CE174" s="229">
        <v>-1.21E-2</v>
      </c>
      <c r="CF174" s="230">
        <v>14327500</v>
      </c>
      <c r="CG174" s="230">
        <v>12616000</v>
      </c>
      <c r="CH174" s="230">
        <v>1711500</v>
      </c>
      <c r="CI174" s="229">
        <v>0.13569999999999999</v>
      </c>
      <c r="CJ174" s="230">
        <v>1897000</v>
      </c>
      <c r="CK174" s="230">
        <v>1892500</v>
      </c>
      <c r="CL174" s="230">
        <v>4500</v>
      </c>
      <c r="CM174" s="229">
        <v>2.3999999999999998E-3</v>
      </c>
      <c r="CN174" s="230">
        <v>55567000</v>
      </c>
      <c r="CO174" s="230">
        <v>58054000</v>
      </c>
      <c r="CP174" s="230">
        <v>-2487000</v>
      </c>
      <c r="CQ174" s="229">
        <v>-4.2799999999999998E-2</v>
      </c>
      <c r="CR174" s="230">
        <v>38274500</v>
      </c>
      <c r="CS174" s="230">
        <v>38502500</v>
      </c>
      <c r="CT174" s="230">
        <v>-228000</v>
      </c>
      <c r="CU174" s="229">
        <v>-5.8999999999999999E-3</v>
      </c>
      <c r="CV174" s="230">
        <v>231972000</v>
      </c>
      <c r="CW174" s="230">
        <v>234462500</v>
      </c>
      <c r="CX174" s="230">
        <v>-2490500</v>
      </c>
      <c r="CY174" s="229">
        <v>-1.06E-2</v>
      </c>
      <c r="CZ174" s="228">
        <v>21.42</v>
      </c>
      <c r="DA174" s="228">
        <v>22.09</v>
      </c>
      <c r="DB174" s="228">
        <v>-0.67</v>
      </c>
      <c r="DC174" s="228">
        <v>-0.67</v>
      </c>
      <c r="DD174" s="228">
        <v>24.27</v>
      </c>
      <c r="DE174" s="228">
        <v>24.22</v>
      </c>
      <c r="DF174" s="228">
        <v>-2.85</v>
      </c>
      <c r="DG174" s="228">
        <v>0.05</v>
      </c>
      <c r="DH174" s="228">
        <v>21.3</v>
      </c>
      <c r="DI174" s="228">
        <v>22.23</v>
      </c>
      <c r="DJ174" s="228">
        <v>-0.93</v>
      </c>
      <c r="DK174" s="228">
        <v>-0.93</v>
      </c>
      <c r="DL174" s="228">
        <v>21.7</v>
      </c>
      <c r="DM174" s="228">
        <v>21.82</v>
      </c>
      <c r="DN174" s="228">
        <v>-0.12</v>
      </c>
      <c r="DO174" s="228">
        <v>-0.12</v>
      </c>
      <c r="DP174" s="228">
        <v>0.69</v>
      </c>
      <c r="DQ174" s="228">
        <v>0.66</v>
      </c>
      <c r="DR174" s="228">
        <v>0.03</v>
      </c>
      <c r="DS174" s="229">
        <v>4.5499999999999999E-2</v>
      </c>
      <c r="DT174" s="231">
        <v>1400</v>
      </c>
      <c r="DU174" s="231">
        <v>1400</v>
      </c>
      <c r="DV174" s="228">
        <v>0.43</v>
      </c>
      <c r="DW174" s="228">
        <v>0.54</v>
      </c>
      <c r="DX174" s="228">
        <v>-0.11</v>
      </c>
      <c r="DY174" s="229">
        <v>-0.20369999999999999</v>
      </c>
      <c r="DZ174" s="229">
        <v>0.11749999999999999</v>
      </c>
      <c r="EA174" s="230">
        <v>14508500</v>
      </c>
      <c r="EB174" s="229">
        <v>5.5999999999999999E-3</v>
      </c>
      <c r="EC174" s="229">
        <v>0.11749999999999999</v>
      </c>
      <c r="ED174" s="228">
        <v>6.59</v>
      </c>
      <c r="EE174" s="229">
        <v>4.7000000000000002E-3</v>
      </c>
      <c r="EF174" s="230">
        <v>7479658</v>
      </c>
      <c r="EG174" s="230">
        <v>7107280</v>
      </c>
      <c r="EH174" s="229">
        <v>5.2400000000000002E-2</v>
      </c>
      <c r="EI174" s="229">
        <v>0.55489999999999995</v>
      </c>
      <c r="EJ174" s="231">
        <v>1008623.97</v>
      </c>
      <c r="EK174" s="231">
        <v>417531.4</v>
      </c>
      <c r="EL174" s="231">
        <v>258548.6</v>
      </c>
      <c r="EM174" s="231">
        <v>24327</v>
      </c>
      <c r="EN174" s="231">
        <v>1684703.97</v>
      </c>
      <c r="EO174" s="231">
        <v>1080143.77</v>
      </c>
      <c r="EP174" s="231">
        <v>604560.19999999995</v>
      </c>
      <c r="EQ174" s="229">
        <v>0.55969999999999998</v>
      </c>
      <c r="ER174" s="231">
        <v>793866</v>
      </c>
      <c r="ES174" s="231">
        <v>526885</v>
      </c>
      <c r="ET174" s="231">
        <v>1934970</v>
      </c>
      <c r="EU174" s="231">
        <v>662701060</v>
      </c>
      <c r="EV174" s="231">
        <v>3255720</v>
      </c>
      <c r="EW174" s="231">
        <v>3260046</v>
      </c>
      <c r="EX174" s="231">
        <v>-4326</v>
      </c>
      <c r="EY174" s="229">
        <v>-1.2999999999999999E-3</v>
      </c>
      <c r="EZ174" s="229">
        <v>0.35</v>
      </c>
      <c r="FA174" s="227" t="s">
        <v>555</v>
      </c>
      <c r="FB174" s="161">
        <f t="shared" si="4"/>
        <v>0</v>
      </c>
    </row>
    <row r="175" spans="1:158" ht="17.25" thickBot="1" x14ac:dyDescent="0.3">
      <c r="A175" s="226">
        <v>45946</v>
      </c>
      <c r="B175" s="227" t="s">
        <v>215</v>
      </c>
      <c r="C175" s="227" t="s">
        <v>676</v>
      </c>
      <c r="D175" s="228">
        <v>1375</v>
      </c>
      <c r="E175" s="228">
        <v>337</v>
      </c>
      <c r="F175" s="228">
        <v>339.2</v>
      </c>
      <c r="G175" s="228">
        <v>-2.2000000000000002</v>
      </c>
      <c r="H175" s="229">
        <v>-6.4999999999999997E-3</v>
      </c>
      <c r="I175" s="228">
        <v>336.05</v>
      </c>
      <c r="J175" s="228">
        <v>338.6</v>
      </c>
      <c r="K175" s="228">
        <v>-2.5499999999999998</v>
      </c>
      <c r="L175" s="229">
        <v>-7.4999999999999997E-3</v>
      </c>
      <c r="M175" s="228">
        <v>337</v>
      </c>
      <c r="N175" s="228">
        <v>339.2</v>
      </c>
      <c r="O175" s="228">
        <v>-2.2000000000000002</v>
      </c>
      <c r="P175" s="229">
        <v>-6.4999999999999997E-3</v>
      </c>
      <c r="Q175" s="228">
        <v>330.15</v>
      </c>
      <c r="R175" s="228">
        <v>332.55</v>
      </c>
      <c r="S175" s="228">
        <v>-2.4</v>
      </c>
      <c r="T175" s="229">
        <v>-7.1999999999999998E-3</v>
      </c>
      <c r="U175" s="228">
        <v>325.3</v>
      </c>
      <c r="V175" s="228">
        <v>328.3</v>
      </c>
      <c r="W175" s="228">
        <v>-3</v>
      </c>
      <c r="X175" s="229">
        <v>-9.1000000000000004E-3</v>
      </c>
      <c r="Y175" s="228">
        <v>0.95</v>
      </c>
      <c r="Z175" s="228">
        <v>0.6</v>
      </c>
      <c r="AA175" s="228">
        <v>0.35</v>
      </c>
      <c r="AB175" s="229">
        <v>2.8E-3</v>
      </c>
      <c r="AC175" s="228">
        <v>0.95</v>
      </c>
      <c r="AD175" s="228">
        <v>0.6</v>
      </c>
      <c r="AE175" s="228">
        <v>0.35</v>
      </c>
      <c r="AF175" s="229">
        <v>2.8E-3</v>
      </c>
      <c r="AG175" s="228">
        <v>-5.9</v>
      </c>
      <c r="AH175" s="228">
        <v>-6.05</v>
      </c>
      <c r="AI175" s="228">
        <v>0.15</v>
      </c>
      <c r="AJ175" s="229">
        <v>-1.7600000000000001E-2</v>
      </c>
      <c r="AK175" s="228">
        <v>-10.75</v>
      </c>
      <c r="AL175" s="228">
        <v>-10.3</v>
      </c>
      <c r="AM175" s="228">
        <v>-0.45</v>
      </c>
      <c r="AN175" s="229">
        <v>-3.2000000000000001E-2</v>
      </c>
      <c r="AO175" s="228">
        <v>338.22</v>
      </c>
      <c r="AP175" s="228">
        <v>330.92</v>
      </c>
      <c r="AQ175" s="228">
        <v>0</v>
      </c>
      <c r="AR175" s="230">
        <v>5578375</v>
      </c>
      <c r="AS175" s="230">
        <v>5667750</v>
      </c>
      <c r="AT175" s="230">
        <v>-89375</v>
      </c>
      <c r="AU175" s="229">
        <v>-1.5800000000000002E-2</v>
      </c>
      <c r="AV175" s="230">
        <v>3680875</v>
      </c>
      <c r="AW175" s="230">
        <v>4122250</v>
      </c>
      <c r="AX175" s="230">
        <v>-441375</v>
      </c>
      <c r="AY175" s="229">
        <v>-0.1071</v>
      </c>
      <c r="AZ175" s="230">
        <v>1647250</v>
      </c>
      <c r="BA175" s="230">
        <v>1417625</v>
      </c>
      <c r="BB175" s="230">
        <v>229625</v>
      </c>
      <c r="BC175" s="229">
        <v>0.16200000000000001</v>
      </c>
      <c r="BD175" s="230">
        <v>250250</v>
      </c>
      <c r="BE175" s="230">
        <v>127875</v>
      </c>
      <c r="BF175" s="230">
        <v>122375</v>
      </c>
      <c r="BG175" s="229">
        <v>0.95699999999999996</v>
      </c>
      <c r="BH175" s="230">
        <v>9959125</v>
      </c>
      <c r="BI175" s="230">
        <v>14269750</v>
      </c>
      <c r="BJ175" s="230">
        <v>-4310625</v>
      </c>
      <c r="BK175" s="229">
        <v>-0.30209999999999998</v>
      </c>
      <c r="BL175" s="230">
        <v>2777500</v>
      </c>
      <c r="BM175" s="230">
        <v>3892625</v>
      </c>
      <c r="BN175" s="230">
        <v>-1115125</v>
      </c>
      <c r="BO175" s="229">
        <v>-0.28649999999999998</v>
      </c>
      <c r="BP175" s="230">
        <v>18315000</v>
      </c>
      <c r="BQ175" s="230">
        <v>23830125</v>
      </c>
      <c r="BR175" s="230">
        <v>-5515125</v>
      </c>
      <c r="BS175" s="229">
        <v>-0.23139999999999999</v>
      </c>
      <c r="BT175" s="230">
        <v>3479193</v>
      </c>
      <c r="BU175" s="230">
        <v>3315639</v>
      </c>
      <c r="BV175" s="230">
        <v>163554</v>
      </c>
      <c r="BW175" s="229">
        <v>4.9299999999999997E-2</v>
      </c>
      <c r="BX175" s="230">
        <v>40250375</v>
      </c>
      <c r="BY175" s="230">
        <v>39811750</v>
      </c>
      <c r="BZ175" s="230">
        <v>438625</v>
      </c>
      <c r="CA175" s="229">
        <v>1.0999999999999999E-2</v>
      </c>
      <c r="CB175" s="230">
        <v>31829875</v>
      </c>
      <c r="CC175" s="230">
        <v>32203875</v>
      </c>
      <c r="CD175" s="230">
        <v>-374000</v>
      </c>
      <c r="CE175" s="229">
        <v>-1.1599999999999999E-2</v>
      </c>
      <c r="CF175" s="230">
        <v>7269625</v>
      </c>
      <c r="CG175" s="230">
        <v>6586250</v>
      </c>
      <c r="CH175" s="230">
        <v>683375</v>
      </c>
      <c r="CI175" s="229">
        <v>0.1038</v>
      </c>
      <c r="CJ175" s="230">
        <v>1150875</v>
      </c>
      <c r="CK175" s="230">
        <v>1021625</v>
      </c>
      <c r="CL175" s="230">
        <v>129250</v>
      </c>
      <c r="CM175" s="229">
        <v>0.1265</v>
      </c>
      <c r="CN175" s="230">
        <v>21661750</v>
      </c>
      <c r="CO175" s="230">
        <v>21370250</v>
      </c>
      <c r="CP175" s="230">
        <v>291500</v>
      </c>
      <c r="CQ175" s="229">
        <v>1.3599999999999999E-2</v>
      </c>
      <c r="CR175" s="230">
        <v>8031375</v>
      </c>
      <c r="CS175" s="230">
        <v>8043750</v>
      </c>
      <c r="CT175" s="230">
        <v>-12375</v>
      </c>
      <c r="CU175" s="229">
        <v>-1.5E-3</v>
      </c>
      <c r="CV175" s="230">
        <v>69943500</v>
      </c>
      <c r="CW175" s="230">
        <v>69225750</v>
      </c>
      <c r="CX175" s="230">
        <v>717750</v>
      </c>
      <c r="CY175" s="229">
        <v>1.04E-2</v>
      </c>
      <c r="CZ175" s="228">
        <v>36.479999999999997</v>
      </c>
      <c r="DA175" s="228">
        <v>36.83</v>
      </c>
      <c r="DB175" s="228">
        <v>-0.35</v>
      </c>
      <c r="DC175" s="228">
        <v>-0.35</v>
      </c>
      <c r="DD175" s="228">
        <v>57.86</v>
      </c>
      <c r="DE175" s="228">
        <v>58</v>
      </c>
      <c r="DF175" s="228">
        <v>-21.38</v>
      </c>
      <c r="DG175" s="228">
        <v>-0.14000000000000001</v>
      </c>
      <c r="DH175" s="228">
        <v>37.6</v>
      </c>
      <c r="DI175" s="228">
        <v>37.909999999999997</v>
      </c>
      <c r="DJ175" s="228">
        <v>-0.31</v>
      </c>
      <c r="DK175" s="228">
        <v>-0.31</v>
      </c>
      <c r="DL175" s="228">
        <v>32.49</v>
      </c>
      <c r="DM175" s="228">
        <v>32.880000000000003</v>
      </c>
      <c r="DN175" s="228">
        <v>-0.39</v>
      </c>
      <c r="DO175" s="228">
        <v>-0.39</v>
      </c>
      <c r="DP175" s="228">
        <v>0.37</v>
      </c>
      <c r="DQ175" s="228">
        <v>0.38</v>
      </c>
      <c r="DR175" s="228">
        <v>-0.01</v>
      </c>
      <c r="DS175" s="229">
        <v>-2.63E-2</v>
      </c>
      <c r="DT175" s="228">
        <v>360</v>
      </c>
      <c r="DU175" s="228">
        <v>310</v>
      </c>
      <c r="DV175" s="228">
        <v>0.28000000000000003</v>
      </c>
      <c r="DW175" s="228">
        <v>0.27</v>
      </c>
      <c r="DX175" s="228">
        <v>0.01</v>
      </c>
      <c r="DY175" s="229">
        <v>3.6999999999999998E-2</v>
      </c>
      <c r="DZ175" s="229">
        <v>0.2092</v>
      </c>
      <c r="EA175" s="230">
        <v>7607875</v>
      </c>
      <c r="EB175" s="229">
        <v>-2.0299999999999999E-2</v>
      </c>
      <c r="EC175" s="229">
        <v>0.2092</v>
      </c>
      <c r="ED175" s="228">
        <v>-7.3</v>
      </c>
      <c r="EE175" s="229">
        <v>-2.1600000000000001E-2</v>
      </c>
      <c r="EF175" s="230">
        <v>1711131</v>
      </c>
      <c r="EG175" s="230">
        <v>1109655</v>
      </c>
      <c r="EH175" s="229">
        <v>0.54200000000000004</v>
      </c>
      <c r="EI175" s="229">
        <v>0.49180000000000001</v>
      </c>
      <c r="EJ175" s="231">
        <v>35859</v>
      </c>
      <c r="EK175" s="231">
        <v>9253.02</v>
      </c>
      <c r="EL175" s="231">
        <v>18716.11</v>
      </c>
      <c r="EM175" s="231">
        <v>3998</v>
      </c>
      <c r="EN175" s="231">
        <v>63828.13</v>
      </c>
      <c r="EO175" s="231">
        <v>83557.23</v>
      </c>
      <c r="EP175" s="231">
        <v>-19729.099999999999</v>
      </c>
      <c r="EQ175" s="229">
        <v>-0.2361</v>
      </c>
      <c r="ER175" s="231">
        <v>79519</v>
      </c>
      <c r="ES175" s="231">
        <v>26253</v>
      </c>
      <c r="ET175" s="231">
        <v>135011</v>
      </c>
      <c r="EU175" s="231">
        <v>84941460</v>
      </c>
      <c r="EV175" s="231">
        <v>240784</v>
      </c>
      <c r="EW175" s="231">
        <v>239403</v>
      </c>
      <c r="EX175" s="231">
        <v>1381</v>
      </c>
      <c r="EY175" s="229">
        <v>5.7999999999999996E-3</v>
      </c>
      <c r="EZ175" s="229">
        <v>0.82340000000000002</v>
      </c>
      <c r="FA175" s="227" t="s">
        <v>567</v>
      </c>
      <c r="FB175" s="161">
        <f t="shared" si="4"/>
        <v>0</v>
      </c>
    </row>
    <row r="176" spans="1:158" ht="17.25" thickBot="1" x14ac:dyDescent="0.3">
      <c r="A176" s="226">
        <v>45946</v>
      </c>
      <c r="B176" s="227" t="s">
        <v>227</v>
      </c>
      <c r="C176" s="227" t="s">
        <v>282</v>
      </c>
      <c r="D176" s="228">
        <v>4700</v>
      </c>
      <c r="E176" s="228">
        <v>131.69</v>
      </c>
      <c r="F176" s="228">
        <v>130.71</v>
      </c>
      <c r="G176" s="228">
        <v>0.98</v>
      </c>
      <c r="H176" s="229">
        <v>7.4999999999999997E-3</v>
      </c>
      <c r="I176" s="228">
        <v>131.38</v>
      </c>
      <c r="J176" s="228">
        <v>130.29</v>
      </c>
      <c r="K176" s="228">
        <v>1.0900000000000001</v>
      </c>
      <c r="L176" s="229">
        <v>8.3999999999999995E-3</v>
      </c>
      <c r="M176" s="228">
        <v>131.69</v>
      </c>
      <c r="N176" s="228">
        <v>130.71</v>
      </c>
      <c r="O176" s="228">
        <v>0.98</v>
      </c>
      <c r="P176" s="229">
        <v>7.4999999999999997E-3</v>
      </c>
      <c r="Q176" s="228">
        <v>132.41</v>
      </c>
      <c r="R176" s="228">
        <v>131.28</v>
      </c>
      <c r="S176" s="228">
        <v>1.1299999999999999</v>
      </c>
      <c r="T176" s="229">
        <v>8.6E-3</v>
      </c>
      <c r="U176" s="228">
        <v>133.08000000000001</v>
      </c>
      <c r="V176" s="228">
        <v>131.94999999999999</v>
      </c>
      <c r="W176" s="228">
        <v>1.1299999999999999</v>
      </c>
      <c r="X176" s="229">
        <v>8.6E-3</v>
      </c>
      <c r="Y176" s="228">
        <v>0.31</v>
      </c>
      <c r="Z176" s="228">
        <v>0.42</v>
      </c>
      <c r="AA176" s="228">
        <v>-0.11</v>
      </c>
      <c r="AB176" s="229">
        <v>2.3999999999999998E-3</v>
      </c>
      <c r="AC176" s="228">
        <v>0.31</v>
      </c>
      <c r="AD176" s="228">
        <v>0.42</v>
      </c>
      <c r="AE176" s="228">
        <v>-0.11</v>
      </c>
      <c r="AF176" s="229">
        <v>2.3999999999999998E-3</v>
      </c>
      <c r="AG176" s="228">
        <v>1.03</v>
      </c>
      <c r="AH176" s="228">
        <v>0.99</v>
      </c>
      <c r="AI176" s="228">
        <v>0.04</v>
      </c>
      <c r="AJ176" s="229">
        <v>7.7999999999999996E-3</v>
      </c>
      <c r="AK176" s="228">
        <v>1.7</v>
      </c>
      <c r="AL176" s="228">
        <v>1.66</v>
      </c>
      <c r="AM176" s="228">
        <v>0.04</v>
      </c>
      <c r="AN176" s="229">
        <v>1.29E-2</v>
      </c>
      <c r="AO176" s="228">
        <v>131.72999999999999</v>
      </c>
      <c r="AP176" s="228">
        <v>132.49</v>
      </c>
      <c r="AQ176" s="228">
        <v>0</v>
      </c>
      <c r="AR176" s="230">
        <v>24487000</v>
      </c>
      <c r="AS176" s="230">
        <v>16877700</v>
      </c>
      <c r="AT176" s="230">
        <v>7609300</v>
      </c>
      <c r="AU176" s="229">
        <v>0.45079999999999998</v>
      </c>
      <c r="AV176" s="230">
        <v>20990200</v>
      </c>
      <c r="AW176" s="230">
        <v>14870800</v>
      </c>
      <c r="AX176" s="230">
        <v>6119400</v>
      </c>
      <c r="AY176" s="229">
        <v>0.41149999999999998</v>
      </c>
      <c r="AZ176" s="230">
        <v>3214800</v>
      </c>
      <c r="BA176" s="230">
        <v>1889400</v>
      </c>
      <c r="BB176" s="230">
        <v>1325400</v>
      </c>
      <c r="BC176" s="229">
        <v>0.70150000000000001</v>
      </c>
      <c r="BD176" s="230">
        <v>282000</v>
      </c>
      <c r="BE176" s="230">
        <v>117500</v>
      </c>
      <c r="BF176" s="230">
        <v>164500</v>
      </c>
      <c r="BG176" s="229">
        <v>1.4</v>
      </c>
      <c r="BH176" s="230">
        <v>46967100</v>
      </c>
      <c r="BI176" s="230">
        <v>45994200</v>
      </c>
      <c r="BJ176" s="230">
        <v>972900</v>
      </c>
      <c r="BK176" s="229">
        <v>2.12E-2</v>
      </c>
      <c r="BL176" s="230">
        <v>26249500</v>
      </c>
      <c r="BM176" s="230">
        <v>21826800</v>
      </c>
      <c r="BN176" s="230">
        <v>4422700</v>
      </c>
      <c r="BO176" s="229">
        <v>0.2026</v>
      </c>
      <c r="BP176" s="230">
        <v>97703600</v>
      </c>
      <c r="BQ176" s="230">
        <v>84698700</v>
      </c>
      <c r="BR176" s="230">
        <v>13004900</v>
      </c>
      <c r="BS176" s="229">
        <v>0.1535</v>
      </c>
      <c r="BT176" s="230">
        <v>18048602</v>
      </c>
      <c r="BU176" s="230">
        <v>12093194</v>
      </c>
      <c r="BV176" s="230">
        <v>5955408</v>
      </c>
      <c r="BW176" s="229">
        <v>0.49249999999999999</v>
      </c>
      <c r="BX176" s="230">
        <v>206903400</v>
      </c>
      <c r="BY176" s="230">
        <v>209041900</v>
      </c>
      <c r="BZ176" s="230">
        <v>-2138500</v>
      </c>
      <c r="CA176" s="229">
        <v>-1.0200000000000001E-2</v>
      </c>
      <c r="CB176" s="230">
        <v>192935000</v>
      </c>
      <c r="CC176" s="230">
        <v>196065200</v>
      </c>
      <c r="CD176" s="230">
        <v>-3130200</v>
      </c>
      <c r="CE176" s="229">
        <v>-1.6E-2</v>
      </c>
      <c r="CF176" s="230">
        <v>12807500</v>
      </c>
      <c r="CG176" s="230">
        <v>11914500</v>
      </c>
      <c r="CH176" s="230">
        <v>893000</v>
      </c>
      <c r="CI176" s="229">
        <v>7.4999999999999997E-2</v>
      </c>
      <c r="CJ176" s="230">
        <v>1160900</v>
      </c>
      <c r="CK176" s="230">
        <v>1062200</v>
      </c>
      <c r="CL176" s="230">
        <v>98700</v>
      </c>
      <c r="CM176" s="229">
        <v>9.2899999999999996E-2</v>
      </c>
      <c r="CN176" s="230">
        <v>64855300</v>
      </c>
      <c r="CO176" s="230">
        <v>67214700</v>
      </c>
      <c r="CP176" s="230">
        <v>-2359400</v>
      </c>
      <c r="CQ176" s="229">
        <v>-3.5099999999999999E-2</v>
      </c>
      <c r="CR176" s="230">
        <v>33694300</v>
      </c>
      <c r="CS176" s="230">
        <v>33628500</v>
      </c>
      <c r="CT176" s="230">
        <v>65800</v>
      </c>
      <c r="CU176" s="229">
        <v>2E-3</v>
      </c>
      <c r="CV176" s="230">
        <v>305453000</v>
      </c>
      <c r="CW176" s="230">
        <v>309885100</v>
      </c>
      <c r="CX176" s="230">
        <v>-4432100</v>
      </c>
      <c r="CY176" s="229">
        <v>-1.43E-2</v>
      </c>
      <c r="CZ176" s="228">
        <v>32.31</v>
      </c>
      <c r="DA176" s="228">
        <v>33.79</v>
      </c>
      <c r="DB176" s="228">
        <v>-1.48</v>
      </c>
      <c r="DC176" s="228">
        <v>-1.48</v>
      </c>
      <c r="DD176" s="228">
        <v>45.41</v>
      </c>
      <c r="DE176" s="228">
        <v>45.51</v>
      </c>
      <c r="DF176" s="228">
        <v>-13.1</v>
      </c>
      <c r="DG176" s="228">
        <v>-0.1</v>
      </c>
      <c r="DH176" s="228">
        <v>32.85</v>
      </c>
      <c r="DI176" s="228">
        <v>34.04</v>
      </c>
      <c r="DJ176" s="228">
        <v>-1.19</v>
      </c>
      <c r="DK176" s="228">
        <v>-1.19</v>
      </c>
      <c r="DL176" s="228">
        <v>31.33</v>
      </c>
      <c r="DM176" s="228">
        <v>33.270000000000003</v>
      </c>
      <c r="DN176" s="228">
        <v>-1.94</v>
      </c>
      <c r="DO176" s="228">
        <v>-1.94</v>
      </c>
      <c r="DP176" s="228">
        <v>0.52</v>
      </c>
      <c r="DQ176" s="228">
        <v>0.5</v>
      </c>
      <c r="DR176" s="228">
        <v>0.02</v>
      </c>
      <c r="DS176" s="229">
        <v>0.04</v>
      </c>
      <c r="DT176" s="228">
        <v>140</v>
      </c>
      <c r="DU176" s="228">
        <v>125</v>
      </c>
      <c r="DV176" s="228">
        <v>0.56000000000000005</v>
      </c>
      <c r="DW176" s="228">
        <v>0.47</v>
      </c>
      <c r="DX176" s="228">
        <v>0.09</v>
      </c>
      <c r="DY176" s="229">
        <v>0.1915</v>
      </c>
      <c r="DZ176" s="229">
        <v>6.7500000000000004E-2</v>
      </c>
      <c r="EA176" s="230">
        <v>12976700</v>
      </c>
      <c r="EB176" s="229">
        <v>5.4999999999999997E-3</v>
      </c>
      <c r="EC176" s="229">
        <v>6.7500000000000004E-2</v>
      </c>
      <c r="ED176" s="228">
        <v>0.76</v>
      </c>
      <c r="EE176" s="229">
        <v>5.7999999999999996E-3</v>
      </c>
      <c r="EF176" s="230">
        <v>7363503</v>
      </c>
      <c r="EG176" s="230">
        <v>2944031</v>
      </c>
      <c r="EH176" s="229">
        <v>1.5012000000000001</v>
      </c>
      <c r="EI176" s="229">
        <v>0.40799999999999997</v>
      </c>
      <c r="EJ176" s="231">
        <v>64300.639999999999</v>
      </c>
      <c r="EK176" s="231">
        <v>34732.81</v>
      </c>
      <c r="EL176" s="231">
        <v>32286.46</v>
      </c>
      <c r="EM176" s="231">
        <v>7399</v>
      </c>
      <c r="EN176" s="231">
        <v>131319.91</v>
      </c>
      <c r="EO176" s="231">
        <v>113906</v>
      </c>
      <c r="EP176" s="231">
        <v>17413.91</v>
      </c>
      <c r="EQ176" s="229">
        <v>0.15290000000000001</v>
      </c>
      <c r="ER176" s="231">
        <v>89944</v>
      </c>
      <c r="ES176" s="231">
        <v>43612</v>
      </c>
      <c r="ET176" s="231">
        <v>272579</v>
      </c>
      <c r="EU176" s="231">
        <v>216861410</v>
      </c>
      <c r="EV176" s="231">
        <v>406135</v>
      </c>
      <c r="EW176" s="231">
        <v>409898</v>
      </c>
      <c r="EX176" s="231">
        <v>-3763</v>
      </c>
      <c r="EY176" s="229">
        <v>-9.1999999999999998E-3</v>
      </c>
      <c r="EZ176" s="229">
        <v>1.4085000000000001</v>
      </c>
      <c r="FA176" s="227" t="s">
        <v>556</v>
      </c>
      <c r="FB176" s="161">
        <f t="shared" si="4"/>
        <v>0</v>
      </c>
    </row>
    <row r="177" spans="1:158" ht="17.25" thickBot="1" x14ac:dyDescent="0.3">
      <c r="A177" s="226">
        <v>45946</v>
      </c>
      <c r="B177" s="227" t="s">
        <v>175</v>
      </c>
      <c r="C177" s="227" t="s">
        <v>687</v>
      </c>
      <c r="D177" s="228">
        <v>4300</v>
      </c>
      <c r="E177" s="228">
        <v>166.97</v>
      </c>
      <c r="F177" s="228">
        <v>165.14</v>
      </c>
      <c r="G177" s="228">
        <v>1.83</v>
      </c>
      <c r="H177" s="229">
        <v>1.11E-2</v>
      </c>
      <c r="I177" s="228">
        <v>166.89</v>
      </c>
      <c r="J177" s="228">
        <v>164.98</v>
      </c>
      <c r="K177" s="228">
        <v>1.91</v>
      </c>
      <c r="L177" s="229">
        <v>1.1599999999999999E-2</v>
      </c>
      <c r="M177" s="228">
        <v>166.97</v>
      </c>
      <c r="N177" s="228">
        <v>165.14</v>
      </c>
      <c r="O177" s="228">
        <v>1.83</v>
      </c>
      <c r="P177" s="229">
        <v>1.11E-2</v>
      </c>
      <c r="Q177" s="228">
        <v>167.62</v>
      </c>
      <c r="R177" s="228">
        <v>167.42</v>
      </c>
      <c r="S177" s="228">
        <v>0.2</v>
      </c>
      <c r="T177" s="229">
        <v>1.1999999999999999E-3</v>
      </c>
      <c r="U177" s="228">
        <v>166.46</v>
      </c>
      <c r="V177" s="228">
        <v>164.71</v>
      </c>
      <c r="W177" s="228">
        <v>1.75</v>
      </c>
      <c r="X177" s="229">
        <v>1.06E-2</v>
      </c>
      <c r="Y177" s="228">
        <v>0.08</v>
      </c>
      <c r="Z177" s="228">
        <v>0.16</v>
      </c>
      <c r="AA177" s="228">
        <v>-0.08</v>
      </c>
      <c r="AB177" s="229">
        <v>5.0000000000000001E-4</v>
      </c>
      <c r="AC177" s="228">
        <v>0.08</v>
      </c>
      <c r="AD177" s="228">
        <v>0.16</v>
      </c>
      <c r="AE177" s="228">
        <v>-0.08</v>
      </c>
      <c r="AF177" s="229">
        <v>5.0000000000000001E-4</v>
      </c>
      <c r="AG177" s="228">
        <v>0.73</v>
      </c>
      <c r="AH177" s="228">
        <v>2.44</v>
      </c>
      <c r="AI177" s="228">
        <v>-1.71</v>
      </c>
      <c r="AJ177" s="229">
        <v>4.4000000000000003E-3</v>
      </c>
      <c r="AK177" s="228">
        <v>-0.43</v>
      </c>
      <c r="AL177" s="228">
        <v>-0.27</v>
      </c>
      <c r="AM177" s="228">
        <v>-0.16</v>
      </c>
      <c r="AN177" s="229">
        <v>-2.5999999999999999E-3</v>
      </c>
      <c r="AO177" s="228">
        <v>166.72</v>
      </c>
      <c r="AP177" s="228">
        <v>167.38</v>
      </c>
      <c r="AQ177" s="228">
        <v>0</v>
      </c>
      <c r="AR177" s="230">
        <v>1139500</v>
      </c>
      <c r="AS177" s="230">
        <v>2644500</v>
      </c>
      <c r="AT177" s="230">
        <v>-1505000</v>
      </c>
      <c r="AU177" s="229">
        <v>-0.56910000000000005</v>
      </c>
      <c r="AV177" s="230">
        <v>1100800</v>
      </c>
      <c r="AW177" s="230">
        <v>2571400</v>
      </c>
      <c r="AX177" s="230">
        <v>-1470600</v>
      </c>
      <c r="AY177" s="229">
        <v>-0.57189999999999996</v>
      </c>
      <c r="AZ177" s="230">
        <v>34400</v>
      </c>
      <c r="BA177" s="230">
        <v>73100</v>
      </c>
      <c r="BB177" s="230">
        <v>-38700</v>
      </c>
      <c r="BC177" s="229">
        <v>-0.52939999999999998</v>
      </c>
      <c r="BD177" s="230">
        <v>4300</v>
      </c>
      <c r="BE177" s="228">
        <v>0</v>
      </c>
      <c r="BF177" s="230">
        <v>4300</v>
      </c>
      <c r="BG177" s="229">
        <v>0</v>
      </c>
      <c r="BH177" s="230">
        <v>1208300</v>
      </c>
      <c r="BI177" s="230">
        <v>1044900</v>
      </c>
      <c r="BJ177" s="230">
        <v>163400</v>
      </c>
      <c r="BK177" s="229">
        <v>0.15640000000000001</v>
      </c>
      <c r="BL177" s="230">
        <v>537500</v>
      </c>
      <c r="BM177" s="230">
        <v>778300</v>
      </c>
      <c r="BN177" s="230">
        <v>-240800</v>
      </c>
      <c r="BO177" s="229">
        <v>-0.30940000000000001</v>
      </c>
      <c r="BP177" s="230">
        <v>2885300</v>
      </c>
      <c r="BQ177" s="230">
        <v>4467700</v>
      </c>
      <c r="BR177" s="230">
        <v>-1582400</v>
      </c>
      <c r="BS177" s="229">
        <v>-0.35420000000000001</v>
      </c>
      <c r="BT177" s="230">
        <v>10544691</v>
      </c>
      <c r="BU177" s="230">
        <v>15369709</v>
      </c>
      <c r="BV177" s="230">
        <v>-4825018</v>
      </c>
      <c r="BW177" s="229">
        <v>-0.31390000000000001</v>
      </c>
      <c r="BX177" s="230">
        <v>106425000</v>
      </c>
      <c r="BY177" s="230">
        <v>107487100</v>
      </c>
      <c r="BZ177" s="230">
        <v>-1062100</v>
      </c>
      <c r="CA177" s="229">
        <v>-9.9000000000000008E-3</v>
      </c>
      <c r="CB177" s="230">
        <v>102198100</v>
      </c>
      <c r="CC177" s="230">
        <v>103221500</v>
      </c>
      <c r="CD177" s="230">
        <v>-1023400</v>
      </c>
      <c r="CE177" s="229">
        <v>-9.9000000000000008E-3</v>
      </c>
      <c r="CF177" s="230">
        <v>4033400</v>
      </c>
      <c r="CG177" s="230">
        <v>4067800</v>
      </c>
      <c r="CH177" s="230">
        <v>-34400</v>
      </c>
      <c r="CI177" s="229">
        <v>-8.5000000000000006E-3</v>
      </c>
      <c r="CJ177" s="230">
        <v>193500</v>
      </c>
      <c r="CK177" s="230">
        <v>197800</v>
      </c>
      <c r="CL177" s="230">
        <v>-4300</v>
      </c>
      <c r="CM177" s="229">
        <v>-2.1700000000000001E-2</v>
      </c>
      <c r="CN177" s="230">
        <v>27661900</v>
      </c>
      <c r="CO177" s="230">
        <v>28573500</v>
      </c>
      <c r="CP177" s="230">
        <v>-911600</v>
      </c>
      <c r="CQ177" s="229">
        <v>-3.1899999999999998E-2</v>
      </c>
      <c r="CR177" s="230">
        <v>28801400</v>
      </c>
      <c r="CS177" s="230">
        <v>29257200</v>
      </c>
      <c r="CT177" s="230">
        <v>-455800</v>
      </c>
      <c r="CU177" s="229">
        <v>-1.5599999999999999E-2</v>
      </c>
      <c r="CV177" s="230">
        <v>162888300</v>
      </c>
      <c r="CW177" s="230">
        <v>165317800</v>
      </c>
      <c r="CX177" s="230">
        <v>-2429500</v>
      </c>
      <c r="CY177" s="229">
        <v>-1.47E-2</v>
      </c>
      <c r="CZ177" s="228">
        <v>32.479999999999997</v>
      </c>
      <c r="DA177" s="228">
        <v>39.83</v>
      </c>
      <c r="DB177" s="228">
        <v>-7.35</v>
      </c>
      <c r="DC177" s="228">
        <v>-7.35</v>
      </c>
      <c r="DD177" s="228">
        <v>57.32</v>
      </c>
      <c r="DE177" s="228">
        <v>57.44</v>
      </c>
      <c r="DF177" s="228">
        <v>-24.84</v>
      </c>
      <c r="DG177" s="228">
        <v>-0.12</v>
      </c>
      <c r="DH177" s="228">
        <v>29.84</v>
      </c>
      <c r="DI177" s="228">
        <v>41.3</v>
      </c>
      <c r="DJ177" s="228">
        <v>-11.46</v>
      </c>
      <c r="DK177" s="228">
        <v>-11.46</v>
      </c>
      <c r="DL177" s="228">
        <v>38.39</v>
      </c>
      <c r="DM177" s="228">
        <v>37.85</v>
      </c>
      <c r="DN177" s="228">
        <v>0.54</v>
      </c>
      <c r="DO177" s="228">
        <v>0.54</v>
      </c>
      <c r="DP177" s="228">
        <v>1.04</v>
      </c>
      <c r="DQ177" s="228">
        <v>1.02</v>
      </c>
      <c r="DR177" s="228">
        <v>0.02</v>
      </c>
      <c r="DS177" s="229">
        <v>1.9599999999999999E-2</v>
      </c>
      <c r="DT177" s="228">
        <v>160</v>
      </c>
      <c r="DU177" s="228">
        <v>160</v>
      </c>
      <c r="DV177" s="228">
        <v>0.44</v>
      </c>
      <c r="DW177" s="228">
        <v>0.74</v>
      </c>
      <c r="DX177" s="228">
        <v>-0.3</v>
      </c>
      <c r="DY177" s="229">
        <v>-0.40539999999999998</v>
      </c>
      <c r="DZ177" s="229">
        <v>3.9699999999999999E-2</v>
      </c>
      <c r="EA177" s="230">
        <v>4265600</v>
      </c>
      <c r="EB177" s="229">
        <v>3.8999999999999998E-3</v>
      </c>
      <c r="EC177" s="229">
        <v>3.9699999999999999E-2</v>
      </c>
      <c r="ED177" s="228">
        <v>0.66</v>
      </c>
      <c r="EE177" s="229">
        <v>4.0000000000000001E-3</v>
      </c>
      <c r="EF177" s="230">
        <v>6072969</v>
      </c>
      <c r="EG177" s="230">
        <v>7141023</v>
      </c>
      <c r="EH177" s="229">
        <v>-0.14960000000000001</v>
      </c>
      <c r="EI177" s="229">
        <v>0.57589999999999997</v>
      </c>
      <c r="EJ177" s="231">
        <v>2045.76</v>
      </c>
      <c r="EK177" s="228">
        <v>810.2</v>
      </c>
      <c r="EL177" s="231">
        <v>1899.94</v>
      </c>
      <c r="EM177" s="231">
        <v>2122</v>
      </c>
      <c r="EN177" s="231">
        <v>4755.8999999999996</v>
      </c>
      <c r="EO177" s="231">
        <v>7296.11</v>
      </c>
      <c r="EP177" s="231">
        <v>-2540.21</v>
      </c>
      <c r="EQ177" s="229">
        <v>-0.34820000000000001</v>
      </c>
      <c r="ER177" s="231">
        <v>45498</v>
      </c>
      <c r="ES177" s="231">
        <v>42713</v>
      </c>
      <c r="ET177" s="231">
        <v>177723</v>
      </c>
      <c r="EU177" s="231">
        <v>122326971</v>
      </c>
      <c r="EV177" s="231">
        <v>265935</v>
      </c>
      <c r="EW177" s="231">
        <v>267963</v>
      </c>
      <c r="EX177" s="231">
        <v>-2028</v>
      </c>
      <c r="EY177" s="229">
        <v>-7.6E-3</v>
      </c>
      <c r="EZ177" s="229">
        <v>1.3315999999999999</v>
      </c>
      <c r="FA177" s="227" t="s">
        <v>556</v>
      </c>
      <c r="FB177" s="161">
        <f t="shared" si="4"/>
        <v>0</v>
      </c>
    </row>
    <row r="178" spans="1:158" ht="17.25" thickBot="1" x14ac:dyDescent="0.3">
      <c r="A178" s="226">
        <v>45946</v>
      </c>
      <c r="B178" s="227" t="s">
        <v>175</v>
      </c>
      <c r="C178" s="227" t="s">
        <v>536</v>
      </c>
      <c r="D178" s="228">
        <v>800</v>
      </c>
      <c r="E178" s="228">
        <v>932.8</v>
      </c>
      <c r="F178" s="228">
        <v>924.7</v>
      </c>
      <c r="G178" s="228">
        <v>8.1</v>
      </c>
      <c r="H178" s="229">
        <v>8.8000000000000005E-3</v>
      </c>
      <c r="I178" s="228">
        <v>934.85</v>
      </c>
      <c r="J178" s="228">
        <v>929.2</v>
      </c>
      <c r="K178" s="228">
        <v>5.65</v>
      </c>
      <c r="L178" s="229">
        <v>6.1000000000000004E-3</v>
      </c>
      <c r="M178" s="228">
        <v>932.8</v>
      </c>
      <c r="N178" s="228">
        <v>924.7</v>
      </c>
      <c r="O178" s="228">
        <v>8.1</v>
      </c>
      <c r="P178" s="229">
        <v>8.8000000000000005E-3</v>
      </c>
      <c r="Q178" s="228">
        <v>916.4</v>
      </c>
      <c r="R178" s="228">
        <v>909.35</v>
      </c>
      <c r="S178" s="228">
        <v>7.05</v>
      </c>
      <c r="T178" s="229">
        <v>7.7999999999999996E-3</v>
      </c>
      <c r="U178" s="228">
        <v>905.1</v>
      </c>
      <c r="V178" s="228">
        <v>898.2</v>
      </c>
      <c r="W178" s="228">
        <v>6.9</v>
      </c>
      <c r="X178" s="229">
        <v>7.7000000000000002E-3</v>
      </c>
      <c r="Y178" s="228">
        <v>-2.0499999999999998</v>
      </c>
      <c r="Z178" s="228">
        <v>-4.5</v>
      </c>
      <c r="AA178" s="228">
        <v>2.4500000000000002</v>
      </c>
      <c r="AB178" s="229">
        <v>-2.2000000000000001E-3</v>
      </c>
      <c r="AC178" s="228">
        <v>-2.0499999999999998</v>
      </c>
      <c r="AD178" s="228">
        <v>-4.5</v>
      </c>
      <c r="AE178" s="228">
        <v>2.4500000000000002</v>
      </c>
      <c r="AF178" s="229">
        <v>-2.2000000000000001E-3</v>
      </c>
      <c r="AG178" s="228">
        <v>-18.45</v>
      </c>
      <c r="AH178" s="228">
        <v>-19.850000000000001</v>
      </c>
      <c r="AI178" s="228">
        <v>1.4</v>
      </c>
      <c r="AJ178" s="229">
        <v>-1.9699999999999999E-2</v>
      </c>
      <c r="AK178" s="228">
        <v>-29.75</v>
      </c>
      <c r="AL178" s="228">
        <v>-31</v>
      </c>
      <c r="AM178" s="228">
        <v>1.25</v>
      </c>
      <c r="AN178" s="229">
        <v>-3.1800000000000002E-2</v>
      </c>
      <c r="AO178" s="228">
        <v>934.12</v>
      </c>
      <c r="AP178" s="228">
        <v>917.05</v>
      </c>
      <c r="AQ178" s="228">
        <v>0</v>
      </c>
      <c r="AR178" s="230">
        <v>4736000</v>
      </c>
      <c r="AS178" s="230">
        <v>3337600</v>
      </c>
      <c r="AT178" s="230">
        <v>1398400</v>
      </c>
      <c r="AU178" s="229">
        <v>0.41899999999999998</v>
      </c>
      <c r="AV178" s="230">
        <v>3152800</v>
      </c>
      <c r="AW178" s="230">
        <v>2676000</v>
      </c>
      <c r="AX178" s="230">
        <v>476800</v>
      </c>
      <c r="AY178" s="229">
        <v>0.1782</v>
      </c>
      <c r="AZ178" s="230">
        <v>1501600</v>
      </c>
      <c r="BA178" s="230">
        <v>606400</v>
      </c>
      <c r="BB178" s="230">
        <v>895200</v>
      </c>
      <c r="BC178" s="229">
        <v>1.4762999999999999</v>
      </c>
      <c r="BD178" s="230">
        <v>81600</v>
      </c>
      <c r="BE178" s="230">
        <v>55200</v>
      </c>
      <c r="BF178" s="230">
        <v>26400</v>
      </c>
      <c r="BG178" s="229">
        <v>0.4783</v>
      </c>
      <c r="BH178" s="230">
        <v>11078400</v>
      </c>
      <c r="BI178" s="230">
        <v>9288800</v>
      </c>
      <c r="BJ178" s="230">
        <v>1789600</v>
      </c>
      <c r="BK178" s="229">
        <v>0.19270000000000001</v>
      </c>
      <c r="BL178" s="230">
        <v>4649600</v>
      </c>
      <c r="BM178" s="230">
        <v>4140000</v>
      </c>
      <c r="BN178" s="230">
        <v>509600</v>
      </c>
      <c r="BO178" s="229">
        <v>0.1231</v>
      </c>
      <c r="BP178" s="230">
        <v>20464000</v>
      </c>
      <c r="BQ178" s="230">
        <v>16766400</v>
      </c>
      <c r="BR178" s="230">
        <v>3697600</v>
      </c>
      <c r="BS178" s="229">
        <v>0.2205</v>
      </c>
      <c r="BT178" s="230">
        <v>729715</v>
      </c>
      <c r="BU178" s="230">
        <v>766070</v>
      </c>
      <c r="BV178" s="230">
        <v>-36355</v>
      </c>
      <c r="BW178" s="229">
        <v>-4.7500000000000001E-2</v>
      </c>
      <c r="BX178" s="230">
        <v>20313600</v>
      </c>
      <c r="BY178" s="230">
        <v>19787200</v>
      </c>
      <c r="BZ178" s="230">
        <v>526400</v>
      </c>
      <c r="CA178" s="229">
        <v>2.6599999999999999E-2</v>
      </c>
      <c r="CB178" s="230">
        <v>17268000</v>
      </c>
      <c r="CC178" s="230">
        <v>17356800</v>
      </c>
      <c r="CD178" s="230">
        <v>-88800</v>
      </c>
      <c r="CE178" s="229">
        <v>-5.1000000000000004E-3</v>
      </c>
      <c r="CF178" s="230">
        <v>2291200</v>
      </c>
      <c r="CG178" s="230">
        <v>1717600</v>
      </c>
      <c r="CH178" s="230">
        <v>573600</v>
      </c>
      <c r="CI178" s="229">
        <v>0.33400000000000002</v>
      </c>
      <c r="CJ178" s="230">
        <v>754400</v>
      </c>
      <c r="CK178" s="230">
        <v>712800</v>
      </c>
      <c r="CL178" s="230">
        <v>41600</v>
      </c>
      <c r="CM178" s="229">
        <v>5.8400000000000001E-2</v>
      </c>
      <c r="CN178" s="230">
        <v>5600800</v>
      </c>
      <c r="CO178" s="230">
        <v>6097600</v>
      </c>
      <c r="CP178" s="230">
        <v>-496800</v>
      </c>
      <c r="CQ178" s="229">
        <v>-8.1500000000000003E-2</v>
      </c>
      <c r="CR178" s="230">
        <v>3936800</v>
      </c>
      <c r="CS178" s="230">
        <v>3743200</v>
      </c>
      <c r="CT178" s="230">
        <v>193600</v>
      </c>
      <c r="CU178" s="229">
        <v>5.1700000000000003E-2</v>
      </c>
      <c r="CV178" s="230">
        <v>29851200</v>
      </c>
      <c r="CW178" s="230">
        <v>29628000</v>
      </c>
      <c r="CX178" s="230">
        <v>223200</v>
      </c>
      <c r="CY178" s="229">
        <v>7.4999999999999997E-3</v>
      </c>
      <c r="CZ178" s="228">
        <v>29.08</v>
      </c>
      <c r="DA178" s="228">
        <v>28.04</v>
      </c>
      <c r="DB178" s="228">
        <v>1.04</v>
      </c>
      <c r="DC178" s="228">
        <v>1.04</v>
      </c>
      <c r="DD178" s="228">
        <v>30.25</v>
      </c>
      <c r="DE178" s="228">
        <v>30.31</v>
      </c>
      <c r="DF178" s="228">
        <v>-1.17</v>
      </c>
      <c r="DG178" s="228">
        <v>-0.06</v>
      </c>
      <c r="DH178" s="228">
        <v>28.59</v>
      </c>
      <c r="DI178" s="228">
        <v>27.76</v>
      </c>
      <c r="DJ178" s="228">
        <v>0.83</v>
      </c>
      <c r="DK178" s="228">
        <v>0.83</v>
      </c>
      <c r="DL178" s="228">
        <v>30.27</v>
      </c>
      <c r="DM178" s="228">
        <v>28.66</v>
      </c>
      <c r="DN178" s="228">
        <v>1.61</v>
      </c>
      <c r="DO178" s="228">
        <v>1.61</v>
      </c>
      <c r="DP178" s="228">
        <v>0.7</v>
      </c>
      <c r="DQ178" s="228">
        <v>0.61</v>
      </c>
      <c r="DR178" s="228">
        <v>0.09</v>
      </c>
      <c r="DS178" s="229">
        <v>0.14749999999999999</v>
      </c>
      <c r="DT178" s="231">
        <v>1000</v>
      </c>
      <c r="DU178" s="228">
        <v>900</v>
      </c>
      <c r="DV178" s="228">
        <v>0.42</v>
      </c>
      <c r="DW178" s="228">
        <v>0.45</v>
      </c>
      <c r="DX178" s="228">
        <v>-0.03</v>
      </c>
      <c r="DY178" s="229">
        <v>-6.6699999999999995E-2</v>
      </c>
      <c r="DZ178" s="229">
        <v>0.14990000000000001</v>
      </c>
      <c r="EA178" s="230">
        <v>2430400</v>
      </c>
      <c r="EB178" s="229">
        <v>-1.7600000000000001E-2</v>
      </c>
      <c r="EC178" s="229">
        <v>0.14990000000000001</v>
      </c>
      <c r="ED178" s="228">
        <v>-17.07</v>
      </c>
      <c r="EE178" s="229">
        <v>-1.83E-2</v>
      </c>
      <c r="EF178" s="230">
        <v>313399</v>
      </c>
      <c r="EG178" s="230">
        <v>338826</v>
      </c>
      <c r="EH178" s="229">
        <v>-7.4999999999999997E-2</v>
      </c>
      <c r="EI178" s="229">
        <v>0.42949999999999999</v>
      </c>
      <c r="EJ178" s="231">
        <v>106759.85</v>
      </c>
      <c r="EK178" s="231">
        <v>42599.59</v>
      </c>
      <c r="EL178" s="231">
        <v>43959.79</v>
      </c>
      <c r="EM178" s="231">
        <v>3437</v>
      </c>
      <c r="EN178" s="231">
        <v>193319.23</v>
      </c>
      <c r="EO178" s="231">
        <v>157142.75</v>
      </c>
      <c r="EP178" s="231">
        <v>36176.480000000003</v>
      </c>
      <c r="EQ178" s="229">
        <v>0.23019999999999999</v>
      </c>
      <c r="ER178" s="231">
        <v>53180</v>
      </c>
      <c r="ES178" s="231">
        <v>34136</v>
      </c>
      <c r="ET178" s="231">
        <v>188901</v>
      </c>
      <c r="EU178" s="231">
        <v>39583537</v>
      </c>
      <c r="EV178" s="231">
        <v>276216</v>
      </c>
      <c r="EW178" s="231">
        <v>272406</v>
      </c>
      <c r="EX178" s="231">
        <v>3810</v>
      </c>
      <c r="EY178" s="229">
        <v>1.4E-2</v>
      </c>
      <c r="EZ178" s="229">
        <v>0.75409999999999999</v>
      </c>
      <c r="FA178" s="227" t="s">
        <v>555</v>
      </c>
      <c r="FB178" s="161">
        <f t="shared" si="4"/>
        <v>0</v>
      </c>
    </row>
    <row r="179" spans="1:158" ht="17.25" thickBot="1" x14ac:dyDescent="0.3">
      <c r="A179" s="226">
        <v>45946</v>
      </c>
      <c r="B179" s="227" t="s">
        <v>175</v>
      </c>
      <c r="C179" s="227" t="s">
        <v>462</v>
      </c>
      <c r="D179" s="228">
        <v>375</v>
      </c>
      <c r="E179" s="231">
        <v>1838.4</v>
      </c>
      <c r="F179" s="231">
        <v>1847.2</v>
      </c>
      <c r="G179" s="228">
        <v>-8.8000000000000007</v>
      </c>
      <c r="H179" s="229">
        <v>-4.7999999999999996E-3</v>
      </c>
      <c r="I179" s="231">
        <v>1835.7</v>
      </c>
      <c r="J179" s="231">
        <v>1840.6</v>
      </c>
      <c r="K179" s="228">
        <v>-4.9000000000000004</v>
      </c>
      <c r="L179" s="229">
        <v>-2.7000000000000001E-3</v>
      </c>
      <c r="M179" s="231">
        <v>1838.4</v>
      </c>
      <c r="N179" s="231">
        <v>1847.2</v>
      </c>
      <c r="O179" s="228">
        <v>-8.8000000000000007</v>
      </c>
      <c r="P179" s="229">
        <v>-4.7999999999999996E-3</v>
      </c>
      <c r="Q179" s="231">
        <v>1848.7</v>
      </c>
      <c r="R179" s="231">
        <v>1856.1</v>
      </c>
      <c r="S179" s="228">
        <v>-7.4</v>
      </c>
      <c r="T179" s="229">
        <v>-4.0000000000000001E-3</v>
      </c>
      <c r="U179" s="231">
        <v>1860.8</v>
      </c>
      <c r="V179" s="231">
        <v>1865.6</v>
      </c>
      <c r="W179" s="228">
        <v>-4.8</v>
      </c>
      <c r="X179" s="229">
        <v>-2.5999999999999999E-3</v>
      </c>
      <c r="Y179" s="228">
        <v>2.7</v>
      </c>
      <c r="Z179" s="228">
        <v>6.6</v>
      </c>
      <c r="AA179" s="228">
        <v>-3.9</v>
      </c>
      <c r="AB179" s="229">
        <v>1.5E-3</v>
      </c>
      <c r="AC179" s="228">
        <v>2.7</v>
      </c>
      <c r="AD179" s="228">
        <v>6.6</v>
      </c>
      <c r="AE179" s="228">
        <v>-3.9</v>
      </c>
      <c r="AF179" s="229">
        <v>1.5E-3</v>
      </c>
      <c r="AG179" s="228">
        <v>13</v>
      </c>
      <c r="AH179" s="228">
        <v>15.5</v>
      </c>
      <c r="AI179" s="228">
        <v>-2.5</v>
      </c>
      <c r="AJ179" s="229">
        <v>7.1000000000000004E-3</v>
      </c>
      <c r="AK179" s="228">
        <v>25.1</v>
      </c>
      <c r="AL179" s="228">
        <v>25</v>
      </c>
      <c r="AM179" s="228">
        <v>0.1</v>
      </c>
      <c r="AN179" s="229">
        <v>1.37E-2</v>
      </c>
      <c r="AO179" s="231">
        <v>1826.5</v>
      </c>
      <c r="AP179" s="231">
        <v>1837.75</v>
      </c>
      <c r="AQ179" s="228">
        <v>0</v>
      </c>
      <c r="AR179" s="230">
        <v>1256625</v>
      </c>
      <c r="AS179" s="230">
        <v>1562625</v>
      </c>
      <c r="AT179" s="230">
        <v>-306000</v>
      </c>
      <c r="AU179" s="229">
        <v>-0.1958</v>
      </c>
      <c r="AV179" s="230">
        <v>1099125</v>
      </c>
      <c r="AW179" s="230">
        <v>1368000</v>
      </c>
      <c r="AX179" s="230">
        <v>-268875</v>
      </c>
      <c r="AY179" s="229">
        <v>-0.19650000000000001</v>
      </c>
      <c r="AZ179" s="230">
        <v>149625</v>
      </c>
      <c r="BA179" s="230">
        <v>186375</v>
      </c>
      <c r="BB179" s="230">
        <v>-36750</v>
      </c>
      <c r="BC179" s="229">
        <v>-0.19719999999999999</v>
      </c>
      <c r="BD179" s="230">
        <v>7875</v>
      </c>
      <c r="BE179" s="230">
        <v>8250</v>
      </c>
      <c r="BF179" s="228">
        <v>-375</v>
      </c>
      <c r="BG179" s="229">
        <v>-4.5499999999999999E-2</v>
      </c>
      <c r="BH179" s="230">
        <v>3190125</v>
      </c>
      <c r="BI179" s="230">
        <v>4583250</v>
      </c>
      <c r="BJ179" s="230">
        <v>-1393125</v>
      </c>
      <c r="BK179" s="229">
        <v>-0.30399999999999999</v>
      </c>
      <c r="BL179" s="230">
        <v>1605375</v>
      </c>
      <c r="BM179" s="230">
        <v>1579500</v>
      </c>
      <c r="BN179" s="230">
        <v>25875</v>
      </c>
      <c r="BO179" s="229">
        <v>1.6400000000000001E-2</v>
      </c>
      <c r="BP179" s="230">
        <v>6052125</v>
      </c>
      <c r="BQ179" s="230">
        <v>7725375</v>
      </c>
      <c r="BR179" s="230">
        <v>-1673250</v>
      </c>
      <c r="BS179" s="229">
        <v>-0.21659999999999999</v>
      </c>
      <c r="BT179" s="230">
        <v>987160</v>
      </c>
      <c r="BU179" s="230">
        <v>901439</v>
      </c>
      <c r="BV179" s="230">
        <v>85721</v>
      </c>
      <c r="BW179" s="229">
        <v>9.5100000000000004E-2</v>
      </c>
      <c r="BX179" s="230">
        <v>6763500</v>
      </c>
      <c r="BY179" s="230">
        <v>6533250</v>
      </c>
      <c r="BZ179" s="230">
        <v>230250</v>
      </c>
      <c r="CA179" s="229">
        <v>3.5200000000000002E-2</v>
      </c>
      <c r="CB179" s="230">
        <v>6493500</v>
      </c>
      <c r="CC179" s="230">
        <v>6293625</v>
      </c>
      <c r="CD179" s="230">
        <v>199875</v>
      </c>
      <c r="CE179" s="229">
        <v>3.1800000000000002E-2</v>
      </c>
      <c r="CF179" s="230">
        <v>235125</v>
      </c>
      <c r="CG179" s="230">
        <v>206250</v>
      </c>
      <c r="CH179" s="230">
        <v>28875</v>
      </c>
      <c r="CI179" s="229">
        <v>0.14000000000000001</v>
      </c>
      <c r="CJ179" s="230">
        <v>34875</v>
      </c>
      <c r="CK179" s="230">
        <v>33375</v>
      </c>
      <c r="CL179" s="230">
        <v>1500</v>
      </c>
      <c r="CM179" s="229">
        <v>4.4900000000000002E-2</v>
      </c>
      <c r="CN179" s="230">
        <v>2556000</v>
      </c>
      <c r="CO179" s="230">
        <v>2563125</v>
      </c>
      <c r="CP179" s="230">
        <v>-7125</v>
      </c>
      <c r="CQ179" s="229">
        <v>-2.8E-3</v>
      </c>
      <c r="CR179" s="230">
        <v>1383750</v>
      </c>
      <c r="CS179" s="230">
        <v>1412250</v>
      </c>
      <c r="CT179" s="230">
        <v>-28500</v>
      </c>
      <c r="CU179" s="229">
        <v>-2.0199999999999999E-2</v>
      </c>
      <c r="CV179" s="230">
        <v>10703250</v>
      </c>
      <c r="CW179" s="230">
        <v>10508625</v>
      </c>
      <c r="CX179" s="230">
        <v>194625</v>
      </c>
      <c r="CY179" s="229">
        <v>1.8499999999999999E-2</v>
      </c>
      <c r="CZ179" s="228">
        <v>21.17</v>
      </c>
      <c r="DA179" s="228">
        <v>20.93</v>
      </c>
      <c r="DB179" s="228">
        <v>0.24</v>
      </c>
      <c r="DC179" s="228">
        <v>0.24</v>
      </c>
      <c r="DD179" s="228">
        <v>25.66</v>
      </c>
      <c r="DE179" s="228">
        <v>25.72</v>
      </c>
      <c r="DF179" s="228">
        <v>-4.49</v>
      </c>
      <c r="DG179" s="228">
        <v>-0.06</v>
      </c>
      <c r="DH179" s="228">
        <v>20.77</v>
      </c>
      <c r="DI179" s="228">
        <v>20.7</v>
      </c>
      <c r="DJ179" s="228">
        <v>7.0000000000000007E-2</v>
      </c>
      <c r="DK179" s="228">
        <v>7.0000000000000007E-2</v>
      </c>
      <c r="DL179" s="228">
        <v>21.97</v>
      </c>
      <c r="DM179" s="228">
        <v>21.61</v>
      </c>
      <c r="DN179" s="228">
        <v>0.36</v>
      </c>
      <c r="DO179" s="228">
        <v>0.36</v>
      </c>
      <c r="DP179" s="228">
        <v>0.54</v>
      </c>
      <c r="DQ179" s="228">
        <v>0.55000000000000004</v>
      </c>
      <c r="DR179" s="228">
        <v>-0.01</v>
      </c>
      <c r="DS179" s="229">
        <v>-1.8200000000000001E-2</v>
      </c>
      <c r="DT179" s="231">
        <v>1800</v>
      </c>
      <c r="DU179" s="231">
        <v>1800</v>
      </c>
      <c r="DV179" s="228">
        <v>0.5</v>
      </c>
      <c r="DW179" s="228">
        <v>0.34</v>
      </c>
      <c r="DX179" s="228">
        <v>0.16</v>
      </c>
      <c r="DY179" s="229">
        <v>0.47060000000000002</v>
      </c>
      <c r="DZ179" s="229">
        <v>3.9899999999999998E-2</v>
      </c>
      <c r="EA179" s="230">
        <v>239625</v>
      </c>
      <c r="EB179" s="229">
        <v>5.5999999999999999E-3</v>
      </c>
      <c r="EC179" s="229">
        <v>3.9899999999999998E-2</v>
      </c>
      <c r="ED179" s="228">
        <v>11.25</v>
      </c>
      <c r="EE179" s="229">
        <v>6.1999999999999998E-3</v>
      </c>
      <c r="EF179" s="230">
        <v>603957</v>
      </c>
      <c r="EG179" s="230">
        <v>533707</v>
      </c>
      <c r="EH179" s="229">
        <v>0.13159999999999999</v>
      </c>
      <c r="EI179" s="229">
        <v>0.61180000000000001</v>
      </c>
      <c r="EJ179" s="231">
        <v>59944.51</v>
      </c>
      <c r="EK179" s="231">
        <v>29210.77</v>
      </c>
      <c r="EL179" s="231">
        <v>22970.61</v>
      </c>
      <c r="EM179" s="231">
        <v>3367</v>
      </c>
      <c r="EN179" s="231">
        <v>112125.89</v>
      </c>
      <c r="EO179" s="231">
        <v>144521.9</v>
      </c>
      <c r="EP179" s="231">
        <v>-32396.01</v>
      </c>
      <c r="EQ179" s="229">
        <v>-0.22420000000000001</v>
      </c>
      <c r="ER179" s="231">
        <v>47705</v>
      </c>
      <c r="ES179" s="231">
        <v>24500</v>
      </c>
      <c r="ET179" s="231">
        <v>124372</v>
      </c>
      <c r="EU179" s="231">
        <v>44735132</v>
      </c>
      <c r="EV179" s="231">
        <v>196577</v>
      </c>
      <c r="EW179" s="231">
        <v>193585</v>
      </c>
      <c r="EX179" s="231">
        <v>2992</v>
      </c>
      <c r="EY179" s="229">
        <v>1.55E-2</v>
      </c>
      <c r="EZ179" s="229">
        <v>0.23930000000000001</v>
      </c>
      <c r="FA179" s="227" t="s">
        <v>567</v>
      </c>
      <c r="FB179" s="161">
        <f t="shared" si="4"/>
        <v>0</v>
      </c>
    </row>
    <row r="180" spans="1:158" ht="17.25" thickBot="1" x14ac:dyDescent="0.3">
      <c r="A180" s="226">
        <v>45946</v>
      </c>
      <c r="B180" s="227" t="s">
        <v>172</v>
      </c>
      <c r="C180" s="227" t="s">
        <v>283</v>
      </c>
      <c r="D180" s="228">
        <v>750</v>
      </c>
      <c r="E180" s="228">
        <v>888.3</v>
      </c>
      <c r="F180" s="228">
        <v>887.4</v>
      </c>
      <c r="G180" s="228">
        <v>0.9</v>
      </c>
      <c r="H180" s="229">
        <v>1E-3</v>
      </c>
      <c r="I180" s="228">
        <v>886.95</v>
      </c>
      <c r="J180" s="228">
        <v>886.1</v>
      </c>
      <c r="K180" s="228">
        <v>0.85</v>
      </c>
      <c r="L180" s="229">
        <v>1E-3</v>
      </c>
      <c r="M180" s="228">
        <v>888.3</v>
      </c>
      <c r="N180" s="228">
        <v>887.4</v>
      </c>
      <c r="O180" s="228">
        <v>0.9</v>
      </c>
      <c r="P180" s="229">
        <v>1E-3</v>
      </c>
      <c r="Q180" s="228">
        <v>893.2</v>
      </c>
      <c r="R180" s="228">
        <v>892.1</v>
      </c>
      <c r="S180" s="228">
        <v>1.1000000000000001</v>
      </c>
      <c r="T180" s="229">
        <v>1.1999999999999999E-3</v>
      </c>
      <c r="U180" s="228">
        <v>898.45</v>
      </c>
      <c r="V180" s="228">
        <v>897.4</v>
      </c>
      <c r="W180" s="228">
        <v>1.05</v>
      </c>
      <c r="X180" s="229">
        <v>1.1999999999999999E-3</v>
      </c>
      <c r="Y180" s="228">
        <v>1.35</v>
      </c>
      <c r="Z180" s="228">
        <v>1.3</v>
      </c>
      <c r="AA180" s="228">
        <v>0.05</v>
      </c>
      <c r="AB180" s="229">
        <v>1.5E-3</v>
      </c>
      <c r="AC180" s="228">
        <v>1.35</v>
      </c>
      <c r="AD180" s="228">
        <v>1.3</v>
      </c>
      <c r="AE180" s="228">
        <v>0.05</v>
      </c>
      <c r="AF180" s="229">
        <v>1.5E-3</v>
      </c>
      <c r="AG180" s="228">
        <v>6.25</v>
      </c>
      <c r="AH180" s="228">
        <v>6</v>
      </c>
      <c r="AI180" s="228">
        <v>0.25</v>
      </c>
      <c r="AJ180" s="229">
        <v>7.0000000000000001E-3</v>
      </c>
      <c r="AK180" s="228">
        <v>11.5</v>
      </c>
      <c r="AL180" s="228">
        <v>11.3</v>
      </c>
      <c r="AM180" s="228">
        <v>0.2</v>
      </c>
      <c r="AN180" s="229">
        <v>1.2999999999999999E-2</v>
      </c>
      <c r="AO180" s="228">
        <v>888.57</v>
      </c>
      <c r="AP180" s="228">
        <v>893.29</v>
      </c>
      <c r="AQ180" s="228">
        <v>0</v>
      </c>
      <c r="AR180" s="230">
        <v>16343250</v>
      </c>
      <c r="AS180" s="230">
        <v>11547750</v>
      </c>
      <c r="AT180" s="230">
        <v>4795500</v>
      </c>
      <c r="AU180" s="229">
        <v>0.4153</v>
      </c>
      <c r="AV180" s="230">
        <v>14238750</v>
      </c>
      <c r="AW180" s="230">
        <v>10003500</v>
      </c>
      <c r="AX180" s="230">
        <v>4235250</v>
      </c>
      <c r="AY180" s="229">
        <v>0.4234</v>
      </c>
      <c r="AZ180" s="230">
        <v>1944750</v>
      </c>
      <c r="BA180" s="230">
        <v>1404000</v>
      </c>
      <c r="BB180" s="230">
        <v>540750</v>
      </c>
      <c r="BC180" s="229">
        <v>0.3851</v>
      </c>
      <c r="BD180" s="230">
        <v>159750</v>
      </c>
      <c r="BE180" s="230">
        <v>140250</v>
      </c>
      <c r="BF180" s="230">
        <v>19500</v>
      </c>
      <c r="BG180" s="229">
        <v>0.13900000000000001</v>
      </c>
      <c r="BH180" s="230">
        <v>67512000</v>
      </c>
      <c r="BI180" s="230">
        <v>65306250</v>
      </c>
      <c r="BJ180" s="230">
        <v>2205750</v>
      </c>
      <c r="BK180" s="229">
        <v>3.3799999999999997E-2</v>
      </c>
      <c r="BL180" s="230">
        <v>43639500</v>
      </c>
      <c r="BM180" s="230">
        <v>41356500</v>
      </c>
      <c r="BN180" s="230">
        <v>2283000</v>
      </c>
      <c r="BO180" s="229">
        <v>5.5199999999999999E-2</v>
      </c>
      <c r="BP180" s="230">
        <v>127494750</v>
      </c>
      <c r="BQ180" s="230">
        <v>118210500</v>
      </c>
      <c r="BR180" s="230">
        <v>9284250</v>
      </c>
      <c r="BS180" s="229">
        <v>7.85E-2</v>
      </c>
      <c r="BT180" s="230">
        <v>9566654</v>
      </c>
      <c r="BU180" s="230">
        <v>8833770</v>
      </c>
      <c r="BV180" s="230">
        <v>732884</v>
      </c>
      <c r="BW180" s="229">
        <v>8.3000000000000004E-2</v>
      </c>
      <c r="BX180" s="230">
        <v>88874250</v>
      </c>
      <c r="BY180" s="230">
        <v>90069750</v>
      </c>
      <c r="BZ180" s="230">
        <v>-1195500</v>
      </c>
      <c r="CA180" s="229">
        <v>-1.3299999999999999E-2</v>
      </c>
      <c r="CB180" s="230">
        <v>83890500</v>
      </c>
      <c r="CC180" s="230">
        <v>85671000</v>
      </c>
      <c r="CD180" s="230">
        <v>-1780500</v>
      </c>
      <c r="CE180" s="229">
        <v>-2.0799999999999999E-2</v>
      </c>
      <c r="CF180" s="230">
        <v>4545000</v>
      </c>
      <c r="CG180" s="230">
        <v>3966750</v>
      </c>
      <c r="CH180" s="230">
        <v>578250</v>
      </c>
      <c r="CI180" s="229">
        <v>0.14580000000000001</v>
      </c>
      <c r="CJ180" s="230">
        <v>438750</v>
      </c>
      <c r="CK180" s="230">
        <v>432000</v>
      </c>
      <c r="CL180" s="230">
        <v>6750</v>
      </c>
      <c r="CM180" s="229">
        <v>1.5599999999999999E-2</v>
      </c>
      <c r="CN180" s="230">
        <v>53025750</v>
      </c>
      <c r="CO180" s="230">
        <v>52584750</v>
      </c>
      <c r="CP180" s="230">
        <v>441000</v>
      </c>
      <c r="CQ180" s="229">
        <v>8.3999999999999995E-3</v>
      </c>
      <c r="CR180" s="230">
        <v>35006250</v>
      </c>
      <c r="CS180" s="230">
        <v>32405250</v>
      </c>
      <c r="CT180" s="230">
        <v>2601000</v>
      </c>
      <c r="CU180" s="229">
        <v>8.0299999999999996E-2</v>
      </c>
      <c r="CV180" s="230">
        <v>176906250</v>
      </c>
      <c r="CW180" s="230">
        <v>175059750</v>
      </c>
      <c r="CX180" s="230">
        <v>1846500</v>
      </c>
      <c r="CY180" s="229">
        <v>1.0500000000000001E-2</v>
      </c>
      <c r="CZ180" s="228">
        <v>17.190000000000001</v>
      </c>
      <c r="DA180" s="228">
        <v>17.399999999999999</v>
      </c>
      <c r="DB180" s="228">
        <v>-0.21</v>
      </c>
      <c r="DC180" s="228">
        <v>-0.21</v>
      </c>
      <c r="DD180" s="228">
        <v>26.24</v>
      </c>
      <c r="DE180" s="228">
        <v>26.31</v>
      </c>
      <c r="DF180" s="228">
        <v>-9.0500000000000007</v>
      </c>
      <c r="DG180" s="228">
        <v>-7.0000000000000007E-2</v>
      </c>
      <c r="DH180" s="228">
        <v>16.850000000000001</v>
      </c>
      <c r="DI180" s="228">
        <v>16.87</v>
      </c>
      <c r="DJ180" s="228">
        <v>-0.02</v>
      </c>
      <c r="DK180" s="228">
        <v>-0.02</v>
      </c>
      <c r="DL180" s="228">
        <v>17.71</v>
      </c>
      <c r="DM180" s="228">
        <v>18.239999999999998</v>
      </c>
      <c r="DN180" s="228">
        <v>-0.53</v>
      </c>
      <c r="DO180" s="228">
        <v>-0.53</v>
      </c>
      <c r="DP180" s="228">
        <v>0.66</v>
      </c>
      <c r="DQ180" s="228">
        <v>0.62</v>
      </c>
      <c r="DR180" s="228">
        <v>0.04</v>
      </c>
      <c r="DS180" s="229">
        <v>6.4500000000000002E-2</v>
      </c>
      <c r="DT180" s="228">
        <v>900</v>
      </c>
      <c r="DU180" s="228">
        <v>880</v>
      </c>
      <c r="DV180" s="228">
        <v>0.65</v>
      </c>
      <c r="DW180" s="228">
        <v>0.63</v>
      </c>
      <c r="DX180" s="228">
        <v>0.02</v>
      </c>
      <c r="DY180" s="229">
        <v>3.1699999999999999E-2</v>
      </c>
      <c r="DZ180" s="229">
        <v>5.6099999999999997E-2</v>
      </c>
      <c r="EA180" s="230">
        <v>4398750</v>
      </c>
      <c r="EB180" s="229">
        <v>5.4999999999999997E-3</v>
      </c>
      <c r="EC180" s="229">
        <v>5.6099999999999997E-2</v>
      </c>
      <c r="ED180" s="228">
        <v>4.72</v>
      </c>
      <c r="EE180" s="229">
        <v>5.3E-3</v>
      </c>
      <c r="EF180" s="230">
        <v>5178098</v>
      </c>
      <c r="EG180" s="230">
        <v>5100836</v>
      </c>
      <c r="EH180" s="229">
        <v>1.5100000000000001E-2</v>
      </c>
      <c r="EI180" s="229">
        <v>0.5413</v>
      </c>
      <c r="EJ180" s="231">
        <v>612715.46</v>
      </c>
      <c r="EK180" s="231">
        <v>383183.94</v>
      </c>
      <c r="EL180" s="231">
        <v>145329.17000000001</v>
      </c>
      <c r="EM180" s="231">
        <v>19537</v>
      </c>
      <c r="EN180" s="231">
        <v>1141228.57</v>
      </c>
      <c r="EO180" s="231">
        <v>1055065.47</v>
      </c>
      <c r="EP180" s="231">
        <v>86163.1</v>
      </c>
      <c r="EQ180" s="229">
        <v>8.1699999999999995E-2</v>
      </c>
      <c r="ER180" s="231">
        <v>478058</v>
      </c>
      <c r="ES180" s="231">
        <v>297950</v>
      </c>
      <c r="ET180" s="231">
        <v>789737</v>
      </c>
      <c r="EU180" s="231">
        <v>407307212</v>
      </c>
      <c r="EV180" s="231">
        <v>1565745</v>
      </c>
      <c r="EW180" s="231">
        <v>1548565</v>
      </c>
      <c r="EX180" s="231">
        <v>17180</v>
      </c>
      <c r="EY180" s="229">
        <v>1.11E-2</v>
      </c>
      <c r="EZ180" s="229">
        <v>0.43430000000000002</v>
      </c>
      <c r="FA180" s="227" t="s">
        <v>556</v>
      </c>
      <c r="FB180" s="161">
        <f t="shared" si="4"/>
        <v>0</v>
      </c>
    </row>
    <row r="181" spans="1:158" ht="17.25" thickBot="1" x14ac:dyDescent="0.3">
      <c r="A181" s="226">
        <v>45946</v>
      </c>
      <c r="B181" s="227" t="s">
        <v>157</v>
      </c>
      <c r="C181" s="227" t="s">
        <v>284</v>
      </c>
      <c r="D181" s="228">
        <v>25</v>
      </c>
      <c r="E181" s="231">
        <v>30120</v>
      </c>
      <c r="F181" s="231">
        <v>30040</v>
      </c>
      <c r="G181" s="228">
        <v>80</v>
      </c>
      <c r="H181" s="229">
        <v>2.7000000000000001E-3</v>
      </c>
      <c r="I181" s="231">
        <v>30010</v>
      </c>
      <c r="J181" s="231">
        <v>29940</v>
      </c>
      <c r="K181" s="228">
        <v>70</v>
      </c>
      <c r="L181" s="229">
        <v>2.3E-3</v>
      </c>
      <c r="M181" s="231">
        <v>30120</v>
      </c>
      <c r="N181" s="231">
        <v>30040</v>
      </c>
      <c r="O181" s="228">
        <v>80</v>
      </c>
      <c r="P181" s="229">
        <v>2.7000000000000001E-3</v>
      </c>
      <c r="Q181" s="231">
        <v>30160</v>
      </c>
      <c r="R181" s="231">
        <v>30070</v>
      </c>
      <c r="S181" s="228">
        <v>90</v>
      </c>
      <c r="T181" s="229">
        <v>3.0000000000000001E-3</v>
      </c>
      <c r="U181" s="231">
        <v>30170</v>
      </c>
      <c r="V181" s="231">
        <v>30170</v>
      </c>
      <c r="W181" s="228">
        <v>0</v>
      </c>
      <c r="X181" s="229">
        <v>0</v>
      </c>
      <c r="Y181" s="228">
        <v>110</v>
      </c>
      <c r="Z181" s="228">
        <v>100</v>
      </c>
      <c r="AA181" s="228">
        <v>10</v>
      </c>
      <c r="AB181" s="229">
        <v>3.7000000000000002E-3</v>
      </c>
      <c r="AC181" s="228">
        <v>110</v>
      </c>
      <c r="AD181" s="228">
        <v>100</v>
      </c>
      <c r="AE181" s="228">
        <v>10</v>
      </c>
      <c r="AF181" s="229">
        <v>3.7000000000000002E-3</v>
      </c>
      <c r="AG181" s="228">
        <v>150</v>
      </c>
      <c r="AH181" s="228">
        <v>130</v>
      </c>
      <c r="AI181" s="228">
        <v>20</v>
      </c>
      <c r="AJ181" s="229">
        <v>5.0000000000000001E-3</v>
      </c>
      <c r="AK181" s="228">
        <v>160</v>
      </c>
      <c r="AL181" s="228">
        <v>230</v>
      </c>
      <c r="AM181" s="228">
        <v>-70</v>
      </c>
      <c r="AN181" s="229">
        <v>5.3E-3</v>
      </c>
      <c r="AO181" s="231">
        <v>30202.35</v>
      </c>
      <c r="AP181" s="231">
        <v>30227.74</v>
      </c>
      <c r="AQ181" s="228">
        <v>0</v>
      </c>
      <c r="AR181" s="230">
        <v>24575</v>
      </c>
      <c r="AS181" s="230">
        <v>29100</v>
      </c>
      <c r="AT181" s="230">
        <v>-4525</v>
      </c>
      <c r="AU181" s="229">
        <v>-0.1555</v>
      </c>
      <c r="AV181" s="230">
        <v>23025</v>
      </c>
      <c r="AW181" s="230">
        <v>27250</v>
      </c>
      <c r="AX181" s="230">
        <v>-4225</v>
      </c>
      <c r="AY181" s="229">
        <v>-0.155</v>
      </c>
      <c r="AZ181" s="230">
        <v>1550</v>
      </c>
      <c r="BA181" s="230">
        <v>1675</v>
      </c>
      <c r="BB181" s="228">
        <v>-125</v>
      </c>
      <c r="BC181" s="229">
        <v>-7.46E-2</v>
      </c>
      <c r="BD181" s="228">
        <v>0</v>
      </c>
      <c r="BE181" s="228">
        <v>175</v>
      </c>
      <c r="BF181" s="228">
        <v>-175</v>
      </c>
      <c r="BG181" s="229">
        <v>-1</v>
      </c>
      <c r="BH181" s="230">
        <v>31125</v>
      </c>
      <c r="BI181" s="230">
        <v>69650</v>
      </c>
      <c r="BJ181" s="230">
        <v>-38525</v>
      </c>
      <c r="BK181" s="229">
        <v>-0.55310000000000004</v>
      </c>
      <c r="BL181" s="230">
        <v>41250</v>
      </c>
      <c r="BM181" s="230">
        <v>12600</v>
      </c>
      <c r="BN181" s="230">
        <v>28650</v>
      </c>
      <c r="BO181" s="229">
        <v>2.2738</v>
      </c>
      <c r="BP181" s="230">
        <v>96950</v>
      </c>
      <c r="BQ181" s="230">
        <v>111350</v>
      </c>
      <c r="BR181" s="230">
        <v>-14400</v>
      </c>
      <c r="BS181" s="229">
        <v>-0.1293</v>
      </c>
      <c r="BT181" s="230">
        <v>12614</v>
      </c>
      <c r="BU181" s="230">
        <v>15897</v>
      </c>
      <c r="BV181" s="230">
        <v>-3283</v>
      </c>
      <c r="BW181" s="229">
        <v>-0.20649999999999999</v>
      </c>
      <c r="BX181" s="230">
        <v>219850</v>
      </c>
      <c r="BY181" s="230">
        <v>220200</v>
      </c>
      <c r="BZ181" s="228">
        <v>-350</v>
      </c>
      <c r="CA181" s="229">
        <v>-1.6000000000000001E-3</v>
      </c>
      <c r="CB181" s="230">
        <v>217425</v>
      </c>
      <c r="CC181" s="230">
        <v>218100</v>
      </c>
      <c r="CD181" s="228">
        <v>-675</v>
      </c>
      <c r="CE181" s="229">
        <v>-3.0999999999999999E-3</v>
      </c>
      <c r="CF181" s="230">
        <v>2250</v>
      </c>
      <c r="CG181" s="230">
        <v>1925</v>
      </c>
      <c r="CH181" s="228">
        <v>325</v>
      </c>
      <c r="CI181" s="229">
        <v>0.16880000000000001</v>
      </c>
      <c r="CJ181" s="228">
        <v>175</v>
      </c>
      <c r="CK181" s="228">
        <v>175</v>
      </c>
      <c r="CL181" s="228">
        <v>0</v>
      </c>
      <c r="CM181" s="229">
        <v>0</v>
      </c>
      <c r="CN181" s="230">
        <v>30800</v>
      </c>
      <c r="CO181" s="230">
        <v>32175</v>
      </c>
      <c r="CP181" s="230">
        <v>-1375</v>
      </c>
      <c r="CQ181" s="229">
        <v>-4.2700000000000002E-2</v>
      </c>
      <c r="CR181" s="230">
        <v>27000</v>
      </c>
      <c r="CS181" s="230">
        <v>23375</v>
      </c>
      <c r="CT181" s="230">
        <v>3625</v>
      </c>
      <c r="CU181" s="229">
        <v>0.15509999999999999</v>
      </c>
      <c r="CV181" s="230">
        <v>277650</v>
      </c>
      <c r="CW181" s="230">
        <v>275750</v>
      </c>
      <c r="CX181" s="230">
        <v>1900</v>
      </c>
      <c r="CY181" s="229">
        <v>6.8999999999999999E-3</v>
      </c>
      <c r="CZ181" s="228">
        <v>21.14</v>
      </c>
      <c r="DA181" s="228">
        <v>21.23</v>
      </c>
      <c r="DB181" s="228">
        <v>-0.09</v>
      </c>
      <c r="DC181" s="228">
        <v>-0.09</v>
      </c>
      <c r="DD181" s="228">
        <v>25.76</v>
      </c>
      <c r="DE181" s="228">
        <v>25.82</v>
      </c>
      <c r="DF181" s="228">
        <v>-4.62</v>
      </c>
      <c r="DG181" s="228">
        <v>-0.06</v>
      </c>
      <c r="DH181" s="228">
        <v>20.12</v>
      </c>
      <c r="DI181" s="228">
        <v>20.91</v>
      </c>
      <c r="DJ181" s="228">
        <v>-0.79</v>
      </c>
      <c r="DK181" s="228">
        <v>-0.79</v>
      </c>
      <c r="DL181" s="228">
        <v>21.91</v>
      </c>
      <c r="DM181" s="228">
        <v>22.99</v>
      </c>
      <c r="DN181" s="228">
        <v>-1.08</v>
      </c>
      <c r="DO181" s="228">
        <v>-1.08</v>
      </c>
      <c r="DP181" s="228">
        <v>0.88</v>
      </c>
      <c r="DQ181" s="228">
        <v>0.73</v>
      </c>
      <c r="DR181" s="228">
        <v>0.15</v>
      </c>
      <c r="DS181" s="229">
        <v>0.20549999999999999</v>
      </c>
      <c r="DT181" s="231">
        <v>31000</v>
      </c>
      <c r="DU181" s="231">
        <v>30000</v>
      </c>
      <c r="DV181" s="228">
        <v>1.33</v>
      </c>
      <c r="DW181" s="228">
        <v>0.18</v>
      </c>
      <c r="DX181" s="228">
        <v>1.1499999999999999</v>
      </c>
      <c r="DY181" s="229">
        <v>6.3888999999999996</v>
      </c>
      <c r="DZ181" s="229">
        <v>1.0999999999999999E-2</v>
      </c>
      <c r="EA181" s="230">
        <v>2100</v>
      </c>
      <c r="EB181" s="229">
        <v>1.2999999999999999E-3</v>
      </c>
      <c r="EC181" s="229">
        <v>1.0999999999999999E-2</v>
      </c>
      <c r="ED181" s="228">
        <v>25.39</v>
      </c>
      <c r="EE181" s="229">
        <v>8.0000000000000004E-4</v>
      </c>
      <c r="EF181" s="230">
        <v>6593</v>
      </c>
      <c r="EG181" s="230">
        <v>8240</v>
      </c>
      <c r="EH181" s="229">
        <v>-0.19989999999999999</v>
      </c>
      <c r="EI181" s="229">
        <v>0.52270000000000005</v>
      </c>
      <c r="EJ181" s="231">
        <v>9590.59</v>
      </c>
      <c r="EK181" s="231">
        <v>12608.26</v>
      </c>
      <c r="EL181" s="231">
        <v>7422.62</v>
      </c>
      <c r="EM181" s="228">
        <v>873</v>
      </c>
      <c r="EN181" s="231">
        <v>29621.47</v>
      </c>
      <c r="EO181" s="231">
        <v>33840.300000000003</v>
      </c>
      <c r="EP181" s="231">
        <v>-4218.83</v>
      </c>
      <c r="EQ181" s="229">
        <v>-0.12470000000000001</v>
      </c>
      <c r="ER181" s="231">
        <v>9397</v>
      </c>
      <c r="ES181" s="231">
        <v>7894</v>
      </c>
      <c r="ET181" s="231">
        <v>66220</v>
      </c>
      <c r="EU181" s="231">
        <v>1548028</v>
      </c>
      <c r="EV181" s="231">
        <v>83510</v>
      </c>
      <c r="EW181" s="231">
        <v>82744</v>
      </c>
      <c r="EX181" s="228">
        <v>766</v>
      </c>
      <c r="EY181" s="229">
        <v>9.2999999999999992E-3</v>
      </c>
      <c r="EZ181" s="229">
        <v>0.1794</v>
      </c>
      <c r="FA181" s="227" t="s">
        <v>556</v>
      </c>
      <c r="FB181" s="161">
        <f t="shared" si="4"/>
        <v>0</v>
      </c>
    </row>
    <row r="182" spans="1:158" ht="17.25" thickBot="1" x14ac:dyDescent="0.3">
      <c r="A182" s="226">
        <v>45946</v>
      </c>
      <c r="B182" s="227" t="s">
        <v>175</v>
      </c>
      <c r="C182" s="227" t="s">
        <v>562</v>
      </c>
      <c r="D182" s="228">
        <v>825</v>
      </c>
      <c r="E182" s="228">
        <v>673.45</v>
      </c>
      <c r="F182" s="228">
        <v>679.65</v>
      </c>
      <c r="G182" s="228">
        <v>-6.2</v>
      </c>
      <c r="H182" s="229">
        <v>-9.1000000000000004E-3</v>
      </c>
      <c r="I182" s="228">
        <v>672.5</v>
      </c>
      <c r="J182" s="228">
        <v>677.15</v>
      </c>
      <c r="K182" s="228">
        <v>-4.6500000000000004</v>
      </c>
      <c r="L182" s="229">
        <v>-6.8999999999999999E-3</v>
      </c>
      <c r="M182" s="228">
        <v>673.45</v>
      </c>
      <c r="N182" s="228">
        <v>679.65</v>
      </c>
      <c r="O182" s="228">
        <v>-6.2</v>
      </c>
      <c r="P182" s="229">
        <v>-9.1000000000000004E-3</v>
      </c>
      <c r="Q182" s="228">
        <v>672.95</v>
      </c>
      <c r="R182" s="228">
        <v>679.5</v>
      </c>
      <c r="S182" s="228">
        <v>-6.55</v>
      </c>
      <c r="T182" s="229">
        <v>-9.5999999999999992E-3</v>
      </c>
      <c r="U182" s="228">
        <v>677.5</v>
      </c>
      <c r="V182" s="228">
        <v>684.25</v>
      </c>
      <c r="W182" s="228">
        <v>-6.75</v>
      </c>
      <c r="X182" s="229">
        <v>-9.9000000000000008E-3</v>
      </c>
      <c r="Y182" s="228">
        <v>0.95</v>
      </c>
      <c r="Z182" s="228">
        <v>2.5</v>
      </c>
      <c r="AA182" s="228">
        <v>-1.55</v>
      </c>
      <c r="AB182" s="229">
        <v>1.4E-3</v>
      </c>
      <c r="AC182" s="228">
        <v>0.95</v>
      </c>
      <c r="AD182" s="228">
        <v>2.5</v>
      </c>
      <c r="AE182" s="228">
        <v>-1.55</v>
      </c>
      <c r="AF182" s="229">
        <v>1.4E-3</v>
      </c>
      <c r="AG182" s="228">
        <v>0.45</v>
      </c>
      <c r="AH182" s="228">
        <v>2.35</v>
      </c>
      <c r="AI182" s="228">
        <v>-1.9</v>
      </c>
      <c r="AJ182" s="229">
        <v>6.9999999999999999E-4</v>
      </c>
      <c r="AK182" s="228">
        <v>5</v>
      </c>
      <c r="AL182" s="228">
        <v>7.1</v>
      </c>
      <c r="AM182" s="228">
        <v>-2.1</v>
      </c>
      <c r="AN182" s="229">
        <v>7.4000000000000003E-3</v>
      </c>
      <c r="AO182" s="228">
        <v>670.3</v>
      </c>
      <c r="AP182" s="228">
        <v>669.4</v>
      </c>
      <c r="AQ182" s="228">
        <v>0</v>
      </c>
      <c r="AR182" s="230">
        <v>8479350</v>
      </c>
      <c r="AS182" s="230">
        <v>7953825</v>
      </c>
      <c r="AT182" s="230">
        <v>525525</v>
      </c>
      <c r="AU182" s="229">
        <v>6.6100000000000006E-2</v>
      </c>
      <c r="AV182" s="230">
        <v>7288050</v>
      </c>
      <c r="AW182" s="230">
        <v>7106550</v>
      </c>
      <c r="AX182" s="230">
        <v>181500</v>
      </c>
      <c r="AY182" s="229">
        <v>2.5499999999999998E-2</v>
      </c>
      <c r="AZ182" s="230">
        <v>1106325</v>
      </c>
      <c r="BA182" s="230">
        <v>793650</v>
      </c>
      <c r="BB182" s="230">
        <v>312675</v>
      </c>
      <c r="BC182" s="229">
        <v>0.39400000000000002</v>
      </c>
      <c r="BD182" s="230">
        <v>84975</v>
      </c>
      <c r="BE182" s="230">
        <v>53625</v>
      </c>
      <c r="BF182" s="230">
        <v>31350</v>
      </c>
      <c r="BG182" s="229">
        <v>0.58460000000000001</v>
      </c>
      <c r="BH182" s="230">
        <v>18800925</v>
      </c>
      <c r="BI182" s="230">
        <v>21388125</v>
      </c>
      <c r="BJ182" s="230">
        <v>-2587200</v>
      </c>
      <c r="BK182" s="229">
        <v>-0.121</v>
      </c>
      <c r="BL182" s="230">
        <v>8405925</v>
      </c>
      <c r="BM182" s="230">
        <v>11387475</v>
      </c>
      <c r="BN182" s="230">
        <v>-2981550</v>
      </c>
      <c r="BO182" s="229">
        <v>-0.26179999999999998</v>
      </c>
      <c r="BP182" s="230">
        <v>35686200</v>
      </c>
      <c r="BQ182" s="230">
        <v>40729425</v>
      </c>
      <c r="BR182" s="230">
        <v>-5043225</v>
      </c>
      <c r="BS182" s="229">
        <v>-0.12379999999999999</v>
      </c>
      <c r="BT182" s="230">
        <v>5585775</v>
      </c>
      <c r="BU182" s="230">
        <v>4784028</v>
      </c>
      <c r="BV182" s="230">
        <v>801747</v>
      </c>
      <c r="BW182" s="229">
        <v>0.1676</v>
      </c>
      <c r="BX182" s="230">
        <v>49462875</v>
      </c>
      <c r="BY182" s="230">
        <v>49711200</v>
      </c>
      <c r="BZ182" s="230">
        <v>-248325</v>
      </c>
      <c r="CA182" s="229">
        <v>-5.0000000000000001E-3</v>
      </c>
      <c r="CB182" s="230">
        <v>47109150</v>
      </c>
      <c r="CC182" s="230">
        <v>47897025</v>
      </c>
      <c r="CD182" s="230">
        <v>-787875</v>
      </c>
      <c r="CE182" s="229">
        <v>-1.6400000000000001E-2</v>
      </c>
      <c r="CF182" s="230">
        <v>2118600</v>
      </c>
      <c r="CG182" s="230">
        <v>1617000</v>
      </c>
      <c r="CH182" s="230">
        <v>501600</v>
      </c>
      <c r="CI182" s="229">
        <v>0.31019999999999998</v>
      </c>
      <c r="CJ182" s="230">
        <v>235125</v>
      </c>
      <c r="CK182" s="230">
        <v>197175</v>
      </c>
      <c r="CL182" s="230">
        <v>37950</v>
      </c>
      <c r="CM182" s="229">
        <v>0.1925</v>
      </c>
      <c r="CN182" s="230">
        <v>9180600</v>
      </c>
      <c r="CO182" s="230">
        <v>8302800</v>
      </c>
      <c r="CP182" s="230">
        <v>877800</v>
      </c>
      <c r="CQ182" s="229">
        <v>0.1057</v>
      </c>
      <c r="CR182" s="230">
        <v>6967950</v>
      </c>
      <c r="CS182" s="230">
        <v>6833475</v>
      </c>
      <c r="CT182" s="230">
        <v>134475</v>
      </c>
      <c r="CU182" s="229">
        <v>1.9699999999999999E-2</v>
      </c>
      <c r="CV182" s="230">
        <v>65611425</v>
      </c>
      <c r="CW182" s="230">
        <v>64847475</v>
      </c>
      <c r="CX182" s="230">
        <v>763950</v>
      </c>
      <c r="CY182" s="229">
        <v>1.18E-2</v>
      </c>
      <c r="CZ182" s="228">
        <v>28.26</v>
      </c>
      <c r="DA182" s="228">
        <v>29.17</v>
      </c>
      <c r="DB182" s="228">
        <v>-0.91</v>
      </c>
      <c r="DC182" s="228">
        <v>-0.91</v>
      </c>
      <c r="DD182" s="228">
        <v>40.630000000000003</v>
      </c>
      <c r="DE182" s="228">
        <v>40.72</v>
      </c>
      <c r="DF182" s="228">
        <v>-12.37</v>
      </c>
      <c r="DG182" s="228">
        <v>-0.09</v>
      </c>
      <c r="DH182" s="228">
        <v>27.99</v>
      </c>
      <c r="DI182" s="228">
        <v>28.48</v>
      </c>
      <c r="DJ182" s="228">
        <v>-0.49</v>
      </c>
      <c r="DK182" s="228">
        <v>-0.49</v>
      </c>
      <c r="DL182" s="228">
        <v>28.86</v>
      </c>
      <c r="DM182" s="228">
        <v>30.47</v>
      </c>
      <c r="DN182" s="228">
        <v>-1.61</v>
      </c>
      <c r="DO182" s="228">
        <v>-1.61</v>
      </c>
      <c r="DP182" s="228">
        <v>0.76</v>
      </c>
      <c r="DQ182" s="228">
        <v>0.82</v>
      </c>
      <c r="DR182" s="228">
        <v>-0.06</v>
      </c>
      <c r="DS182" s="229">
        <v>-7.3200000000000001E-2</v>
      </c>
      <c r="DT182" s="228">
        <v>680</v>
      </c>
      <c r="DU182" s="228">
        <v>660</v>
      </c>
      <c r="DV182" s="228">
        <v>0.45</v>
      </c>
      <c r="DW182" s="228">
        <v>0.53</v>
      </c>
      <c r="DX182" s="228">
        <v>-0.08</v>
      </c>
      <c r="DY182" s="229">
        <v>-0.15090000000000001</v>
      </c>
      <c r="DZ182" s="229">
        <v>4.7600000000000003E-2</v>
      </c>
      <c r="EA182" s="230">
        <v>1814175</v>
      </c>
      <c r="EB182" s="229">
        <v>-6.9999999999999999E-4</v>
      </c>
      <c r="EC182" s="229">
        <v>4.7600000000000003E-2</v>
      </c>
      <c r="ED182" s="228">
        <v>-0.9</v>
      </c>
      <c r="EE182" s="229">
        <v>-1.2999999999999999E-3</v>
      </c>
      <c r="EF182" s="230">
        <v>2872134</v>
      </c>
      <c r="EG182" s="230">
        <v>2846670</v>
      </c>
      <c r="EH182" s="229">
        <v>8.8999999999999999E-3</v>
      </c>
      <c r="EI182" s="229">
        <v>0.51419999999999999</v>
      </c>
      <c r="EJ182" s="231">
        <v>130786.99</v>
      </c>
      <c r="EK182" s="231">
        <v>55624.67</v>
      </c>
      <c r="EL182" s="231">
        <v>56829.42</v>
      </c>
      <c r="EM182" s="231">
        <v>5722</v>
      </c>
      <c r="EN182" s="231">
        <v>243241.08</v>
      </c>
      <c r="EO182" s="231">
        <v>280157.74</v>
      </c>
      <c r="EP182" s="231">
        <v>-36916.660000000003</v>
      </c>
      <c r="EQ182" s="229">
        <v>-0.1318</v>
      </c>
      <c r="ER182" s="231">
        <v>63039</v>
      </c>
      <c r="ES182" s="231">
        <v>44173</v>
      </c>
      <c r="ET182" s="231">
        <v>333107</v>
      </c>
      <c r="EU182" s="231">
        <v>210459276</v>
      </c>
      <c r="EV182" s="231">
        <v>440319</v>
      </c>
      <c r="EW182" s="231">
        <v>438237</v>
      </c>
      <c r="EX182" s="231">
        <v>2082</v>
      </c>
      <c r="EY182" s="229">
        <v>4.7999999999999996E-3</v>
      </c>
      <c r="EZ182" s="229">
        <v>0.31180000000000002</v>
      </c>
      <c r="FA182" s="227" t="s">
        <v>568</v>
      </c>
      <c r="FB182" s="161">
        <f t="shared" si="4"/>
        <v>0</v>
      </c>
    </row>
    <row r="183" spans="1:158" ht="17.25" thickBot="1" x14ac:dyDescent="0.3">
      <c r="A183" s="226">
        <v>45946</v>
      </c>
      <c r="B183" s="227" t="s">
        <v>184</v>
      </c>
      <c r="C183" s="227" t="s">
        <v>285</v>
      </c>
      <c r="D183" s="228">
        <v>125</v>
      </c>
      <c r="E183" s="231">
        <v>3118.7</v>
      </c>
      <c r="F183" s="231">
        <v>3124.6</v>
      </c>
      <c r="G183" s="228">
        <v>-5.9</v>
      </c>
      <c r="H183" s="229">
        <v>-1.9E-3</v>
      </c>
      <c r="I183" s="231">
        <v>3119</v>
      </c>
      <c r="J183" s="231">
        <v>3118.6</v>
      </c>
      <c r="K183" s="228">
        <v>0.4</v>
      </c>
      <c r="L183" s="229">
        <v>1E-4</v>
      </c>
      <c r="M183" s="231">
        <v>3118.7</v>
      </c>
      <c r="N183" s="231">
        <v>3124.6</v>
      </c>
      <c r="O183" s="228">
        <v>-5.9</v>
      </c>
      <c r="P183" s="229">
        <v>-1.9E-3</v>
      </c>
      <c r="Q183" s="231">
        <v>3135.1</v>
      </c>
      <c r="R183" s="231">
        <v>3143.4</v>
      </c>
      <c r="S183" s="228">
        <v>-8.3000000000000007</v>
      </c>
      <c r="T183" s="229">
        <v>-2.5999999999999999E-3</v>
      </c>
      <c r="U183" s="231">
        <v>3154.7</v>
      </c>
      <c r="V183" s="231">
        <v>3162</v>
      </c>
      <c r="W183" s="228">
        <v>-7.3</v>
      </c>
      <c r="X183" s="229">
        <v>-2.3E-3</v>
      </c>
      <c r="Y183" s="228">
        <v>-0.3</v>
      </c>
      <c r="Z183" s="228">
        <v>6</v>
      </c>
      <c r="AA183" s="228">
        <v>-6.3</v>
      </c>
      <c r="AB183" s="229">
        <v>-1E-4</v>
      </c>
      <c r="AC183" s="228">
        <v>-0.3</v>
      </c>
      <c r="AD183" s="228">
        <v>6</v>
      </c>
      <c r="AE183" s="228">
        <v>-6.3</v>
      </c>
      <c r="AF183" s="229">
        <v>-1E-4</v>
      </c>
      <c r="AG183" s="228">
        <v>16.100000000000001</v>
      </c>
      <c r="AH183" s="228">
        <v>24.8</v>
      </c>
      <c r="AI183" s="228">
        <v>-8.6999999999999993</v>
      </c>
      <c r="AJ183" s="229">
        <v>5.1999999999999998E-3</v>
      </c>
      <c r="AK183" s="228">
        <v>35.700000000000003</v>
      </c>
      <c r="AL183" s="228">
        <v>43.4</v>
      </c>
      <c r="AM183" s="228">
        <v>-7.7</v>
      </c>
      <c r="AN183" s="229">
        <v>1.14E-2</v>
      </c>
      <c r="AO183" s="231">
        <v>3123.77</v>
      </c>
      <c r="AP183" s="231">
        <v>3138.43</v>
      </c>
      <c r="AQ183" s="228">
        <v>0</v>
      </c>
      <c r="AR183" s="230">
        <v>739250</v>
      </c>
      <c r="AS183" s="230">
        <v>437125</v>
      </c>
      <c r="AT183" s="230">
        <v>302125</v>
      </c>
      <c r="AU183" s="229">
        <v>0.69120000000000004</v>
      </c>
      <c r="AV183" s="230">
        <v>656125</v>
      </c>
      <c r="AW183" s="230">
        <v>393250</v>
      </c>
      <c r="AX183" s="230">
        <v>262875</v>
      </c>
      <c r="AY183" s="229">
        <v>0.66849999999999998</v>
      </c>
      <c r="AZ183" s="230">
        <v>80250</v>
      </c>
      <c r="BA183" s="230">
        <v>38750</v>
      </c>
      <c r="BB183" s="230">
        <v>41500</v>
      </c>
      <c r="BC183" s="229">
        <v>1.071</v>
      </c>
      <c r="BD183" s="230">
        <v>2875</v>
      </c>
      <c r="BE183" s="230">
        <v>5125</v>
      </c>
      <c r="BF183" s="230">
        <v>-2250</v>
      </c>
      <c r="BG183" s="229">
        <v>-0.439</v>
      </c>
      <c r="BH183" s="230">
        <v>1612750</v>
      </c>
      <c r="BI183" s="230">
        <v>1721125</v>
      </c>
      <c r="BJ183" s="230">
        <v>-108375</v>
      </c>
      <c r="BK183" s="229">
        <v>-6.3E-2</v>
      </c>
      <c r="BL183" s="230">
        <v>730750</v>
      </c>
      <c r="BM183" s="230">
        <v>528125</v>
      </c>
      <c r="BN183" s="230">
        <v>202625</v>
      </c>
      <c r="BO183" s="229">
        <v>0.38369999999999999</v>
      </c>
      <c r="BP183" s="230">
        <v>3082750</v>
      </c>
      <c r="BQ183" s="230">
        <v>2686375</v>
      </c>
      <c r="BR183" s="230">
        <v>396375</v>
      </c>
      <c r="BS183" s="229">
        <v>0.14760000000000001</v>
      </c>
      <c r="BT183" s="230">
        <v>433722</v>
      </c>
      <c r="BU183" s="230">
        <v>214929</v>
      </c>
      <c r="BV183" s="230">
        <v>218793</v>
      </c>
      <c r="BW183" s="229">
        <v>1.018</v>
      </c>
      <c r="BX183" s="230">
        <v>2277875</v>
      </c>
      <c r="BY183" s="230">
        <v>2174375</v>
      </c>
      <c r="BZ183" s="230">
        <v>103500</v>
      </c>
      <c r="CA183" s="229">
        <v>4.7600000000000003E-2</v>
      </c>
      <c r="CB183" s="230">
        <v>2133625</v>
      </c>
      <c r="CC183" s="230">
        <v>2069250</v>
      </c>
      <c r="CD183" s="230">
        <v>64375</v>
      </c>
      <c r="CE183" s="229">
        <v>3.1099999999999999E-2</v>
      </c>
      <c r="CF183" s="230">
        <v>129250</v>
      </c>
      <c r="CG183" s="230">
        <v>91250</v>
      </c>
      <c r="CH183" s="230">
        <v>38000</v>
      </c>
      <c r="CI183" s="229">
        <v>0.41639999999999999</v>
      </c>
      <c r="CJ183" s="230">
        <v>15000</v>
      </c>
      <c r="CK183" s="230">
        <v>13875</v>
      </c>
      <c r="CL183" s="230">
        <v>1125</v>
      </c>
      <c r="CM183" s="229">
        <v>8.1100000000000005E-2</v>
      </c>
      <c r="CN183" s="230">
        <v>1599875</v>
      </c>
      <c r="CO183" s="230">
        <v>1503625</v>
      </c>
      <c r="CP183" s="230">
        <v>96250</v>
      </c>
      <c r="CQ183" s="229">
        <v>6.4000000000000001E-2</v>
      </c>
      <c r="CR183" s="230">
        <v>629250</v>
      </c>
      <c r="CS183" s="230">
        <v>642250</v>
      </c>
      <c r="CT183" s="230">
        <v>-13000</v>
      </c>
      <c r="CU183" s="229">
        <v>-2.0199999999999999E-2</v>
      </c>
      <c r="CV183" s="230">
        <v>4507000</v>
      </c>
      <c r="CW183" s="230">
        <v>4320250</v>
      </c>
      <c r="CX183" s="230">
        <v>186750</v>
      </c>
      <c r="CY183" s="229">
        <v>4.3200000000000002E-2</v>
      </c>
      <c r="CZ183" s="228">
        <v>27.07</v>
      </c>
      <c r="DA183" s="228">
        <v>26.68</v>
      </c>
      <c r="DB183" s="228">
        <v>0.39</v>
      </c>
      <c r="DC183" s="228">
        <v>0.39</v>
      </c>
      <c r="DD183" s="228">
        <v>39.74</v>
      </c>
      <c r="DE183" s="228">
        <v>39.840000000000003</v>
      </c>
      <c r="DF183" s="228">
        <v>-12.67</v>
      </c>
      <c r="DG183" s="228">
        <v>-0.1</v>
      </c>
      <c r="DH183" s="228">
        <v>27.26</v>
      </c>
      <c r="DI183" s="228">
        <v>26.65</v>
      </c>
      <c r="DJ183" s="228">
        <v>0.61</v>
      </c>
      <c r="DK183" s="228">
        <v>0.61</v>
      </c>
      <c r="DL183" s="228">
        <v>26.64</v>
      </c>
      <c r="DM183" s="228">
        <v>26.76</v>
      </c>
      <c r="DN183" s="228">
        <v>-0.12</v>
      </c>
      <c r="DO183" s="228">
        <v>-0.12</v>
      </c>
      <c r="DP183" s="228">
        <v>0.39</v>
      </c>
      <c r="DQ183" s="228">
        <v>0.43</v>
      </c>
      <c r="DR183" s="228">
        <v>-0.04</v>
      </c>
      <c r="DS183" s="229">
        <v>-9.2999999999999999E-2</v>
      </c>
      <c r="DT183" s="231">
        <v>3300</v>
      </c>
      <c r="DU183" s="231">
        <v>3100</v>
      </c>
      <c r="DV183" s="228">
        <v>0.45</v>
      </c>
      <c r="DW183" s="228">
        <v>0.31</v>
      </c>
      <c r="DX183" s="228">
        <v>0.14000000000000001</v>
      </c>
      <c r="DY183" s="229">
        <v>0.4516</v>
      </c>
      <c r="DZ183" s="229">
        <v>6.3299999999999995E-2</v>
      </c>
      <c r="EA183" s="230">
        <v>105125</v>
      </c>
      <c r="EB183" s="229">
        <v>5.3E-3</v>
      </c>
      <c r="EC183" s="229">
        <v>6.3299999999999995E-2</v>
      </c>
      <c r="ED183" s="228">
        <v>14.66</v>
      </c>
      <c r="EE183" s="229">
        <v>4.7000000000000002E-3</v>
      </c>
      <c r="EF183" s="230">
        <v>256626</v>
      </c>
      <c r="EG183" s="230">
        <v>94902</v>
      </c>
      <c r="EH183" s="229">
        <v>1.7040999999999999</v>
      </c>
      <c r="EI183" s="229">
        <v>0.5917</v>
      </c>
      <c r="EJ183" s="231">
        <v>52432.6</v>
      </c>
      <c r="EK183" s="231">
        <v>22581.759999999998</v>
      </c>
      <c r="EL183" s="231">
        <v>23105.22</v>
      </c>
      <c r="EM183" s="231">
        <v>5010</v>
      </c>
      <c r="EN183" s="231">
        <v>98119.58</v>
      </c>
      <c r="EO183" s="231">
        <v>86009.14</v>
      </c>
      <c r="EP183" s="231">
        <v>12110.44</v>
      </c>
      <c r="EQ183" s="229">
        <v>0.14080000000000001</v>
      </c>
      <c r="ER183" s="231">
        <v>52697</v>
      </c>
      <c r="ES183" s="231">
        <v>19209</v>
      </c>
      <c r="ET183" s="231">
        <v>71067</v>
      </c>
      <c r="EU183" s="231">
        <v>13354588</v>
      </c>
      <c r="EV183" s="231">
        <v>142973</v>
      </c>
      <c r="EW183" s="231">
        <v>137154</v>
      </c>
      <c r="EX183" s="231">
        <v>5819</v>
      </c>
      <c r="EY183" s="229">
        <v>4.24E-2</v>
      </c>
      <c r="EZ183" s="229">
        <v>0.33750000000000002</v>
      </c>
      <c r="FA183" s="227" t="s">
        <v>567</v>
      </c>
      <c r="FB183" s="161">
        <f t="shared" si="4"/>
        <v>0</v>
      </c>
    </row>
    <row r="184" spans="1:158" ht="17.25" thickBot="1" x14ac:dyDescent="0.3">
      <c r="A184" s="226">
        <v>45946</v>
      </c>
      <c r="B184" s="227" t="s">
        <v>498</v>
      </c>
      <c r="C184" s="227" t="s">
        <v>646</v>
      </c>
      <c r="D184" s="228">
        <v>75</v>
      </c>
      <c r="E184" s="231">
        <v>14093</v>
      </c>
      <c r="F184" s="231">
        <v>14111</v>
      </c>
      <c r="G184" s="228">
        <v>-18</v>
      </c>
      <c r="H184" s="229">
        <v>-1.2999999999999999E-3</v>
      </c>
      <c r="I184" s="231">
        <v>14035</v>
      </c>
      <c r="J184" s="231">
        <v>14052</v>
      </c>
      <c r="K184" s="228">
        <v>-17</v>
      </c>
      <c r="L184" s="229">
        <v>-1.1999999999999999E-3</v>
      </c>
      <c r="M184" s="231">
        <v>14093</v>
      </c>
      <c r="N184" s="231">
        <v>14111</v>
      </c>
      <c r="O184" s="228">
        <v>-18</v>
      </c>
      <c r="P184" s="229">
        <v>-1.2999999999999999E-3</v>
      </c>
      <c r="Q184" s="231">
        <v>14169</v>
      </c>
      <c r="R184" s="231">
        <v>14185</v>
      </c>
      <c r="S184" s="228">
        <v>-16</v>
      </c>
      <c r="T184" s="229">
        <v>-1.1000000000000001E-3</v>
      </c>
      <c r="U184" s="231">
        <v>14265</v>
      </c>
      <c r="V184" s="231">
        <v>14194</v>
      </c>
      <c r="W184" s="228">
        <v>71</v>
      </c>
      <c r="X184" s="229">
        <v>5.0000000000000001E-3</v>
      </c>
      <c r="Y184" s="228">
        <v>58</v>
      </c>
      <c r="Z184" s="228">
        <v>59</v>
      </c>
      <c r="AA184" s="228">
        <v>-1</v>
      </c>
      <c r="AB184" s="229">
        <v>4.1000000000000003E-3</v>
      </c>
      <c r="AC184" s="228">
        <v>58</v>
      </c>
      <c r="AD184" s="228">
        <v>59</v>
      </c>
      <c r="AE184" s="228">
        <v>-1</v>
      </c>
      <c r="AF184" s="229">
        <v>4.1000000000000003E-3</v>
      </c>
      <c r="AG184" s="228">
        <v>134</v>
      </c>
      <c r="AH184" s="228">
        <v>133</v>
      </c>
      <c r="AI184" s="228">
        <v>1</v>
      </c>
      <c r="AJ184" s="229">
        <v>9.4999999999999998E-3</v>
      </c>
      <c r="AK184" s="228">
        <v>230</v>
      </c>
      <c r="AL184" s="228">
        <v>142</v>
      </c>
      <c r="AM184" s="228">
        <v>88</v>
      </c>
      <c r="AN184" s="229">
        <v>1.6400000000000001E-2</v>
      </c>
      <c r="AO184" s="231">
        <v>14106.75</v>
      </c>
      <c r="AP184" s="231">
        <v>14176.67</v>
      </c>
      <c r="AQ184" s="228">
        <v>0</v>
      </c>
      <c r="AR184" s="230">
        <v>113925</v>
      </c>
      <c r="AS184" s="230">
        <v>103050</v>
      </c>
      <c r="AT184" s="230">
        <v>10875</v>
      </c>
      <c r="AU184" s="229">
        <v>0.1055</v>
      </c>
      <c r="AV184" s="230">
        <v>98250</v>
      </c>
      <c r="AW184" s="230">
        <v>92925</v>
      </c>
      <c r="AX184" s="230">
        <v>5325</v>
      </c>
      <c r="AY184" s="229">
        <v>5.7299999999999997E-2</v>
      </c>
      <c r="AZ184" s="230">
        <v>15000</v>
      </c>
      <c r="BA184" s="230">
        <v>9975</v>
      </c>
      <c r="BB184" s="230">
        <v>5025</v>
      </c>
      <c r="BC184" s="229">
        <v>0.50380000000000003</v>
      </c>
      <c r="BD184" s="228">
        <v>675</v>
      </c>
      <c r="BE184" s="228">
        <v>150</v>
      </c>
      <c r="BF184" s="228">
        <v>525</v>
      </c>
      <c r="BG184" s="229">
        <v>3.5</v>
      </c>
      <c r="BH184" s="230">
        <v>359700</v>
      </c>
      <c r="BI184" s="230">
        <v>418650</v>
      </c>
      <c r="BJ184" s="230">
        <v>-58950</v>
      </c>
      <c r="BK184" s="229">
        <v>-0.14080000000000001</v>
      </c>
      <c r="BL184" s="230">
        <v>67950</v>
      </c>
      <c r="BM184" s="230">
        <v>141525</v>
      </c>
      <c r="BN184" s="230">
        <v>-73575</v>
      </c>
      <c r="BO184" s="229">
        <v>-0.51990000000000003</v>
      </c>
      <c r="BP184" s="230">
        <v>541575</v>
      </c>
      <c r="BQ184" s="230">
        <v>663225</v>
      </c>
      <c r="BR184" s="230">
        <v>-121650</v>
      </c>
      <c r="BS184" s="229">
        <v>-0.18340000000000001</v>
      </c>
      <c r="BT184" s="230">
        <v>82326</v>
      </c>
      <c r="BU184" s="230">
        <v>62457</v>
      </c>
      <c r="BV184" s="230">
        <v>19869</v>
      </c>
      <c r="BW184" s="229">
        <v>0.31809999999999999</v>
      </c>
      <c r="BX184" s="230">
        <v>930375</v>
      </c>
      <c r="BY184" s="230">
        <v>909750</v>
      </c>
      <c r="BZ184" s="230">
        <v>20625</v>
      </c>
      <c r="CA184" s="229">
        <v>2.2700000000000001E-2</v>
      </c>
      <c r="CB184" s="230">
        <v>865425</v>
      </c>
      <c r="CC184" s="230">
        <v>852375</v>
      </c>
      <c r="CD184" s="230">
        <v>13050</v>
      </c>
      <c r="CE184" s="229">
        <v>1.5299999999999999E-2</v>
      </c>
      <c r="CF184" s="230">
        <v>60300</v>
      </c>
      <c r="CG184" s="230">
        <v>52800</v>
      </c>
      <c r="CH184" s="230">
        <v>7500</v>
      </c>
      <c r="CI184" s="229">
        <v>0.14199999999999999</v>
      </c>
      <c r="CJ184" s="230">
        <v>4650</v>
      </c>
      <c r="CK184" s="230">
        <v>4575</v>
      </c>
      <c r="CL184" s="228">
        <v>75</v>
      </c>
      <c r="CM184" s="229">
        <v>1.6400000000000001E-2</v>
      </c>
      <c r="CN184" s="230">
        <v>417075</v>
      </c>
      <c r="CO184" s="230">
        <v>410550</v>
      </c>
      <c r="CP184" s="230">
        <v>6525</v>
      </c>
      <c r="CQ184" s="229">
        <v>1.5900000000000001E-2</v>
      </c>
      <c r="CR184" s="230">
        <v>260250</v>
      </c>
      <c r="CS184" s="230">
        <v>261150</v>
      </c>
      <c r="CT184" s="228">
        <v>-900</v>
      </c>
      <c r="CU184" s="229">
        <v>-3.3999999999999998E-3</v>
      </c>
      <c r="CV184" s="230">
        <v>1607700</v>
      </c>
      <c r="CW184" s="230">
        <v>1581450</v>
      </c>
      <c r="CX184" s="230">
        <v>26250</v>
      </c>
      <c r="CY184" s="229">
        <v>1.66E-2</v>
      </c>
      <c r="CZ184" s="228">
        <v>30.92</v>
      </c>
      <c r="DA184" s="228">
        <v>31.28</v>
      </c>
      <c r="DB184" s="228">
        <v>-0.36</v>
      </c>
      <c r="DC184" s="228">
        <v>-0.36</v>
      </c>
      <c r="DD184" s="228">
        <v>40.99</v>
      </c>
      <c r="DE184" s="228">
        <v>41.1</v>
      </c>
      <c r="DF184" s="228">
        <v>-10.07</v>
      </c>
      <c r="DG184" s="228">
        <v>-0.11</v>
      </c>
      <c r="DH184" s="228">
        <v>30.97</v>
      </c>
      <c r="DI184" s="228">
        <v>30.89</v>
      </c>
      <c r="DJ184" s="228">
        <v>0.08</v>
      </c>
      <c r="DK184" s="228">
        <v>0.08</v>
      </c>
      <c r="DL184" s="228">
        <v>30.66</v>
      </c>
      <c r="DM184" s="228">
        <v>32.43</v>
      </c>
      <c r="DN184" s="228">
        <v>-1.77</v>
      </c>
      <c r="DO184" s="228">
        <v>-1.77</v>
      </c>
      <c r="DP184" s="228">
        <v>0.62</v>
      </c>
      <c r="DQ184" s="228">
        <v>0.64</v>
      </c>
      <c r="DR184" s="228">
        <v>-0.02</v>
      </c>
      <c r="DS184" s="229">
        <v>-3.1300000000000001E-2</v>
      </c>
      <c r="DT184" s="231">
        <v>15000</v>
      </c>
      <c r="DU184" s="231">
        <v>14000</v>
      </c>
      <c r="DV184" s="228">
        <v>0.19</v>
      </c>
      <c r="DW184" s="228">
        <v>0.34</v>
      </c>
      <c r="DX184" s="228">
        <v>-0.15</v>
      </c>
      <c r="DY184" s="229">
        <v>-0.44119999999999998</v>
      </c>
      <c r="DZ184" s="229">
        <v>6.9800000000000001E-2</v>
      </c>
      <c r="EA184" s="230">
        <v>57375</v>
      </c>
      <c r="EB184" s="229">
        <v>5.4000000000000003E-3</v>
      </c>
      <c r="EC184" s="229">
        <v>6.9800000000000001E-2</v>
      </c>
      <c r="ED184" s="228">
        <v>69.92</v>
      </c>
      <c r="EE184" s="229">
        <v>5.0000000000000001E-3</v>
      </c>
      <c r="EF184" s="230">
        <v>56269</v>
      </c>
      <c r="EG184" s="230">
        <v>36136</v>
      </c>
      <c r="EH184" s="229">
        <v>0.55710000000000004</v>
      </c>
      <c r="EI184" s="229">
        <v>0.6835</v>
      </c>
      <c r="EJ184" s="231">
        <v>53893.85</v>
      </c>
      <c r="EK184" s="231">
        <v>9148.0300000000007</v>
      </c>
      <c r="EL184" s="231">
        <v>16082.61</v>
      </c>
      <c r="EM184" s="231">
        <v>1706</v>
      </c>
      <c r="EN184" s="231">
        <v>79124.490000000005</v>
      </c>
      <c r="EO184" s="231">
        <v>95355.49</v>
      </c>
      <c r="EP184" s="231">
        <v>-16231</v>
      </c>
      <c r="EQ184" s="229">
        <v>-0.17019999999999999</v>
      </c>
      <c r="ER184" s="231">
        <v>61995</v>
      </c>
      <c r="ES184" s="231">
        <v>35260</v>
      </c>
      <c r="ET184" s="231">
        <v>131172</v>
      </c>
      <c r="EU184" s="231">
        <v>3644817</v>
      </c>
      <c r="EV184" s="231">
        <v>228426</v>
      </c>
      <c r="EW184" s="231">
        <v>224890</v>
      </c>
      <c r="EX184" s="231">
        <v>3536</v>
      </c>
      <c r="EY184" s="229">
        <v>1.5699999999999999E-2</v>
      </c>
      <c r="EZ184" s="229">
        <v>0.44109999999999999</v>
      </c>
      <c r="FA184" s="227" t="s">
        <v>567</v>
      </c>
      <c r="FB184" s="161">
        <f t="shared" si="4"/>
        <v>0</v>
      </c>
    </row>
    <row r="185" spans="1:158" ht="17.25" thickBot="1" x14ac:dyDescent="0.3">
      <c r="A185" s="226">
        <v>45946</v>
      </c>
      <c r="B185" s="227" t="s">
        <v>162</v>
      </c>
      <c r="C185" s="227" t="s">
        <v>614</v>
      </c>
      <c r="D185" s="228">
        <v>1050</v>
      </c>
      <c r="E185" s="228">
        <v>469.05</v>
      </c>
      <c r="F185" s="228">
        <v>453.2</v>
      </c>
      <c r="G185" s="228">
        <v>15.85</v>
      </c>
      <c r="H185" s="229">
        <v>3.5000000000000003E-2</v>
      </c>
      <c r="I185" s="228">
        <v>468.55</v>
      </c>
      <c r="J185" s="228">
        <v>452.25</v>
      </c>
      <c r="K185" s="228">
        <v>16.3</v>
      </c>
      <c r="L185" s="229">
        <v>3.5999999999999997E-2</v>
      </c>
      <c r="M185" s="228">
        <v>469.05</v>
      </c>
      <c r="N185" s="228">
        <v>453.2</v>
      </c>
      <c r="O185" s="228">
        <v>15.85</v>
      </c>
      <c r="P185" s="229">
        <v>3.5000000000000003E-2</v>
      </c>
      <c r="Q185" s="228">
        <v>471.5</v>
      </c>
      <c r="R185" s="228">
        <v>455.35</v>
      </c>
      <c r="S185" s="228">
        <v>16.149999999999999</v>
      </c>
      <c r="T185" s="229">
        <v>3.5499999999999997E-2</v>
      </c>
      <c r="U185" s="228">
        <v>474.35</v>
      </c>
      <c r="V185" s="228">
        <v>457.95</v>
      </c>
      <c r="W185" s="228">
        <v>16.399999999999999</v>
      </c>
      <c r="X185" s="229">
        <v>3.5799999999999998E-2</v>
      </c>
      <c r="Y185" s="228">
        <v>0.5</v>
      </c>
      <c r="Z185" s="228">
        <v>0.95</v>
      </c>
      <c r="AA185" s="228">
        <v>-0.45</v>
      </c>
      <c r="AB185" s="229">
        <v>1.1000000000000001E-3</v>
      </c>
      <c r="AC185" s="228">
        <v>0.5</v>
      </c>
      <c r="AD185" s="228">
        <v>0.95</v>
      </c>
      <c r="AE185" s="228">
        <v>-0.45</v>
      </c>
      <c r="AF185" s="229">
        <v>1.1000000000000001E-3</v>
      </c>
      <c r="AG185" s="228">
        <v>2.95</v>
      </c>
      <c r="AH185" s="228">
        <v>3.1</v>
      </c>
      <c r="AI185" s="228">
        <v>-0.15</v>
      </c>
      <c r="AJ185" s="229">
        <v>6.3E-3</v>
      </c>
      <c r="AK185" s="228">
        <v>5.8</v>
      </c>
      <c r="AL185" s="228">
        <v>5.7</v>
      </c>
      <c r="AM185" s="228">
        <v>0.1</v>
      </c>
      <c r="AN185" s="229">
        <v>1.24E-2</v>
      </c>
      <c r="AO185" s="228">
        <v>469.1</v>
      </c>
      <c r="AP185" s="228">
        <v>471.05</v>
      </c>
      <c r="AQ185" s="228">
        <v>0</v>
      </c>
      <c r="AR185" s="230">
        <v>6204450</v>
      </c>
      <c r="AS185" s="230">
        <v>3967950</v>
      </c>
      <c r="AT185" s="230">
        <v>2236500</v>
      </c>
      <c r="AU185" s="229">
        <v>0.56359999999999999</v>
      </c>
      <c r="AV185" s="230">
        <v>5517750</v>
      </c>
      <c r="AW185" s="230">
        <v>3619350</v>
      </c>
      <c r="AX185" s="230">
        <v>1898400</v>
      </c>
      <c r="AY185" s="229">
        <v>0.52449999999999997</v>
      </c>
      <c r="AZ185" s="230">
        <v>611100</v>
      </c>
      <c r="BA185" s="230">
        <v>292950</v>
      </c>
      <c r="BB185" s="230">
        <v>318150</v>
      </c>
      <c r="BC185" s="229">
        <v>1.0860000000000001</v>
      </c>
      <c r="BD185" s="230">
        <v>75600</v>
      </c>
      <c r="BE185" s="230">
        <v>55650</v>
      </c>
      <c r="BF185" s="230">
        <v>19950</v>
      </c>
      <c r="BG185" s="229">
        <v>0.35849999999999999</v>
      </c>
      <c r="BH185" s="230">
        <v>32285400</v>
      </c>
      <c r="BI185" s="230">
        <v>11790450</v>
      </c>
      <c r="BJ185" s="230">
        <v>20494950</v>
      </c>
      <c r="BK185" s="229">
        <v>1.7383</v>
      </c>
      <c r="BL185" s="230">
        <v>12448800</v>
      </c>
      <c r="BM185" s="230">
        <v>5802300</v>
      </c>
      <c r="BN185" s="230">
        <v>6646500</v>
      </c>
      <c r="BO185" s="229">
        <v>1.1455</v>
      </c>
      <c r="BP185" s="230">
        <v>50938650</v>
      </c>
      <c r="BQ185" s="230">
        <v>21560700</v>
      </c>
      <c r="BR185" s="230">
        <v>29377950</v>
      </c>
      <c r="BS185" s="229">
        <v>1.3626</v>
      </c>
      <c r="BT185" s="230">
        <v>7580864</v>
      </c>
      <c r="BU185" s="230">
        <v>3072642</v>
      </c>
      <c r="BV185" s="230">
        <v>4508222</v>
      </c>
      <c r="BW185" s="229">
        <v>1.4672000000000001</v>
      </c>
      <c r="BX185" s="230">
        <v>18760350</v>
      </c>
      <c r="BY185" s="230">
        <v>19773600</v>
      </c>
      <c r="BZ185" s="230">
        <v>-1013250</v>
      </c>
      <c r="CA185" s="229">
        <v>-5.1200000000000002E-2</v>
      </c>
      <c r="CB185" s="230">
        <v>18010650</v>
      </c>
      <c r="CC185" s="230">
        <v>19026000</v>
      </c>
      <c r="CD185" s="230">
        <v>-1015350</v>
      </c>
      <c r="CE185" s="229">
        <v>-5.3400000000000003E-2</v>
      </c>
      <c r="CF185" s="230">
        <v>641550</v>
      </c>
      <c r="CG185" s="230">
        <v>634200</v>
      </c>
      <c r="CH185" s="230">
        <v>7350</v>
      </c>
      <c r="CI185" s="229">
        <v>1.1599999999999999E-2</v>
      </c>
      <c r="CJ185" s="230">
        <v>108150</v>
      </c>
      <c r="CK185" s="230">
        <v>113400</v>
      </c>
      <c r="CL185" s="230">
        <v>-5250</v>
      </c>
      <c r="CM185" s="229">
        <v>-4.6300000000000001E-2</v>
      </c>
      <c r="CN185" s="230">
        <v>7209300</v>
      </c>
      <c r="CO185" s="230">
        <v>8678250</v>
      </c>
      <c r="CP185" s="230">
        <v>-1468950</v>
      </c>
      <c r="CQ185" s="229">
        <v>-0.16930000000000001</v>
      </c>
      <c r="CR185" s="230">
        <v>5218500</v>
      </c>
      <c r="CS185" s="230">
        <v>4881450</v>
      </c>
      <c r="CT185" s="230">
        <v>337050</v>
      </c>
      <c r="CU185" s="229">
        <v>6.9000000000000006E-2</v>
      </c>
      <c r="CV185" s="230">
        <v>31188150</v>
      </c>
      <c r="CW185" s="230">
        <v>33333300</v>
      </c>
      <c r="CX185" s="230">
        <v>-2145150</v>
      </c>
      <c r="CY185" s="229">
        <v>-6.4399999999999999E-2</v>
      </c>
      <c r="CZ185" s="228">
        <v>33.61</v>
      </c>
      <c r="DA185" s="228">
        <v>37.200000000000003</v>
      </c>
      <c r="DB185" s="228">
        <v>-3.59</v>
      </c>
      <c r="DC185" s="228">
        <v>-3.59</v>
      </c>
      <c r="DD185" s="228">
        <v>41.32</v>
      </c>
      <c r="DE185" s="228">
        <v>41.15</v>
      </c>
      <c r="DF185" s="228">
        <v>-7.71</v>
      </c>
      <c r="DG185" s="228">
        <v>0.17</v>
      </c>
      <c r="DH185" s="228">
        <v>33.270000000000003</v>
      </c>
      <c r="DI185" s="228">
        <v>37.31</v>
      </c>
      <c r="DJ185" s="228">
        <v>-4.04</v>
      </c>
      <c r="DK185" s="228">
        <v>-4.04</v>
      </c>
      <c r="DL185" s="228">
        <v>34.49</v>
      </c>
      <c r="DM185" s="228">
        <v>36.950000000000003</v>
      </c>
      <c r="DN185" s="228">
        <v>-2.46</v>
      </c>
      <c r="DO185" s="228">
        <v>-2.46</v>
      </c>
      <c r="DP185" s="228">
        <v>0.72</v>
      </c>
      <c r="DQ185" s="228">
        <v>0.56000000000000005</v>
      </c>
      <c r="DR185" s="228">
        <v>0.16</v>
      </c>
      <c r="DS185" s="229">
        <v>0.28570000000000001</v>
      </c>
      <c r="DT185" s="228">
        <v>480</v>
      </c>
      <c r="DU185" s="228">
        <v>450</v>
      </c>
      <c r="DV185" s="228">
        <v>0.39</v>
      </c>
      <c r="DW185" s="228">
        <v>0.49</v>
      </c>
      <c r="DX185" s="228">
        <v>-0.1</v>
      </c>
      <c r="DY185" s="229">
        <v>-0.2041</v>
      </c>
      <c r="DZ185" s="229">
        <v>0.04</v>
      </c>
      <c r="EA185" s="230">
        <v>747600</v>
      </c>
      <c r="EB185" s="229">
        <v>5.1999999999999998E-3</v>
      </c>
      <c r="EC185" s="229">
        <v>0.04</v>
      </c>
      <c r="ED185" s="228">
        <v>1.95</v>
      </c>
      <c r="EE185" s="229">
        <v>4.1999999999999997E-3</v>
      </c>
      <c r="EF185" s="230">
        <v>2857007</v>
      </c>
      <c r="EG185" s="230">
        <v>1234749</v>
      </c>
      <c r="EH185" s="229">
        <v>1.3138000000000001</v>
      </c>
      <c r="EI185" s="229">
        <v>0.37690000000000001</v>
      </c>
      <c r="EJ185" s="231">
        <v>156906.69</v>
      </c>
      <c r="EK185" s="231">
        <v>56525.18</v>
      </c>
      <c r="EL185" s="231">
        <v>29120.16</v>
      </c>
      <c r="EM185" s="231">
        <v>5665</v>
      </c>
      <c r="EN185" s="231">
        <v>242552.03</v>
      </c>
      <c r="EO185" s="231">
        <v>99890.08</v>
      </c>
      <c r="EP185" s="231">
        <v>142661.95000000001</v>
      </c>
      <c r="EQ185" s="229">
        <v>1.4281999999999999</v>
      </c>
      <c r="ER185" s="231">
        <v>33826</v>
      </c>
      <c r="ES185" s="231">
        <v>22785</v>
      </c>
      <c r="ET185" s="231">
        <v>88017</v>
      </c>
      <c r="EU185" s="231">
        <v>67126548</v>
      </c>
      <c r="EV185" s="231">
        <v>144628</v>
      </c>
      <c r="EW185" s="231">
        <v>150562</v>
      </c>
      <c r="EX185" s="231">
        <v>-5934</v>
      </c>
      <c r="EY185" s="229">
        <v>-3.9399999999999998E-2</v>
      </c>
      <c r="EZ185" s="229">
        <v>0.46460000000000001</v>
      </c>
      <c r="FA185" s="227" t="s">
        <v>556</v>
      </c>
      <c r="FB185" s="161">
        <f t="shared" si="4"/>
        <v>0</v>
      </c>
    </row>
    <row r="186" spans="1:158" ht="17.25" thickBot="1" x14ac:dyDescent="0.3">
      <c r="A186" s="226">
        <v>45946</v>
      </c>
      <c r="B186" s="227" t="s">
        <v>197</v>
      </c>
      <c r="C186" s="227" t="s">
        <v>286</v>
      </c>
      <c r="D186" s="228">
        <v>200</v>
      </c>
      <c r="E186" s="231">
        <v>3193.7</v>
      </c>
      <c r="F186" s="231">
        <v>3101.7</v>
      </c>
      <c r="G186" s="228">
        <v>92</v>
      </c>
      <c r="H186" s="229">
        <v>2.9700000000000001E-2</v>
      </c>
      <c r="I186" s="231">
        <v>3190</v>
      </c>
      <c r="J186" s="231">
        <v>3088.6</v>
      </c>
      <c r="K186" s="228">
        <v>101.4</v>
      </c>
      <c r="L186" s="229">
        <v>3.2800000000000003E-2</v>
      </c>
      <c r="M186" s="231">
        <v>3193.7</v>
      </c>
      <c r="N186" s="231">
        <v>3101.7</v>
      </c>
      <c r="O186" s="228">
        <v>92</v>
      </c>
      <c r="P186" s="229">
        <v>2.9700000000000001E-2</v>
      </c>
      <c r="Q186" s="231">
        <v>3210.5</v>
      </c>
      <c r="R186" s="231">
        <v>3117.7</v>
      </c>
      <c r="S186" s="228">
        <v>92.8</v>
      </c>
      <c r="T186" s="229">
        <v>2.98E-2</v>
      </c>
      <c r="U186" s="231">
        <v>3234.6</v>
      </c>
      <c r="V186" s="231">
        <v>3134.8</v>
      </c>
      <c r="W186" s="228">
        <v>99.8</v>
      </c>
      <c r="X186" s="229">
        <v>3.1800000000000002E-2</v>
      </c>
      <c r="Y186" s="228">
        <v>3.7</v>
      </c>
      <c r="Z186" s="228">
        <v>13.1</v>
      </c>
      <c r="AA186" s="228">
        <v>-9.4</v>
      </c>
      <c r="AB186" s="229">
        <v>1.1999999999999999E-3</v>
      </c>
      <c r="AC186" s="228">
        <v>3.7</v>
      </c>
      <c r="AD186" s="228">
        <v>13.1</v>
      </c>
      <c r="AE186" s="228">
        <v>-9.4</v>
      </c>
      <c r="AF186" s="229">
        <v>1.1999999999999999E-3</v>
      </c>
      <c r="AG186" s="228">
        <v>20.5</v>
      </c>
      <c r="AH186" s="228">
        <v>29.1</v>
      </c>
      <c r="AI186" s="228">
        <v>-8.6</v>
      </c>
      <c r="AJ186" s="229">
        <v>6.4000000000000003E-3</v>
      </c>
      <c r="AK186" s="228">
        <v>44.6</v>
      </c>
      <c r="AL186" s="228">
        <v>46.2</v>
      </c>
      <c r="AM186" s="228">
        <v>-1.6</v>
      </c>
      <c r="AN186" s="229">
        <v>1.4E-2</v>
      </c>
      <c r="AO186" s="231">
        <v>3171.86</v>
      </c>
      <c r="AP186" s="231">
        <v>3188.19</v>
      </c>
      <c r="AQ186" s="228">
        <v>0</v>
      </c>
      <c r="AR186" s="230">
        <v>995200</v>
      </c>
      <c r="AS186" s="230">
        <v>738000</v>
      </c>
      <c r="AT186" s="230">
        <v>257200</v>
      </c>
      <c r="AU186" s="229">
        <v>0.34849999999999998</v>
      </c>
      <c r="AV186" s="230">
        <v>922400</v>
      </c>
      <c r="AW186" s="230">
        <v>687800</v>
      </c>
      <c r="AX186" s="230">
        <v>234600</v>
      </c>
      <c r="AY186" s="229">
        <v>0.34110000000000001</v>
      </c>
      <c r="AZ186" s="230">
        <v>62600</v>
      </c>
      <c r="BA186" s="230">
        <v>44600</v>
      </c>
      <c r="BB186" s="230">
        <v>18000</v>
      </c>
      <c r="BC186" s="229">
        <v>0.40360000000000001</v>
      </c>
      <c r="BD186" s="230">
        <v>10200</v>
      </c>
      <c r="BE186" s="230">
        <v>5600</v>
      </c>
      <c r="BF186" s="230">
        <v>4600</v>
      </c>
      <c r="BG186" s="229">
        <v>0.82140000000000002</v>
      </c>
      <c r="BH186" s="230">
        <v>4598200</v>
      </c>
      <c r="BI186" s="230">
        <v>2403000</v>
      </c>
      <c r="BJ186" s="230">
        <v>2195200</v>
      </c>
      <c r="BK186" s="229">
        <v>0.91349999999999998</v>
      </c>
      <c r="BL186" s="230">
        <v>1998000</v>
      </c>
      <c r="BM186" s="230">
        <v>1287000</v>
      </c>
      <c r="BN186" s="230">
        <v>711000</v>
      </c>
      <c r="BO186" s="229">
        <v>0.5524</v>
      </c>
      <c r="BP186" s="230">
        <v>7591400</v>
      </c>
      <c r="BQ186" s="230">
        <v>4428000</v>
      </c>
      <c r="BR186" s="230">
        <v>3163400</v>
      </c>
      <c r="BS186" s="229">
        <v>0.71440000000000003</v>
      </c>
      <c r="BT186" s="230">
        <v>647364</v>
      </c>
      <c r="BU186" s="230">
        <v>680776</v>
      </c>
      <c r="BV186" s="230">
        <v>-33412</v>
      </c>
      <c r="BW186" s="229">
        <v>-4.9099999999999998E-2</v>
      </c>
      <c r="BX186" s="230">
        <v>2674400</v>
      </c>
      <c r="BY186" s="230">
        <v>2682400</v>
      </c>
      <c r="BZ186" s="230">
        <v>-8000</v>
      </c>
      <c r="CA186" s="229">
        <v>-3.0000000000000001E-3</v>
      </c>
      <c r="CB186" s="230">
        <v>2617400</v>
      </c>
      <c r="CC186" s="230">
        <v>2632200</v>
      </c>
      <c r="CD186" s="230">
        <v>-14800</v>
      </c>
      <c r="CE186" s="229">
        <v>-5.5999999999999999E-3</v>
      </c>
      <c r="CF186" s="230">
        <v>47600</v>
      </c>
      <c r="CG186" s="230">
        <v>43200</v>
      </c>
      <c r="CH186" s="230">
        <v>4400</v>
      </c>
      <c r="CI186" s="229">
        <v>0.1019</v>
      </c>
      <c r="CJ186" s="230">
        <v>9400</v>
      </c>
      <c r="CK186" s="230">
        <v>7000</v>
      </c>
      <c r="CL186" s="230">
        <v>2400</v>
      </c>
      <c r="CM186" s="229">
        <v>0.34289999999999998</v>
      </c>
      <c r="CN186" s="230">
        <v>937400</v>
      </c>
      <c r="CO186" s="230">
        <v>953400</v>
      </c>
      <c r="CP186" s="230">
        <v>-16000</v>
      </c>
      <c r="CQ186" s="229">
        <v>-1.6799999999999999E-2</v>
      </c>
      <c r="CR186" s="230">
        <v>1011600</v>
      </c>
      <c r="CS186" s="230">
        <v>816600</v>
      </c>
      <c r="CT186" s="230">
        <v>195000</v>
      </c>
      <c r="CU186" s="229">
        <v>0.23880000000000001</v>
      </c>
      <c r="CV186" s="230">
        <v>4623400</v>
      </c>
      <c r="CW186" s="230">
        <v>4452400</v>
      </c>
      <c r="CX186" s="230">
        <v>171000</v>
      </c>
      <c r="CY186" s="229">
        <v>3.8399999999999997E-2</v>
      </c>
      <c r="CZ186" s="228">
        <v>25.53</v>
      </c>
      <c r="DA186" s="228">
        <v>25.62</v>
      </c>
      <c r="DB186" s="228">
        <v>-0.09</v>
      </c>
      <c r="DC186" s="228">
        <v>-0.09</v>
      </c>
      <c r="DD186" s="228">
        <v>32.159999999999997</v>
      </c>
      <c r="DE186" s="228">
        <v>31.94</v>
      </c>
      <c r="DF186" s="228">
        <v>-6.63</v>
      </c>
      <c r="DG186" s="228">
        <v>0.22</v>
      </c>
      <c r="DH186" s="228">
        <v>25.12</v>
      </c>
      <c r="DI186" s="228">
        <v>25.22</v>
      </c>
      <c r="DJ186" s="228">
        <v>-0.1</v>
      </c>
      <c r="DK186" s="228">
        <v>-0.1</v>
      </c>
      <c r="DL186" s="228">
        <v>26.47</v>
      </c>
      <c r="DM186" s="228">
        <v>26.38</v>
      </c>
      <c r="DN186" s="228">
        <v>0.09</v>
      </c>
      <c r="DO186" s="228">
        <v>0.09</v>
      </c>
      <c r="DP186" s="228">
        <v>1.08</v>
      </c>
      <c r="DQ186" s="228">
        <v>0.86</v>
      </c>
      <c r="DR186" s="228">
        <v>0.22</v>
      </c>
      <c r="DS186" s="229">
        <v>0.25580000000000003</v>
      </c>
      <c r="DT186" s="231">
        <v>3200</v>
      </c>
      <c r="DU186" s="231">
        <v>3100</v>
      </c>
      <c r="DV186" s="228">
        <v>0.43</v>
      </c>
      <c r="DW186" s="228">
        <v>0.54</v>
      </c>
      <c r="DX186" s="228">
        <v>-0.11</v>
      </c>
      <c r="DY186" s="229">
        <v>-0.20369999999999999</v>
      </c>
      <c r="DZ186" s="229">
        <v>2.1299999999999999E-2</v>
      </c>
      <c r="EA186" s="230">
        <v>50200</v>
      </c>
      <c r="EB186" s="229">
        <v>5.3E-3</v>
      </c>
      <c r="EC186" s="229">
        <v>2.1299999999999999E-2</v>
      </c>
      <c r="ED186" s="228">
        <v>16.329999999999998</v>
      </c>
      <c r="EE186" s="229">
        <v>5.1000000000000004E-3</v>
      </c>
      <c r="EF186" s="230">
        <v>393778</v>
      </c>
      <c r="EG186" s="230">
        <v>457856</v>
      </c>
      <c r="EH186" s="229">
        <v>-0.14000000000000001</v>
      </c>
      <c r="EI186" s="229">
        <v>0.60829999999999995</v>
      </c>
      <c r="EJ186" s="231">
        <v>149800.51</v>
      </c>
      <c r="EK186" s="231">
        <v>62008.07</v>
      </c>
      <c r="EL186" s="231">
        <v>31579.61</v>
      </c>
      <c r="EM186" s="231">
        <v>2626</v>
      </c>
      <c r="EN186" s="231">
        <v>243388.19</v>
      </c>
      <c r="EO186" s="231">
        <v>138926.85</v>
      </c>
      <c r="EP186" s="231">
        <v>104461.34</v>
      </c>
      <c r="EQ186" s="229">
        <v>0.75190000000000001</v>
      </c>
      <c r="ER186" s="231">
        <v>29420</v>
      </c>
      <c r="ES186" s="231">
        <v>29753</v>
      </c>
      <c r="ET186" s="231">
        <v>85424</v>
      </c>
      <c r="EU186" s="231">
        <v>21205300</v>
      </c>
      <c r="EV186" s="231">
        <v>144597</v>
      </c>
      <c r="EW186" s="231">
        <v>136481</v>
      </c>
      <c r="EX186" s="231">
        <v>8116</v>
      </c>
      <c r="EY186" s="229">
        <v>5.9499999999999997E-2</v>
      </c>
      <c r="EZ186" s="229">
        <v>0.218</v>
      </c>
      <c r="FA186" s="227" t="s">
        <v>556</v>
      </c>
      <c r="FB186" s="161">
        <f t="shared" si="4"/>
        <v>0</v>
      </c>
    </row>
    <row r="187" spans="1:158" ht="17.25" thickBot="1" x14ac:dyDescent="0.3">
      <c r="A187" s="226">
        <v>45946</v>
      </c>
      <c r="B187" s="227" t="s">
        <v>170</v>
      </c>
      <c r="C187" s="227" t="s">
        <v>288</v>
      </c>
      <c r="D187" s="228">
        <v>350</v>
      </c>
      <c r="E187" s="231">
        <v>1665.6</v>
      </c>
      <c r="F187" s="231">
        <v>1661.4</v>
      </c>
      <c r="G187" s="228">
        <v>4.2</v>
      </c>
      <c r="H187" s="229">
        <v>2.5000000000000001E-3</v>
      </c>
      <c r="I187" s="231">
        <v>1659</v>
      </c>
      <c r="J187" s="231">
        <v>1655.1</v>
      </c>
      <c r="K187" s="228">
        <v>3.9</v>
      </c>
      <c r="L187" s="229">
        <v>2.3999999999999998E-3</v>
      </c>
      <c r="M187" s="231">
        <v>1665.6</v>
      </c>
      <c r="N187" s="231">
        <v>1661.4</v>
      </c>
      <c r="O187" s="228">
        <v>4.2</v>
      </c>
      <c r="P187" s="229">
        <v>2.5000000000000001E-3</v>
      </c>
      <c r="Q187" s="231">
        <v>1674.3</v>
      </c>
      <c r="R187" s="231">
        <v>1670</v>
      </c>
      <c r="S187" s="228">
        <v>4.3</v>
      </c>
      <c r="T187" s="229">
        <v>2.5999999999999999E-3</v>
      </c>
      <c r="U187" s="231">
        <v>1684.3</v>
      </c>
      <c r="V187" s="231">
        <v>1681.3</v>
      </c>
      <c r="W187" s="228">
        <v>3</v>
      </c>
      <c r="X187" s="229">
        <v>1.8E-3</v>
      </c>
      <c r="Y187" s="228">
        <v>6.6</v>
      </c>
      <c r="Z187" s="228">
        <v>6.3</v>
      </c>
      <c r="AA187" s="228">
        <v>0.3</v>
      </c>
      <c r="AB187" s="229">
        <v>4.0000000000000001E-3</v>
      </c>
      <c r="AC187" s="228">
        <v>6.6</v>
      </c>
      <c r="AD187" s="228">
        <v>6.3</v>
      </c>
      <c r="AE187" s="228">
        <v>0.3</v>
      </c>
      <c r="AF187" s="229">
        <v>4.0000000000000001E-3</v>
      </c>
      <c r="AG187" s="228">
        <v>15.3</v>
      </c>
      <c r="AH187" s="228">
        <v>14.9</v>
      </c>
      <c r="AI187" s="228">
        <v>0.4</v>
      </c>
      <c r="AJ187" s="229">
        <v>9.1999999999999998E-3</v>
      </c>
      <c r="AK187" s="228">
        <v>25.3</v>
      </c>
      <c r="AL187" s="228">
        <v>26.2</v>
      </c>
      <c r="AM187" s="228">
        <v>-0.9</v>
      </c>
      <c r="AN187" s="229">
        <v>1.5299999999999999E-2</v>
      </c>
      <c r="AO187" s="231">
        <v>1659.56</v>
      </c>
      <c r="AP187" s="231">
        <v>1668.35</v>
      </c>
      <c r="AQ187" s="228">
        <v>0</v>
      </c>
      <c r="AR187" s="230">
        <v>2173500</v>
      </c>
      <c r="AS187" s="230">
        <v>1512700</v>
      </c>
      <c r="AT187" s="230">
        <v>660800</v>
      </c>
      <c r="AU187" s="229">
        <v>0.43680000000000002</v>
      </c>
      <c r="AV187" s="230">
        <v>1830150</v>
      </c>
      <c r="AW187" s="230">
        <v>1165150</v>
      </c>
      <c r="AX187" s="230">
        <v>665000</v>
      </c>
      <c r="AY187" s="229">
        <v>0.57069999999999999</v>
      </c>
      <c r="AZ187" s="230">
        <v>334600</v>
      </c>
      <c r="BA187" s="230">
        <v>341950</v>
      </c>
      <c r="BB187" s="230">
        <v>-7350</v>
      </c>
      <c r="BC187" s="229">
        <v>-2.1499999999999998E-2</v>
      </c>
      <c r="BD187" s="230">
        <v>8750</v>
      </c>
      <c r="BE187" s="230">
        <v>5600</v>
      </c>
      <c r="BF187" s="230">
        <v>3150</v>
      </c>
      <c r="BG187" s="229">
        <v>0.5625</v>
      </c>
      <c r="BH187" s="230">
        <v>5241250</v>
      </c>
      <c r="BI187" s="230">
        <v>5968550</v>
      </c>
      <c r="BJ187" s="230">
        <v>-727300</v>
      </c>
      <c r="BK187" s="229">
        <v>-0.12189999999999999</v>
      </c>
      <c r="BL187" s="230">
        <v>3818150</v>
      </c>
      <c r="BM187" s="230">
        <v>4136300</v>
      </c>
      <c r="BN187" s="230">
        <v>-318150</v>
      </c>
      <c r="BO187" s="229">
        <v>-7.6899999999999996E-2</v>
      </c>
      <c r="BP187" s="230">
        <v>11232900</v>
      </c>
      <c r="BQ187" s="230">
        <v>11617550</v>
      </c>
      <c r="BR187" s="230">
        <v>-384650</v>
      </c>
      <c r="BS187" s="229">
        <v>-3.3099999999999997E-2</v>
      </c>
      <c r="BT187" s="230">
        <v>2976665</v>
      </c>
      <c r="BU187" s="230">
        <v>2108204</v>
      </c>
      <c r="BV187" s="230">
        <v>868461</v>
      </c>
      <c r="BW187" s="229">
        <v>0.41189999999999999</v>
      </c>
      <c r="BX187" s="230">
        <v>15803200</v>
      </c>
      <c r="BY187" s="230">
        <v>15348550</v>
      </c>
      <c r="BZ187" s="230">
        <v>454650</v>
      </c>
      <c r="CA187" s="229">
        <v>2.9600000000000001E-2</v>
      </c>
      <c r="CB187" s="230">
        <v>15025850</v>
      </c>
      <c r="CC187" s="230">
        <v>14778050</v>
      </c>
      <c r="CD187" s="230">
        <v>247800</v>
      </c>
      <c r="CE187" s="229">
        <v>1.6799999999999999E-2</v>
      </c>
      <c r="CF187" s="230">
        <v>733950</v>
      </c>
      <c r="CG187" s="230">
        <v>529200</v>
      </c>
      <c r="CH187" s="230">
        <v>204750</v>
      </c>
      <c r="CI187" s="229">
        <v>0.38690000000000002</v>
      </c>
      <c r="CJ187" s="230">
        <v>43400</v>
      </c>
      <c r="CK187" s="230">
        <v>41300</v>
      </c>
      <c r="CL187" s="230">
        <v>2100</v>
      </c>
      <c r="CM187" s="229">
        <v>5.0799999999999998E-2</v>
      </c>
      <c r="CN187" s="230">
        <v>5198900</v>
      </c>
      <c r="CO187" s="230">
        <v>5278350</v>
      </c>
      <c r="CP187" s="230">
        <v>-79450</v>
      </c>
      <c r="CQ187" s="229">
        <v>-1.5100000000000001E-2</v>
      </c>
      <c r="CR187" s="230">
        <v>4578350</v>
      </c>
      <c r="CS187" s="230">
        <v>4626650</v>
      </c>
      <c r="CT187" s="230">
        <v>-48300</v>
      </c>
      <c r="CU187" s="229">
        <v>-1.04E-2</v>
      </c>
      <c r="CV187" s="230">
        <v>25580450</v>
      </c>
      <c r="CW187" s="230">
        <v>25253550</v>
      </c>
      <c r="CX187" s="230">
        <v>326900</v>
      </c>
      <c r="CY187" s="229">
        <v>1.29E-2</v>
      </c>
      <c r="CZ187" s="228">
        <v>18.97</v>
      </c>
      <c r="DA187" s="228">
        <v>19.29</v>
      </c>
      <c r="DB187" s="228">
        <v>-0.32</v>
      </c>
      <c r="DC187" s="228">
        <v>-0.32</v>
      </c>
      <c r="DD187" s="228">
        <v>23.93</v>
      </c>
      <c r="DE187" s="228">
        <v>23.99</v>
      </c>
      <c r="DF187" s="228">
        <v>-4.96</v>
      </c>
      <c r="DG187" s="228">
        <v>-0.06</v>
      </c>
      <c r="DH187" s="228">
        <v>17.43</v>
      </c>
      <c r="DI187" s="228">
        <v>17.97</v>
      </c>
      <c r="DJ187" s="228">
        <v>-0.54</v>
      </c>
      <c r="DK187" s="228">
        <v>-0.54</v>
      </c>
      <c r="DL187" s="228">
        <v>21.07</v>
      </c>
      <c r="DM187" s="228">
        <v>21.21</v>
      </c>
      <c r="DN187" s="228">
        <v>-0.14000000000000001</v>
      </c>
      <c r="DO187" s="228">
        <v>-0.14000000000000001</v>
      </c>
      <c r="DP187" s="228">
        <v>0.88</v>
      </c>
      <c r="DQ187" s="228">
        <v>0.88</v>
      </c>
      <c r="DR187" s="228">
        <v>0</v>
      </c>
      <c r="DS187" s="229">
        <v>0</v>
      </c>
      <c r="DT187" s="231">
        <v>1680</v>
      </c>
      <c r="DU187" s="231">
        <v>1500</v>
      </c>
      <c r="DV187" s="228">
        <v>0.73</v>
      </c>
      <c r="DW187" s="228">
        <v>0.69</v>
      </c>
      <c r="DX187" s="228">
        <v>0.04</v>
      </c>
      <c r="DY187" s="229">
        <v>5.8000000000000003E-2</v>
      </c>
      <c r="DZ187" s="229">
        <v>4.9200000000000001E-2</v>
      </c>
      <c r="EA187" s="230">
        <v>570500</v>
      </c>
      <c r="EB187" s="229">
        <v>5.1999999999999998E-3</v>
      </c>
      <c r="EC187" s="229">
        <v>4.9200000000000001E-2</v>
      </c>
      <c r="ED187" s="228">
        <v>8.7899999999999991</v>
      </c>
      <c r="EE187" s="229">
        <v>5.3E-3</v>
      </c>
      <c r="EF187" s="230">
        <v>2374252</v>
      </c>
      <c r="EG187" s="230">
        <v>1479617</v>
      </c>
      <c r="EH187" s="229">
        <v>0.60460000000000003</v>
      </c>
      <c r="EI187" s="229">
        <v>0.79759999999999998</v>
      </c>
      <c r="EJ187" s="231">
        <v>88978.2</v>
      </c>
      <c r="EK187" s="231">
        <v>62595.47</v>
      </c>
      <c r="EL187" s="231">
        <v>36101.58</v>
      </c>
      <c r="EM187" s="231">
        <v>4266</v>
      </c>
      <c r="EN187" s="231">
        <v>187675.25</v>
      </c>
      <c r="EO187" s="231">
        <v>194934.02</v>
      </c>
      <c r="EP187" s="231">
        <v>-7258.77</v>
      </c>
      <c r="EQ187" s="229">
        <v>-3.7199999999999997E-2</v>
      </c>
      <c r="ER187" s="231">
        <v>88097</v>
      </c>
      <c r="ES187" s="231">
        <v>72460</v>
      </c>
      <c r="ET187" s="231">
        <v>263290</v>
      </c>
      <c r="EU187" s="231">
        <v>109220043</v>
      </c>
      <c r="EV187" s="231">
        <v>423847</v>
      </c>
      <c r="EW187" s="231">
        <v>417684</v>
      </c>
      <c r="EX187" s="231">
        <v>6163</v>
      </c>
      <c r="EY187" s="229">
        <v>1.4800000000000001E-2</v>
      </c>
      <c r="EZ187" s="229">
        <v>0.23419999999999999</v>
      </c>
      <c r="FA187" s="227" t="s">
        <v>555</v>
      </c>
      <c r="FB187" s="161">
        <f t="shared" si="4"/>
        <v>0</v>
      </c>
    </row>
    <row r="188" spans="1:158" ht="17.25" thickBot="1" x14ac:dyDescent="0.3">
      <c r="A188" s="226">
        <v>45946</v>
      </c>
      <c r="B188" s="227" t="s">
        <v>184</v>
      </c>
      <c r="C188" s="227" t="s">
        <v>574</v>
      </c>
      <c r="D188" s="228">
        <v>175</v>
      </c>
      <c r="E188" s="231">
        <v>4257.3</v>
      </c>
      <c r="F188" s="231">
        <v>4214.8</v>
      </c>
      <c r="G188" s="228">
        <v>42.5</v>
      </c>
      <c r="H188" s="229">
        <v>1.01E-2</v>
      </c>
      <c r="I188" s="231">
        <v>4240.2</v>
      </c>
      <c r="J188" s="231">
        <v>4197.5</v>
      </c>
      <c r="K188" s="228">
        <v>42.7</v>
      </c>
      <c r="L188" s="229">
        <v>1.0200000000000001E-2</v>
      </c>
      <c r="M188" s="231">
        <v>4257.3</v>
      </c>
      <c r="N188" s="231">
        <v>4214.8</v>
      </c>
      <c r="O188" s="228">
        <v>42.5</v>
      </c>
      <c r="P188" s="229">
        <v>1.01E-2</v>
      </c>
      <c r="Q188" s="231">
        <v>4268.8999999999996</v>
      </c>
      <c r="R188" s="231">
        <v>4228.3</v>
      </c>
      <c r="S188" s="228">
        <v>40.6</v>
      </c>
      <c r="T188" s="229">
        <v>9.5999999999999992E-3</v>
      </c>
      <c r="U188" s="231">
        <v>4282</v>
      </c>
      <c r="V188" s="231">
        <v>4248</v>
      </c>
      <c r="W188" s="228">
        <v>34</v>
      </c>
      <c r="X188" s="229">
        <v>8.0000000000000002E-3</v>
      </c>
      <c r="Y188" s="228">
        <v>17.100000000000001</v>
      </c>
      <c r="Z188" s="228">
        <v>17.3</v>
      </c>
      <c r="AA188" s="228">
        <v>-0.2</v>
      </c>
      <c r="AB188" s="229">
        <v>4.0000000000000001E-3</v>
      </c>
      <c r="AC188" s="228">
        <v>17.100000000000001</v>
      </c>
      <c r="AD188" s="228">
        <v>17.3</v>
      </c>
      <c r="AE188" s="228">
        <v>-0.2</v>
      </c>
      <c r="AF188" s="229">
        <v>4.0000000000000001E-3</v>
      </c>
      <c r="AG188" s="228">
        <v>28.7</v>
      </c>
      <c r="AH188" s="228">
        <v>30.8</v>
      </c>
      <c r="AI188" s="228">
        <v>-2.1</v>
      </c>
      <c r="AJ188" s="229">
        <v>6.7999999999999996E-3</v>
      </c>
      <c r="AK188" s="228">
        <v>41.8</v>
      </c>
      <c r="AL188" s="228">
        <v>50.5</v>
      </c>
      <c r="AM188" s="228">
        <v>-8.6999999999999993</v>
      </c>
      <c r="AN188" s="229">
        <v>9.9000000000000008E-3</v>
      </c>
      <c r="AO188" s="231">
        <v>4248.6899999999996</v>
      </c>
      <c r="AP188" s="231">
        <v>4258.97</v>
      </c>
      <c r="AQ188" s="228">
        <v>0</v>
      </c>
      <c r="AR188" s="230">
        <v>130375</v>
      </c>
      <c r="AS188" s="230">
        <v>168175</v>
      </c>
      <c r="AT188" s="230">
        <v>-37800</v>
      </c>
      <c r="AU188" s="229">
        <v>-0.2248</v>
      </c>
      <c r="AV188" s="230">
        <v>104125</v>
      </c>
      <c r="AW188" s="230">
        <v>154700</v>
      </c>
      <c r="AX188" s="230">
        <v>-50575</v>
      </c>
      <c r="AY188" s="229">
        <v>-0.32690000000000002</v>
      </c>
      <c r="AZ188" s="230">
        <v>25200</v>
      </c>
      <c r="BA188" s="230">
        <v>12950</v>
      </c>
      <c r="BB188" s="230">
        <v>12250</v>
      </c>
      <c r="BC188" s="229">
        <v>0.94589999999999996</v>
      </c>
      <c r="BD188" s="230">
        <v>1050</v>
      </c>
      <c r="BE188" s="228">
        <v>525</v>
      </c>
      <c r="BF188" s="228">
        <v>525</v>
      </c>
      <c r="BG188" s="229">
        <v>1</v>
      </c>
      <c r="BH188" s="230">
        <v>188475</v>
      </c>
      <c r="BI188" s="230">
        <v>310275</v>
      </c>
      <c r="BJ188" s="230">
        <v>-121800</v>
      </c>
      <c r="BK188" s="229">
        <v>-0.3926</v>
      </c>
      <c r="BL188" s="230">
        <v>70175</v>
      </c>
      <c r="BM188" s="230">
        <v>67550</v>
      </c>
      <c r="BN188" s="230">
        <v>2625</v>
      </c>
      <c r="BO188" s="229">
        <v>3.8899999999999997E-2</v>
      </c>
      <c r="BP188" s="230">
        <v>389025</v>
      </c>
      <c r="BQ188" s="230">
        <v>546000</v>
      </c>
      <c r="BR188" s="230">
        <v>-156975</v>
      </c>
      <c r="BS188" s="229">
        <v>-0.28749999999999998</v>
      </c>
      <c r="BT188" s="230">
        <v>30226</v>
      </c>
      <c r="BU188" s="230">
        <v>76434</v>
      </c>
      <c r="BV188" s="230">
        <v>-46208</v>
      </c>
      <c r="BW188" s="229">
        <v>-0.60450000000000004</v>
      </c>
      <c r="BX188" s="230">
        <v>1321775</v>
      </c>
      <c r="BY188" s="230">
        <v>1329650</v>
      </c>
      <c r="BZ188" s="230">
        <v>-7875</v>
      </c>
      <c r="CA188" s="229">
        <v>-5.8999999999999999E-3</v>
      </c>
      <c r="CB188" s="230">
        <v>1282575</v>
      </c>
      <c r="CC188" s="230">
        <v>1300600</v>
      </c>
      <c r="CD188" s="230">
        <v>-18025</v>
      </c>
      <c r="CE188" s="229">
        <v>-1.3899999999999999E-2</v>
      </c>
      <c r="CF188" s="230">
        <v>37450</v>
      </c>
      <c r="CG188" s="230">
        <v>27125</v>
      </c>
      <c r="CH188" s="230">
        <v>10325</v>
      </c>
      <c r="CI188" s="229">
        <v>0.38059999999999999</v>
      </c>
      <c r="CJ188" s="230">
        <v>1750</v>
      </c>
      <c r="CK188" s="230">
        <v>1925</v>
      </c>
      <c r="CL188" s="228">
        <v>-175</v>
      </c>
      <c r="CM188" s="229">
        <v>-9.0899999999999995E-2</v>
      </c>
      <c r="CN188" s="230">
        <v>416150</v>
      </c>
      <c r="CO188" s="230">
        <v>415800</v>
      </c>
      <c r="CP188" s="228">
        <v>350</v>
      </c>
      <c r="CQ188" s="229">
        <v>8.0000000000000004E-4</v>
      </c>
      <c r="CR188" s="230">
        <v>206850</v>
      </c>
      <c r="CS188" s="230">
        <v>182875</v>
      </c>
      <c r="CT188" s="230">
        <v>23975</v>
      </c>
      <c r="CU188" s="229">
        <v>0.13109999999999999</v>
      </c>
      <c r="CV188" s="230">
        <v>1944775</v>
      </c>
      <c r="CW188" s="230">
        <v>1928325</v>
      </c>
      <c r="CX188" s="230">
        <v>16450</v>
      </c>
      <c r="CY188" s="229">
        <v>8.5000000000000006E-3</v>
      </c>
      <c r="CZ188" s="228">
        <v>31.44</v>
      </c>
      <c r="DA188" s="228">
        <v>33.56</v>
      </c>
      <c r="DB188" s="228">
        <v>-2.12</v>
      </c>
      <c r="DC188" s="228">
        <v>-2.12</v>
      </c>
      <c r="DD188" s="228">
        <v>41.42</v>
      </c>
      <c r="DE188" s="228">
        <v>41.5</v>
      </c>
      <c r="DF188" s="228">
        <v>-9.98</v>
      </c>
      <c r="DG188" s="228">
        <v>-0.08</v>
      </c>
      <c r="DH188" s="228">
        <v>31.29</v>
      </c>
      <c r="DI188" s="228">
        <v>33.799999999999997</v>
      </c>
      <c r="DJ188" s="228">
        <v>-2.5099999999999998</v>
      </c>
      <c r="DK188" s="228">
        <v>-2.5099999999999998</v>
      </c>
      <c r="DL188" s="228">
        <v>31.83</v>
      </c>
      <c r="DM188" s="228">
        <v>32.450000000000003</v>
      </c>
      <c r="DN188" s="228">
        <v>-0.62</v>
      </c>
      <c r="DO188" s="228">
        <v>-0.62</v>
      </c>
      <c r="DP188" s="228">
        <v>0.5</v>
      </c>
      <c r="DQ188" s="228">
        <v>0.44</v>
      </c>
      <c r="DR188" s="228">
        <v>0.06</v>
      </c>
      <c r="DS188" s="229">
        <v>0.13639999999999999</v>
      </c>
      <c r="DT188" s="231">
        <v>4500</v>
      </c>
      <c r="DU188" s="231">
        <v>4200</v>
      </c>
      <c r="DV188" s="228">
        <v>0.37</v>
      </c>
      <c r="DW188" s="228">
        <v>0.22</v>
      </c>
      <c r="DX188" s="228">
        <v>0.15</v>
      </c>
      <c r="DY188" s="229">
        <v>0.68179999999999996</v>
      </c>
      <c r="DZ188" s="229">
        <v>2.9700000000000001E-2</v>
      </c>
      <c r="EA188" s="230">
        <v>29050</v>
      </c>
      <c r="EB188" s="229">
        <v>2.7000000000000001E-3</v>
      </c>
      <c r="EC188" s="229">
        <v>2.9700000000000001E-2</v>
      </c>
      <c r="ED188" s="228">
        <v>10.28</v>
      </c>
      <c r="EE188" s="229">
        <v>2.3999999999999998E-3</v>
      </c>
      <c r="EF188" s="230">
        <v>13677</v>
      </c>
      <c r="EG188" s="230">
        <v>40654</v>
      </c>
      <c r="EH188" s="229">
        <v>-0.66359999999999997</v>
      </c>
      <c r="EI188" s="229">
        <v>0.45250000000000001</v>
      </c>
      <c r="EJ188" s="231">
        <v>8273.42</v>
      </c>
      <c r="EK188" s="231">
        <v>2944.45</v>
      </c>
      <c r="EL188" s="231">
        <v>5542.16</v>
      </c>
      <c r="EM188" s="231">
        <v>1057</v>
      </c>
      <c r="EN188" s="231">
        <v>16760.03</v>
      </c>
      <c r="EO188" s="231">
        <v>23666.98</v>
      </c>
      <c r="EP188" s="231">
        <v>-6906.95</v>
      </c>
      <c r="EQ188" s="229">
        <v>-0.2918</v>
      </c>
      <c r="ER188" s="231">
        <v>18541</v>
      </c>
      <c r="ES188" s="231">
        <v>8634</v>
      </c>
      <c r="ET188" s="231">
        <v>56277</v>
      </c>
      <c r="EU188" s="231">
        <v>7242074</v>
      </c>
      <c r="EV188" s="231">
        <v>83452</v>
      </c>
      <c r="EW188" s="231">
        <v>82218</v>
      </c>
      <c r="EX188" s="231">
        <v>1234</v>
      </c>
      <c r="EY188" s="229">
        <v>1.4999999999999999E-2</v>
      </c>
      <c r="EZ188" s="229">
        <v>0.26850000000000002</v>
      </c>
      <c r="FA188" s="227" t="s">
        <v>556</v>
      </c>
      <c r="FB188" s="161">
        <f t="shared" si="4"/>
        <v>0</v>
      </c>
    </row>
    <row r="189" spans="1:158" ht="17.25" thickBot="1" x14ac:dyDescent="0.3">
      <c r="A189" s="226">
        <v>45946</v>
      </c>
      <c r="B189" s="227" t="s">
        <v>161</v>
      </c>
      <c r="C189" s="227" t="s">
        <v>685</v>
      </c>
      <c r="D189" s="228">
        <v>8000</v>
      </c>
      <c r="E189" s="228">
        <v>53.83</v>
      </c>
      <c r="F189" s="228">
        <v>53.96</v>
      </c>
      <c r="G189" s="228">
        <v>-0.13</v>
      </c>
      <c r="H189" s="229">
        <v>-2.3999999999999998E-3</v>
      </c>
      <c r="I189" s="228">
        <v>53.61</v>
      </c>
      <c r="J189" s="228">
        <v>53.73</v>
      </c>
      <c r="K189" s="228">
        <v>-0.12</v>
      </c>
      <c r="L189" s="229">
        <v>-2.2000000000000001E-3</v>
      </c>
      <c r="M189" s="228">
        <v>53.83</v>
      </c>
      <c r="N189" s="228">
        <v>53.96</v>
      </c>
      <c r="O189" s="228">
        <v>-0.13</v>
      </c>
      <c r="P189" s="229">
        <v>-2.3999999999999998E-3</v>
      </c>
      <c r="Q189" s="228">
        <v>54.05</v>
      </c>
      <c r="R189" s="228">
        <v>54.21</v>
      </c>
      <c r="S189" s="228">
        <v>-0.16</v>
      </c>
      <c r="T189" s="229">
        <v>-3.0000000000000001E-3</v>
      </c>
      <c r="U189" s="228">
        <v>54.36</v>
      </c>
      <c r="V189" s="228">
        <v>54.57</v>
      </c>
      <c r="W189" s="228">
        <v>-0.21</v>
      </c>
      <c r="X189" s="229">
        <v>-3.8E-3</v>
      </c>
      <c r="Y189" s="228">
        <v>0.22</v>
      </c>
      <c r="Z189" s="228">
        <v>0.23</v>
      </c>
      <c r="AA189" s="228">
        <v>-0.01</v>
      </c>
      <c r="AB189" s="229">
        <v>4.1000000000000003E-3</v>
      </c>
      <c r="AC189" s="228">
        <v>0.22</v>
      </c>
      <c r="AD189" s="228">
        <v>0.23</v>
      </c>
      <c r="AE189" s="228">
        <v>-0.01</v>
      </c>
      <c r="AF189" s="229">
        <v>4.1000000000000003E-3</v>
      </c>
      <c r="AG189" s="228">
        <v>0.44</v>
      </c>
      <c r="AH189" s="228">
        <v>0.48</v>
      </c>
      <c r="AI189" s="228">
        <v>-0.04</v>
      </c>
      <c r="AJ189" s="229">
        <v>8.2000000000000007E-3</v>
      </c>
      <c r="AK189" s="228">
        <v>0.75</v>
      </c>
      <c r="AL189" s="228">
        <v>0.84</v>
      </c>
      <c r="AM189" s="228">
        <v>-0.09</v>
      </c>
      <c r="AN189" s="229">
        <v>1.4E-2</v>
      </c>
      <c r="AO189" s="228">
        <v>53.86</v>
      </c>
      <c r="AP189" s="228">
        <v>54.16</v>
      </c>
      <c r="AQ189" s="228">
        <v>0</v>
      </c>
      <c r="AR189" s="230">
        <v>38048000</v>
      </c>
      <c r="AS189" s="230">
        <v>33984000</v>
      </c>
      <c r="AT189" s="230">
        <v>4064000</v>
      </c>
      <c r="AU189" s="229">
        <v>0.1196</v>
      </c>
      <c r="AV189" s="230">
        <v>31312000</v>
      </c>
      <c r="AW189" s="230">
        <v>26744000</v>
      </c>
      <c r="AX189" s="230">
        <v>4568000</v>
      </c>
      <c r="AY189" s="229">
        <v>0.17080000000000001</v>
      </c>
      <c r="AZ189" s="230">
        <v>6088000</v>
      </c>
      <c r="BA189" s="230">
        <v>6800000</v>
      </c>
      <c r="BB189" s="230">
        <v>-712000</v>
      </c>
      <c r="BC189" s="229">
        <v>-0.1047</v>
      </c>
      <c r="BD189" s="230">
        <v>648000</v>
      </c>
      <c r="BE189" s="230">
        <v>440000</v>
      </c>
      <c r="BF189" s="230">
        <v>208000</v>
      </c>
      <c r="BG189" s="229">
        <v>0.47270000000000001</v>
      </c>
      <c r="BH189" s="230">
        <v>67776000</v>
      </c>
      <c r="BI189" s="230">
        <v>56808000</v>
      </c>
      <c r="BJ189" s="230">
        <v>10968000</v>
      </c>
      <c r="BK189" s="229">
        <v>0.19309999999999999</v>
      </c>
      <c r="BL189" s="230">
        <v>8208000</v>
      </c>
      <c r="BM189" s="230">
        <v>15272000</v>
      </c>
      <c r="BN189" s="230">
        <v>-7064000</v>
      </c>
      <c r="BO189" s="229">
        <v>-0.46250000000000002</v>
      </c>
      <c r="BP189" s="230">
        <v>114032000</v>
      </c>
      <c r="BQ189" s="230">
        <v>106064000</v>
      </c>
      <c r="BR189" s="230">
        <v>7968000</v>
      </c>
      <c r="BS189" s="229">
        <v>7.51E-2</v>
      </c>
      <c r="BT189" s="230">
        <v>52794097</v>
      </c>
      <c r="BU189" s="230">
        <v>63700341</v>
      </c>
      <c r="BV189" s="230">
        <v>-10906244</v>
      </c>
      <c r="BW189" s="229">
        <v>-0.17119999999999999</v>
      </c>
      <c r="BX189" s="230">
        <v>229328000</v>
      </c>
      <c r="BY189" s="230">
        <v>213160000</v>
      </c>
      <c r="BZ189" s="230">
        <v>16168000</v>
      </c>
      <c r="CA189" s="229">
        <v>7.5800000000000006E-2</v>
      </c>
      <c r="CB189" s="230">
        <v>200304000</v>
      </c>
      <c r="CC189" s="230">
        <v>187120000</v>
      </c>
      <c r="CD189" s="230">
        <v>13184000</v>
      </c>
      <c r="CE189" s="229">
        <v>7.0499999999999993E-2</v>
      </c>
      <c r="CF189" s="230">
        <v>26080000</v>
      </c>
      <c r="CG189" s="230">
        <v>23544000</v>
      </c>
      <c r="CH189" s="230">
        <v>2536000</v>
      </c>
      <c r="CI189" s="229">
        <v>0.1077</v>
      </c>
      <c r="CJ189" s="230">
        <v>2944000</v>
      </c>
      <c r="CK189" s="230">
        <v>2496000</v>
      </c>
      <c r="CL189" s="230">
        <v>448000</v>
      </c>
      <c r="CM189" s="229">
        <v>0.17949999999999999</v>
      </c>
      <c r="CN189" s="230">
        <v>169976000</v>
      </c>
      <c r="CO189" s="230">
        <v>159184000</v>
      </c>
      <c r="CP189" s="230">
        <v>10792000</v>
      </c>
      <c r="CQ189" s="229">
        <v>6.7799999999999999E-2</v>
      </c>
      <c r="CR189" s="230">
        <v>75064000</v>
      </c>
      <c r="CS189" s="230">
        <v>73768000</v>
      </c>
      <c r="CT189" s="230">
        <v>1296000</v>
      </c>
      <c r="CU189" s="229">
        <v>1.7600000000000001E-2</v>
      </c>
      <c r="CV189" s="230">
        <v>474368000</v>
      </c>
      <c r="CW189" s="230">
        <v>446112000</v>
      </c>
      <c r="CX189" s="230">
        <v>28256000</v>
      </c>
      <c r="CY189" s="229">
        <v>6.3299999999999995E-2</v>
      </c>
      <c r="CZ189" s="228">
        <v>33.9</v>
      </c>
      <c r="DA189" s="228">
        <v>33.119999999999997</v>
      </c>
      <c r="DB189" s="228">
        <v>0.78</v>
      </c>
      <c r="DC189" s="228">
        <v>0.78</v>
      </c>
      <c r="DD189" s="228">
        <v>50.53</v>
      </c>
      <c r="DE189" s="228">
        <v>50.65</v>
      </c>
      <c r="DF189" s="228">
        <v>-16.63</v>
      </c>
      <c r="DG189" s="228">
        <v>-0.12</v>
      </c>
      <c r="DH189" s="228">
        <v>34.130000000000003</v>
      </c>
      <c r="DI189" s="228">
        <v>34.08</v>
      </c>
      <c r="DJ189" s="228">
        <v>0.05</v>
      </c>
      <c r="DK189" s="228">
        <v>0.05</v>
      </c>
      <c r="DL189" s="228">
        <v>32</v>
      </c>
      <c r="DM189" s="228">
        <v>29.58</v>
      </c>
      <c r="DN189" s="228">
        <v>2.42</v>
      </c>
      <c r="DO189" s="228">
        <v>2.42</v>
      </c>
      <c r="DP189" s="228">
        <v>0.44</v>
      </c>
      <c r="DQ189" s="228">
        <v>0.46</v>
      </c>
      <c r="DR189" s="228">
        <v>-0.02</v>
      </c>
      <c r="DS189" s="229">
        <v>-4.3499999999999997E-2</v>
      </c>
      <c r="DT189" s="228">
        <v>60</v>
      </c>
      <c r="DU189" s="228">
        <v>56</v>
      </c>
      <c r="DV189" s="228">
        <v>0.12</v>
      </c>
      <c r="DW189" s="228">
        <v>0.27</v>
      </c>
      <c r="DX189" s="228">
        <v>-0.15</v>
      </c>
      <c r="DY189" s="229">
        <v>-0.55559999999999998</v>
      </c>
      <c r="DZ189" s="229">
        <v>0.12659999999999999</v>
      </c>
      <c r="EA189" s="230">
        <v>26040000</v>
      </c>
      <c r="EB189" s="229">
        <v>4.1000000000000003E-3</v>
      </c>
      <c r="EC189" s="229">
        <v>0.12659999999999999</v>
      </c>
      <c r="ED189" s="228">
        <v>0.3</v>
      </c>
      <c r="EE189" s="229">
        <v>5.5999999999999999E-3</v>
      </c>
      <c r="EF189" s="230">
        <v>34659323</v>
      </c>
      <c r="EG189" s="230">
        <v>38895006</v>
      </c>
      <c r="EH189" s="229">
        <v>-0.1089</v>
      </c>
      <c r="EI189" s="229">
        <v>0.65649999999999997</v>
      </c>
      <c r="EJ189" s="231">
        <v>39014.089999999997</v>
      </c>
      <c r="EK189" s="231">
        <v>4382.76</v>
      </c>
      <c r="EL189" s="231">
        <v>20515.060000000001</v>
      </c>
      <c r="EM189" s="231">
        <v>3701</v>
      </c>
      <c r="EN189" s="231">
        <v>63911.91</v>
      </c>
      <c r="EO189" s="231">
        <v>59422.18</v>
      </c>
      <c r="EP189" s="231">
        <v>4489.7299999999996</v>
      </c>
      <c r="EQ189" s="229">
        <v>7.5600000000000001E-2</v>
      </c>
      <c r="ER189" s="231">
        <v>99570</v>
      </c>
      <c r="ES189" s="231">
        <v>41209</v>
      </c>
      <c r="ET189" s="231">
        <v>123520</v>
      </c>
      <c r="EU189" s="231">
        <v>1813533848</v>
      </c>
      <c r="EV189" s="231">
        <v>264299</v>
      </c>
      <c r="EW189" s="231">
        <v>249101</v>
      </c>
      <c r="EX189" s="231">
        <v>15198</v>
      </c>
      <c r="EY189" s="229">
        <v>6.0999999999999999E-2</v>
      </c>
      <c r="EZ189" s="229">
        <v>0.2616</v>
      </c>
      <c r="FA189" s="227" t="s">
        <v>567</v>
      </c>
      <c r="FB189" s="161">
        <f t="shared" si="4"/>
        <v>0</v>
      </c>
    </row>
    <row r="190" spans="1:158" ht="17.25" thickBot="1" x14ac:dyDescent="0.3">
      <c r="A190" s="226">
        <v>45946</v>
      </c>
      <c r="B190" s="227" t="s">
        <v>170</v>
      </c>
      <c r="C190" s="227" t="s">
        <v>520</v>
      </c>
      <c r="D190" s="228">
        <v>1000</v>
      </c>
      <c r="E190" s="228">
        <v>641.85</v>
      </c>
      <c r="F190" s="228">
        <v>630.04999999999995</v>
      </c>
      <c r="G190" s="228">
        <v>11.8</v>
      </c>
      <c r="H190" s="229">
        <v>1.8700000000000001E-2</v>
      </c>
      <c r="I190" s="228">
        <v>640.4</v>
      </c>
      <c r="J190" s="228">
        <v>628.1</v>
      </c>
      <c r="K190" s="228">
        <v>12.3</v>
      </c>
      <c r="L190" s="229">
        <v>1.9599999999999999E-2</v>
      </c>
      <c r="M190" s="228">
        <v>641.85</v>
      </c>
      <c r="N190" s="228">
        <v>630.04999999999995</v>
      </c>
      <c r="O190" s="228">
        <v>11.8</v>
      </c>
      <c r="P190" s="229">
        <v>1.8700000000000001E-2</v>
      </c>
      <c r="Q190" s="228">
        <v>645.54999999999995</v>
      </c>
      <c r="R190" s="228">
        <v>633.35</v>
      </c>
      <c r="S190" s="228">
        <v>12.2</v>
      </c>
      <c r="T190" s="229">
        <v>1.9300000000000001E-2</v>
      </c>
      <c r="U190" s="228">
        <v>649.70000000000005</v>
      </c>
      <c r="V190" s="228">
        <v>637.1</v>
      </c>
      <c r="W190" s="228">
        <v>12.6</v>
      </c>
      <c r="X190" s="229">
        <v>1.9800000000000002E-2</v>
      </c>
      <c r="Y190" s="228">
        <v>1.45</v>
      </c>
      <c r="Z190" s="228">
        <v>1.95</v>
      </c>
      <c r="AA190" s="228">
        <v>-0.5</v>
      </c>
      <c r="AB190" s="229">
        <v>2.3E-3</v>
      </c>
      <c r="AC190" s="228">
        <v>1.45</v>
      </c>
      <c r="AD190" s="228">
        <v>1.95</v>
      </c>
      <c r="AE190" s="228">
        <v>-0.5</v>
      </c>
      <c r="AF190" s="229">
        <v>2.3E-3</v>
      </c>
      <c r="AG190" s="228">
        <v>5.15</v>
      </c>
      <c r="AH190" s="228">
        <v>5.25</v>
      </c>
      <c r="AI190" s="228">
        <v>-0.1</v>
      </c>
      <c r="AJ190" s="229">
        <v>8.0000000000000002E-3</v>
      </c>
      <c r="AK190" s="228">
        <v>9.3000000000000007</v>
      </c>
      <c r="AL190" s="228">
        <v>9</v>
      </c>
      <c r="AM190" s="228">
        <v>0.3</v>
      </c>
      <c r="AN190" s="229">
        <v>1.4500000000000001E-2</v>
      </c>
      <c r="AO190" s="228">
        <v>642.71</v>
      </c>
      <c r="AP190" s="228">
        <v>645.26</v>
      </c>
      <c r="AQ190" s="228">
        <v>0</v>
      </c>
      <c r="AR190" s="230">
        <v>3158000</v>
      </c>
      <c r="AS190" s="230">
        <v>1669000</v>
      </c>
      <c r="AT190" s="230">
        <v>1489000</v>
      </c>
      <c r="AU190" s="229">
        <v>0.89219999999999999</v>
      </c>
      <c r="AV190" s="230">
        <v>2768000</v>
      </c>
      <c r="AW190" s="230">
        <v>1248000</v>
      </c>
      <c r="AX190" s="230">
        <v>1520000</v>
      </c>
      <c r="AY190" s="229">
        <v>1.2179</v>
      </c>
      <c r="AZ190" s="230">
        <v>345000</v>
      </c>
      <c r="BA190" s="230">
        <v>408000</v>
      </c>
      <c r="BB190" s="230">
        <v>-63000</v>
      </c>
      <c r="BC190" s="229">
        <v>-0.15440000000000001</v>
      </c>
      <c r="BD190" s="230">
        <v>45000</v>
      </c>
      <c r="BE190" s="230">
        <v>13000</v>
      </c>
      <c r="BF190" s="230">
        <v>32000</v>
      </c>
      <c r="BG190" s="229">
        <v>2.4615</v>
      </c>
      <c r="BH190" s="230">
        <v>6463000</v>
      </c>
      <c r="BI190" s="230">
        <v>2367000</v>
      </c>
      <c r="BJ190" s="230">
        <v>4096000</v>
      </c>
      <c r="BK190" s="229">
        <v>1.7304999999999999</v>
      </c>
      <c r="BL190" s="230">
        <v>2978000</v>
      </c>
      <c r="BM190" s="230">
        <v>997000</v>
      </c>
      <c r="BN190" s="230">
        <v>1981000</v>
      </c>
      <c r="BO190" s="229">
        <v>1.9870000000000001</v>
      </c>
      <c r="BP190" s="230">
        <v>12599000</v>
      </c>
      <c r="BQ190" s="230">
        <v>5033000</v>
      </c>
      <c r="BR190" s="230">
        <v>7566000</v>
      </c>
      <c r="BS190" s="229">
        <v>1.5033000000000001</v>
      </c>
      <c r="BT190" s="230">
        <v>839463</v>
      </c>
      <c r="BU190" s="230">
        <v>664320</v>
      </c>
      <c r="BV190" s="230">
        <v>175143</v>
      </c>
      <c r="BW190" s="229">
        <v>0.2636</v>
      </c>
      <c r="BX190" s="230">
        <v>9951000</v>
      </c>
      <c r="BY190" s="230">
        <v>10796000</v>
      </c>
      <c r="BZ190" s="230">
        <v>-845000</v>
      </c>
      <c r="CA190" s="229">
        <v>-7.8299999999999995E-2</v>
      </c>
      <c r="CB190" s="230">
        <v>9270000</v>
      </c>
      <c r="CC190" s="230">
        <v>10061000</v>
      </c>
      <c r="CD190" s="230">
        <v>-791000</v>
      </c>
      <c r="CE190" s="229">
        <v>-7.8600000000000003E-2</v>
      </c>
      <c r="CF190" s="230">
        <v>632000</v>
      </c>
      <c r="CG190" s="230">
        <v>657000</v>
      </c>
      <c r="CH190" s="230">
        <v>-25000</v>
      </c>
      <c r="CI190" s="229">
        <v>-3.8100000000000002E-2</v>
      </c>
      <c r="CJ190" s="230">
        <v>49000</v>
      </c>
      <c r="CK190" s="230">
        <v>78000</v>
      </c>
      <c r="CL190" s="230">
        <v>-29000</v>
      </c>
      <c r="CM190" s="229">
        <v>-0.37180000000000002</v>
      </c>
      <c r="CN190" s="230">
        <v>3137000</v>
      </c>
      <c r="CO190" s="230">
        <v>3700000</v>
      </c>
      <c r="CP190" s="230">
        <v>-563000</v>
      </c>
      <c r="CQ190" s="229">
        <v>-0.1522</v>
      </c>
      <c r="CR190" s="230">
        <v>1924000</v>
      </c>
      <c r="CS190" s="230">
        <v>2145000</v>
      </c>
      <c r="CT190" s="230">
        <v>-221000</v>
      </c>
      <c r="CU190" s="229">
        <v>-0.10299999999999999</v>
      </c>
      <c r="CV190" s="230">
        <v>15012000</v>
      </c>
      <c r="CW190" s="230">
        <v>16641000</v>
      </c>
      <c r="CX190" s="230">
        <v>-1629000</v>
      </c>
      <c r="CY190" s="229">
        <v>-9.7900000000000001E-2</v>
      </c>
      <c r="CZ190" s="228">
        <v>26.48</v>
      </c>
      <c r="DA190" s="228">
        <v>28.28</v>
      </c>
      <c r="DB190" s="228">
        <v>-1.8</v>
      </c>
      <c r="DC190" s="228">
        <v>-1.8</v>
      </c>
      <c r="DD190" s="228">
        <v>33.4</v>
      </c>
      <c r="DE190" s="228">
        <v>33.39</v>
      </c>
      <c r="DF190" s="228">
        <v>-6.92</v>
      </c>
      <c r="DG190" s="228">
        <v>0.01</v>
      </c>
      <c r="DH190" s="228">
        <v>26.19</v>
      </c>
      <c r="DI190" s="228">
        <v>28.25</v>
      </c>
      <c r="DJ190" s="228">
        <v>-2.06</v>
      </c>
      <c r="DK190" s="228">
        <v>-2.06</v>
      </c>
      <c r="DL190" s="228">
        <v>27.13</v>
      </c>
      <c r="DM190" s="228">
        <v>28.37</v>
      </c>
      <c r="DN190" s="228">
        <v>-1.24</v>
      </c>
      <c r="DO190" s="228">
        <v>-1.24</v>
      </c>
      <c r="DP190" s="228">
        <v>0.61</v>
      </c>
      <c r="DQ190" s="228">
        <v>0.57999999999999996</v>
      </c>
      <c r="DR190" s="228">
        <v>0.03</v>
      </c>
      <c r="DS190" s="229">
        <v>5.1700000000000003E-2</v>
      </c>
      <c r="DT190" s="228">
        <v>640</v>
      </c>
      <c r="DU190" s="228">
        <v>630</v>
      </c>
      <c r="DV190" s="228">
        <v>0.46</v>
      </c>
      <c r="DW190" s="228">
        <v>0.42</v>
      </c>
      <c r="DX190" s="228">
        <v>0.04</v>
      </c>
      <c r="DY190" s="229">
        <v>9.5200000000000007E-2</v>
      </c>
      <c r="DZ190" s="229">
        <v>6.8400000000000002E-2</v>
      </c>
      <c r="EA190" s="230">
        <v>735000</v>
      </c>
      <c r="EB190" s="229">
        <v>5.7999999999999996E-3</v>
      </c>
      <c r="EC190" s="229">
        <v>6.8400000000000002E-2</v>
      </c>
      <c r="ED190" s="228">
        <v>2.5499999999999998</v>
      </c>
      <c r="EE190" s="229">
        <v>4.0000000000000001E-3</v>
      </c>
      <c r="EF190" s="230">
        <v>420666</v>
      </c>
      <c r="EG190" s="230">
        <v>417416</v>
      </c>
      <c r="EH190" s="229">
        <v>7.7999999999999996E-3</v>
      </c>
      <c r="EI190" s="229">
        <v>0.50109999999999999</v>
      </c>
      <c r="EJ190" s="231">
        <v>42626.8</v>
      </c>
      <c r="EK190" s="231">
        <v>18892.5</v>
      </c>
      <c r="EL190" s="231">
        <v>20308.12</v>
      </c>
      <c r="EM190" s="231">
        <v>2326</v>
      </c>
      <c r="EN190" s="231">
        <v>81827.42</v>
      </c>
      <c r="EO190" s="231">
        <v>32355.39</v>
      </c>
      <c r="EP190" s="231">
        <v>49472.03</v>
      </c>
      <c r="EQ190" s="229">
        <v>1.5289999999999999</v>
      </c>
      <c r="ER190" s="231">
        <v>20684</v>
      </c>
      <c r="ES190" s="231">
        <v>12064</v>
      </c>
      <c r="ET190" s="231">
        <v>63898</v>
      </c>
      <c r="EU190" s="231">
        <v>28408333</v>
      </c>
      <c r="EV190" s="231">
        <v>96646</v>
      </c>
      <c r="EW190" s="231">
        <v>105798</v>
      </c>
      <c r="EX190" s="231">
        <v>-9152</v>
      </c>
      <c r="EY190" s="229">
        <v>-8.6499999999999994E-2</v>
      </c>
      <c r="EZ190" s="229">
        <v>0.52839999999999998</v>
      </c>
      <c r="FA190" s="227" t="s">
        <v>556</v>
      </c>
      <c r="FB190" s="161">
        <f t="shared" si="4"/>
        <v>0</v>
      </c>
    </row>
    <row r="191" spans="1:158" ht="17.25" thickBot="1" x14ac:dyDescent="0.3">
      <c r="A191" s="226">
        <v>45946</v>
      </c>
      <c r="B191" s="227" t="s">
        <v>168</v>
      </c>
      <c r="C191" s="227" t="s">
        <v>291</v>
      </c>
      <c r="D191" s="228">
        <v>550</v>
      </c>
      <c r="E191" s="231">
        <v>1151.2</v>
      </c>
      <c r="F191" s="231">
        <v>1119</v>
      </c>
      <c r="G191" s="228">
        <v>32.200000000000003</v>
      </c>
      <c r="H191" s="229">
        <v>2.8799999999999999E-2</v>
      </c>
      <c r="I191" s="231">
        <v>1149.3</v>
      </c>
      <c r="J191" s="231">
        <v>1114.2</v>
      </c>
      <c r="K191" s="228">
        <v>35.1</v>
      </c>
      <c r="L191" s="229">
        <v>3.15E-2</v>
      </c>
      <c r="M191" s="231">
        <v>1151.2</v>
      </c>
      <c r="N191" s="231">
        <v>1119</v>
      </c>
      <c r="O191" s="228">
        <v>32.200000000000003</v>
      </c>
      <c r="P191" s="229">
        <v>2.8799999999999999E-2</v>
      </c>
      <c r="Q191" s="231">
        <v>1157.3</v>
      </c>
      <c r="R191" s="231">
        <v>1124.8</v>
      </c>
      <c r="S191" s="228">
        <v>32.5</v>
      </c>
      <c r="T191" s="229">
        <v>2.8899999999999999E-2</v>
      </c>
      <c r="U191" s="231">
        <v>1164.5</v>
      </c>
      <c r="V191" s="231">
        <v>1137.5999999999999</v>
      </c>
      <c r="W191" s="228">
        <v>26.9</v>
      </c>
      <c r="X191" s="229">
        <v>2.3599999999999999E-2</v>
      </c>
      <c r="Y191" s="228">
        <v>1.9</v>
      </c>
      <c r="Z191" s="228">
        <v>4.8</v>
      </c>
      <c r="AA191" s="228">
        <v>-2.9</v>
      </c>
      <c r="AB191" s="229">
        <v>1.6999999999999999E-3</v>
      </c>
      <c r="AC191" s="228">
        <v>1.9</v>
      </c>
      <c r="AD191" s="228">
        <v>4.8</v>
      </c>
      <c r="AE191" s="228">
        <v>-2.9</v>
      </c>
      <c r="AF191" s="229">
        <v>1.6999999999999999E-3</v>
      </c>
      <c r="AG191" s="228">
        <v>8</v>
      </c>
      <c r="AH191" s="228">
        <v>10.6</v>
      </c>
      <c r="AI191" s="228">
        <v>-2.6</v>
      </c>
      <c r="AJ191" s="229">
        <v>7.0000000000000001E-3</v>
      </c>
      <c r="AK191" s="228">
        <v>15.2</v>
      </c>
      <c r="AL191" s="228">
        <v>23.4</v>
      </c>
      <c r="AM191" s="228">
        <v>-8.1999999999999993</v>
      </c>
      <c r="AN191" s="229">
        <v>1.32E-2</v>
      </c>
      <c r="AO191" s="231">
        <v>1135.32</v>
      </c>
      <c r="AP191" s="231">
        <v>1140.76</v>
      </c>
      <c r="AQ191" s="228">
        <v>0</v>
      </c>
      <c r="AR191" s="230">
        <v>3510650</v>
      </c>
      <c r="AS191" s="230">
        <v>1378300</v>
      </c>
      <c r="AT191" s="230">
        <v>2132350</v>
      </c>
      <c r="AU191" s="229">
        <v>1.5470999999999999</v>
      </c>
      <c r="AV191" s="230">
        <v>3201550</v>
      </c>
      <c r="AW191" s="230">
        <v>1181400</v>
      </c>
      <c r="AX191" s="230">
        <v>2020150</v>
      </c>
      <c r="AY191" s="229">
        <v>1.71</v>
      </c>
      <c r="AZ191" s="230">
        <v>306350</v>
      </c>
      <c r="BA191" s="230">
        <v>193050</v>
      </c>
      <c r="BB191" s="230">
        <v>113300</v>
      </c>
      <c r="BC191" s="229">
        <v>0.58689999999999998</v>
      </c>
      <c r="BD191" s="230">
        <v>2750</v>
      </c>
      <c r="BE191" s="230">
        <v>3850</v>
      </c>
      <c r="BF191" s="230">
        <v>-1100</v>
      </c>
      <c r="BG191" s="229">
        <v>-0.28570000000000001</v>
      </c>
      <c r="BH191" s="230">
        <v>12966250</v>
      </c>
      <c r="BI191" s="230">
        <v>4066150</v>
      </c>
      <c r="BJ191" s="230">
        <v>8900100</v>
      </c>
      <c r="BK191" s="229">
        <v>2.1888000000000001</v>
      </c>
      <c r="BL191" s="230">
        <v>5375150</v>
      </c>
      <c r="BM191" s="230">
        <v>1531750</v>
      </c>
      <c r="BN191" s="230">
        <v>3843400</v>
      </c>
      <c r="BO191" s="229">
        <v>2.5091999999999999</v>
      </c>
      <c r="BP191" s="230">
        <v>21852050</v>
      </c>
      <c r="BQ191" s="230">
        <v>6976200</v>
      </c>
      <c r="BR191" s="230">
        <v>14875850</v>
      </c>
      <c r="BS191" s="229">
        <v>2.1324000000000001</v>
      </c>
      <c r="BT191" s="230">
        <v>2420139</v>
      </c>
      <c r="BU191" s="230">
        <v>1335722</v>
      </c>
      <c r="BV191" s="230">
        <v>1084417</v>
      </c>
      <c r="BW191" s="229">
        <v>0.81189999999999996</v>
      </c>
      <c r="BX191" s="230">
        <v>17212250</v>
      </c>
      <c r="BY191" s="230">
        <v>17037350</v>
      </c>
      <c r="BZ191" s="230">
        <v>174900</v>
      </c>
      <c r="CA191" s="229">
        <v>1.03E-2</v>
      </c>
      <c r="CB191" s="230">
        <v>16836050</v>
      </c>
      <c r="CC191" s="230">
        <v>16713950</v>
      </c>
      <c r="CD191" s="230">
        <v>122100</v>
      </c>
      <c r="CE191" s="229">
        <v>7.3000000000000001E-3</v>
      </c>
      <c r="CF191" s="230">
        <v>349250</v>
      </c>
      <c r="CG191" s="230">
        <v>295900</v>
      </c>
      <c r="CH191" s="230">
        <v>53350</v>
      </c>
      <c r="CI191" s="229">
        <v>0.18029999999999999</v>
      </c>
      <c r="CJ191" s="230">
        <v>26950</v>
      </c>
      <c r="CK191" s="230">
        <v>27500</v>
      </c>
      <c r="CL191" s="228">
        <v>-550</v>
      </c>
      <c r="CM191" s="229">
        <v>-0.02</v>
      </c>
      <c r="CN191" s="230">
        <v>3812050</v>
      </c>
      <c r="CO191" s="230">
        <v>3812600</v>
      </c>
      <c r="CP191" s="228">
        <v>-550</v>
      </c>
      <c r="CQ191" s="229">
        <v>-1E-4</v>
      </c>
      <c r="CR191" s="230">
        <v>1988250</v>
      </c>
      <c r="CS191" s="230">
        <v>1524050</v>
      </c>
      <c r="CT191" s="230">
        <v>464200</v>
      </c>
      <c r="CU191" s="229">
        <v>0.30459999999999998</v>
      </c>
      <c r="CV191" s="230">
        <v>23012550</v>
      </c>
      <c r="CW191" s="230">
        <v>22374000</v>
      </c>
      <c r="CX191" s="230">
        <v>638550</v>
      </c>
      <c r="CY191" s="229">
        <v>2.8500000000000001E-2</v>
      </c>
      <c r="CZ191" s="228">
        <v>25.23</v>
      </c>
      <c r="DA191" s="228">
        <v>24.36</v>
      </c>
      <c r="DB191" s="228">
        <v>0.87</v>
      </c>
      <c r="DC191" s="228">
        <v>0.87</v>
      </c>
      <c r="DD191" s="228">
        <v>26.99</v>
      </c>
      <c r="DE191" s="228">
        <v>26.73</v>
      </c>
      <c r="DF191" s="228">
        <v>-1.76</v>
      </c>
      <c r="DG191" s="228">
        <v>0.26</v>
      </c>
      <c r="DH191" s="228">
        <v>25.01</v>
      </c>
      <c r="DI191" s="228">
        <v>24.6</v>
      </c>
      <c r="DJ191" s="228">
        <v>0.41</v>
      </c>
      <c r="DK191" s="228">
        <v>0.41</v>
      </c>
      <c r="DL191" s="228">
        <v>25.75</v>
      </c>
      <c r="DM191" s="228">
        <v>23.7</v>
      </c>
      <c r="DN191" s="228">
        <v>2.0499999999999998</v>
      </c>
      <c r="DO191" s="228">
        <v>2.0499999999999998</v>
      </c>
      <c r="DP191" s="228">
        <v>0.52</v>
      </c>
      <c r="DQ191" s="228">
        <v>0.4</v>
      </c>
      <c r="DR191" s="228">
        <v>0.12</v>
      </c>
      <c r="DS191" s="229">
        <v>0.3</v>
      </c>
      <c r="DT191" s="231">
        <v>1150</v>
      </c>
      <c r="DU191" s="231">
        <v>1050</v>
      </c>
      <c r="DV191" s="228">
        <v>0.41</v>
      </c>
      <c r="DW191" s="228">
        <v>0.38</v>
      </c>
      <c r="DX191" s="228">
        <v>0.03</v>
      </c>
      <c r="DY191" s="229">
        <v>7.8899999999999998E-2</v>
      </c>
      <c r="DZ191" s="229">
        <v>2.1899999999999999E-2</v>
      </c>
      <c r="EA191" s="230">
        <v>323400</v>
      </c>
      <c r="EB191" s="229">
        <v>5.3E-3</v>
      </c>
      <c r="EC191" s="229">
        <v>2.1899999999999999E-2</v>
      </c>
      <c r="ED191" s="228">
        <v>5.44</v>
      </c>
      <c r="EE191" s="229">
        <v>4.7999999999999996E-3</v>
      </c>
      <c r="EF191" s="230">
        <v>1358433</v>
      </c>
      <c r="EG191" s="230">
        <v>940487</v>
      </c>
      <c r="EH191" s="229">
        <v>0.44440000000000002</v>
      </c>
      <c r="EI191" s="229">
        <v>0.56130000000000002</v>
      </c>
      <c r="EJ191" s="231">
        <v>151667.34</v>
      </c>
      <c r="EK191" s="231">
        <v>60379.23</v>
      </c>
      <c r="EL191" s="231">
        <v>39874.160000000003</v>
      </c>
      <c r="EM191" s="231">
        <v>2222</v>
      </c>
      <c r="EN191" s="231">
        <v>251920.73</v>
      </c>
      <c r="EO191" s="231">
        <v>79857.89</v>
      </c>
      <c r="EP191" s="231">
        <v>172062.84</v>
      </c>
      <c r="EQ191" s="229">
        <v>2.1545999999999998</v>
      </c>
      <c r="ER191" s="231">
        <v>45509</v>
      </c>
      <c r="ES191" s="231">
        <v>21607</v>
      </c>
      <c r="ET191" s="231">
        <v>198172</v>
      </c>
      <c r="EU191" s="231">
        <v>65471528</v>
      </c>
      <c r="EV191" s="231">
        <v>265288</v>
      </c>
      <c r="EW191" s="231">
        <v>252543</v>
      </c>
      <c r="EX191" s="231">
        <v>12745</v>
      </c>
      <c r="EY191" s="229">
        <v>5.0500000000000003E-2</v>
      </c>
      <c r="EZ191" s="229">
        <v>0.35149999999999998</v>
      </c>
      <c r="FA191" s="227" t="s">
        <v>555</v>
      </c>
      <c r="FB191" s="161">
        <f t="shared" si="4"/>
        <v>0</v>
      </c>
    </row>
    <row r="192" spans="1:158" ht="17.25" thickBot="1" x14ac:dyDescent="0.3">
      <c r="A192" s="226">
        <v>45946</v>
      </c>
      <c r="B192" s="227" t="s">
        <v>221</v>
      </c>
      <c r="C192" s="227" t="s">
        <v>604</v>
      </c>
      <c r="D192" s="228">
        <v>100</v>
      </c>
      <c r="E192" s="231">
        <v>5396</v>
      </c>
      <c r="F192" s="231">
        <v>5353.5</v>
      </c>
      <c r="G192" s="228">
        <v>42.5</v>
      </c>
      <c r="H192" s="229">
        <v>7.9000000000000008E-3</v>
      </c>
      <c r="I192" s="231">
        <v>5403.5</v>
      </c>
      <c r="J192" s="231">
        <v>5367.5</v>
      </c>
      <c r="K192" s="228">
        <v>36</v>
      </c>
      <c r="L192" s="229">
        <v>6.7000000000000002E-3</v>
      </c>
      <c r="M192" s="231">
        <v>5396</v>
      </c>
      <c r="N192" s="231">
        <v>5353.5</v>
      </c>
      <c r="O192" s="228">
        <v>42.5</v>
      </c>
      <c r="P192" s="229">
        <v>7.9000000000000008E-3</v>
      </c>
      <c r="Q192" s="231">
        <v>5347.5</v>
      </c>
      <c r="R192" s="231">
        <v>5307.5</v>
      </c>
      <c r="S192" s="228">
        <v>40</v>
      </c>
      <c r="T192" s="229">
        <v>7.4999999999999997E-3</v>
      </c>
      <c r="U192" s="231">
        <v>5305</v>
      </c>
      <c r="V192" s="231">
        <v>5266</v>
      </c>
      <c r="W192" s="228">
        <v>39</v>
      </c>
      <c r="X192" s="229">
        <v>7.4000000000000003E-3</v>
      </c>
      <c r="Y192" s="228">
        <v>-7.5</v>
      </c>
      <c r="Z192" s="228">
        <v>-14</v>
      </c>
      <c r="AA192" s="228">
        <v>6.5</v>
      </c>
      <c r="AB192" s="229">
        <v>-1.4E-3</v>
      </c>
      <c r="AC192" s="228">
        <v>-7.5</v>
      </c>
      <c r="AD192" s="228">
        <v>-14</v>
      </c>
      <c r="AE192" s="228">
        <v>6.5</v>
      </c>
      <c r="AF192" s="229">
        <v>-1.4E-3</v>
      </c>
      <c r="AG192" s="228">
        <v>-56</v>
      </c>
      <c r="AH192" s="228">
        <v>-60</v>
      </c>
      <c r="AI192" s="228">
        <v>4</v>
      </c>
      <c r="AJ192" s="229">
        <v>-1.04E-2</v>
      </c>
      <c r="AK192" s="228">
        <v>-98.5</v>
      </c>
      <c r="AL192" s="228">
        <v>-101.5</v>
      </c>
      <c r="AM192" s="228">
        <v>3</v>
      </c>
      <c r="AN192" s="229">
        <v>-1.8200000000000001E-2</v>
      </c>
      <c r="AO192" s="231">
        <v>5386.96</v>
      </c>
      <c r="AP192" s="231">
        <v>5337.92</v>
      </c>
      <c r="AQ192" s="228">
        <v>0</v>
      </c>
      <c r="AR192" s="230">
        <v>482400</v>
      </c>
      <c r="AS192" s="230">
        <v>406100</v>
      </c>
      <c r="AT192" s="230">
        <v>76300</v>
      </c>
      <c r="AU192" s="229">
        <v>0.18790000000000001</v>
      </c>
      <c r="AV192" s="230">
        <v>317600</v>
      </c>
      <c r="AW192" s="230">
        <v>279600</v>
      </c>
      <c r="AX192" s="230">
        <v>38000</v>
      </c>
      <c r="AY192" s="229">
        <v>0.13589999999999999</v>
      </c>
      <c r="AZ192" s="230">
        <v>157900</v>
      </c>
      <c r="BA192" s="230">
        <v>121400</v>
      </c>
      <c r="BB192" s="230">
        <v>36500</v>
      </c>
      <c r="BC192" s="229">
        <v>0.30070000000000002</v>
      </c>
      <c r="BD192" s="230">
        <v>6900</v>
      </c>
      <c r="BE192" s="230">
        <v>5100</v>
      </c>
      <c r="BF192" s="230">
        <v>1800</v>
      </c>
      <c r="BG192" s="229">
        <v>0.35289999999999999</v>
      </c>
      <c r="BH192" s="230">
        <v>1169900</v>
      </c>
      <c r="BI192" s="230">
        <v>1299300</v>
      </c>
      <c r="BJ192" s="230">
        <v>-129400</v>
      </c>
      <c r="BK192" s="229">
        <v>-9.9599999999999994E-2</v>
      </c>
      <c r="BL192" s="230">
        <v>352900</v>
      </c>
      <c r="BM192" s="230">
        <v>364100</v>
      </c>
      <c r="BN192" s="230">
        <v>-11200</v>
      </c>
      <c r="BO192" s="229">
        <v>-3.0800000000000001E-2</v>
      </c>
      <c r="BP192" s="230">
        <v>2005200</v>
      </c>
      <c r="BQ192" s="230">
        <v>2069500</v>
      </c>
      <c r="BR192" s="230">
        <v>-64300</v>
      </c>
      <c r="BS192" s="229">
        <v>-3.1099999999999999E-2</v>
      </c>
      <c r="BT192" s="230">
        <v>129284</v>
      </c>
      <c r="BU192" s="230">
        <v>146966</v>
      </c>
      <c r="BV192" s="230">
        <v>-17682</v>
      </c>
      <c r="BW192" s="229">
        <v>-0.1203</v>
      </c>
      <c r="BX192" s="230">
        <v>3975100</v>
      </c>
      <c r="BY192" s="230">
        <v>3910400</v>
      </c>
      <c r="BZ192" s="230">
        <v>64700</v>
      </c>
      <c r="CA192" s="229">
        <v>1.6500000000000001E-2</v>
      </c>
      <c r="CB192" s="230">
        <v>3124300</v>
      </c>
      <c r="CC192" s="230">
        <v>3159900</v>
      </c>
      <c r="CD192" s="230">
        <v>-35600</v>
      </c>
      <c r="CE192" s="229">
        <v>-1.1299999999999999E-2</v>
      </c>
      <c r="CF192" s="230">
        <v>816900</v>
      </c>
      <c r="CG192" s="230">
        <v>720500</v>
      </c>
      <c r="CH192" s="230">
        <v>96400</v>
      </c>
      <c r="CI192" s="229">
        <v>0.1338</v>
      </c>
      <c r="CJ192" s="230">
        <v>33900</v>
      </c>
      <c r="CK192" s="230">
        <v>30000</v>
      </c>
      <c r="CL192" s="230">
        <v>3900</v>
      </c>
      <c r="CM192" s="229">
        <v>0.13</v>
      </c>
      <c r="CN192" s="230">
        <v>1746800</v>
      </c>
      <c r="CO192" s="230">
        <v>1925500</v>
      </c>
      <c r="CP192" s="230">
        <v>-178700</v>
      </c>
      <c r="CQ192" s="229">
        <v>-9.2799999999999994E-2</v>
      </c>
      <c r="CR192" s="230">
        <v>695900</v>
      </c>
      <c r="CS192" s="230">
        <v>733200</v>
      </c>
      <c r="CT192" s="230">
        <v>-37300</v>
      </c>
      <c r="CU192" s="229">
        <v>-5.0900000000000001E-2</v>
      </c>
      <c r="CV192" s="230">
        <v>6417800</v>
      </c>
      <c r="CW192" s="230">
        <v>6569100</v>
      </c>
      <c r="CX192" s="230">
        <v>-151300</v>
      </c>
      <c r="CY192" s="229">
        <v>-2.3E-2</v>
      </c>
      <c r="CZ192" s="228">
        <v>29.36</v>
      </c>
      <c r="DA192" s="228">
        <v>30.63</v>
      </c>
      <c r="DB192" s="228">
        <v>-1.27</v>
      </c>
      <c r="DC192" s="228">
        <v>-1.27</v>
      </c>
      <c r="DD192" s="228">
        <v>36.57</v>
      </c>
      <c r="DE192" s="228">
        <v>36.65</v>
      </c>
      <c r="DF192" s="228">
        <v>-7.21</v>
      </c>
      <c r="DG192" s="228">
        <v>-0.08</v>
      </c>
      <c r="DH192" s="228">
        <v>29.42</v>
      </c>
      <c r="DI192" s="228">
        <v>31.03</v>
      </c>
      <c r="DJ192" s="228">
        <v>-1.61</v>
      </c>
      <c r="DK192" s="228">
        <v>-1.61</v>
      </c>
      <c r="DL192" s="228">
        <v>29.16</v>
      </c>
      <c r="DM192" s="228">
        <v>29.22</v>
      </c>
      <c r="DN192" s="228">
        <v>-0.06</v>
      </c>
      <c r="DO192" s="228">
        <v>-0.06</v>
      </c>
      <c r="DP192" s="228">
        <v>0.4</v>
      </c>
      <c r="DQ192" s="228">
        <v>0.38</v>
      </c>
      <c r="DR192" s="228">
        <v>0.02</v>
      </c>
      <c r="DS192" s="229">
        <v>5.2600000000000001E-2</v>
      </c>
      <c r="DT192" s="231">
        <v>5500</v>
      </c>
      <c r="DU192" s="231">
        <v>5000</v>
      </c>
      <c r="DV192" s="228">
        <v>0.3</v>
      </c>
      <c r="DW192" s="228">
        <v>0.28000000000000003</v>
      </c>
      <c r="DX192" s="228">
        <v>0.02</v>
      </c>
      <c r="DY192" s="229">
        <v>7.1400000000000005E-2</v>
      </c>
      <c r="DZ192" s="229">
        <v>0.214</v>
      </c>
      <c r="EA192" s="230">
        <v>750500</v>
      </c>
      <c r="EB192" s="229">
        <v>-8.9999999999999993E-3</v>
      </c>
      <c r="EC192" s="229">
        <v>0.214</v>
      </c>
      <c r="ED192" s="228">
        <v>-49.04</v>
      </c>
      <c r="EE192" s="229">
        <v>-9.1000000000000004E-3</v>
      </c>
      <c r="EF192" s="230">
        <v>53733</v>
      </c>
      <c r="EG192" s="230">
        <v>60961</v>
      </c>
      <c r="EH192" s="229">
        <v>-0.1186</v>
      </c>
      <c r="EI192" s="229">
        <v>0.41560000000000002</v>
      </c>
      <c r="EJ192" s="231">
        <v>66546.47</v>
      </c>
      <c r="EK192" s="231">
        <v>18561.099999999999</v>
      </c>
      <c r="EL192" s="231">
        <v>25903.29</v>
      </c>
      <c r="EM192" s="231">
        <v>8787</v>
      </c>
      <c r="EN192" s="231">
        <v>111010.86</v>
      </c>
      <c r="EO192" s="231">
        <v>114820.23</v>
      </c>
      <c r="EP192" s="231">
        <v>-3809.37</v>
      </c>
      <c r="EQ192" s="229">
        <v>-3.32E-2</v>
      </c>
      <c r="ER192" s="231">
        <v>100077</v>
      </c>
      <c r="ES192" s="231">
        <v>36375</v>
      </c>
      <c r="ET192" s="231">
        <v>214069</v>
      </c>
      <c r="EU192" s="231">
        <v>4309631</v>
      </c>
      <c r="EV192" s="231">
        <v>350521</v>
      </c>
      <c r="EW192" s="231">
        <v>357511</v>
      </c>
      <c r="EX192" s="231">
        <v>-6990</v>
      </c>
      <c r="EY192" s="229">
        <v>-1.9599999999999999E-2</v>
      </c>
      <c r="EZ192" s="229">
        <v>1.4892000000000001</v>
      </c>
      <c r="FA192" s="227" t="s">
        <v>555</v>
      </c>
      <c r="FB192" s="161">
        <f t="shared" si="4"/>
        <v>0</v>
      </c>
    </row>
    <row r="193" spans="1:158" ht="17.25" thickBot="1" x14ac:dyDescent="0.3">
      <c r="A193" s="226">
        <v>45946</v>
      </c>
      <c r="B193" s="227" t="s">
        <v>162</v>
      </c>
      <c r="C193" s="227" t="s">
        <v>292</v>
      </c>
      <c r="D193" s="228">
        <v>800</v>
      </c>
      <c r="E193" s="228">
        <v>396.6</v>
      </c>
      <c r="F193" s="228">
        <v>391.1</v>
      </c>
      <c r="G193" s="228">
        <v>5.5</v>
      </c>
      <c r="H193" s="229">
        <v>1.41E-2</v>
      </c>
      <c r="I193" s="228">
        <v>396.8</v>
      </c>
      <c r="J193" s="228">
        <v>390.85</v>
      </c>
      <c r="K193" s="228">
        <v>5.95</v>
      </c>
      <c r="L193" s="229">
        <v>1.52E-2</v>
      </c>
      <c r="M193" s="228">
        <v>396.6</v>
      </c>
      <c r="N193" s="228">
        <v>391.1</v>
      </c>
      <c r="O193" s="228">
        <v>5.5</v>
      </c>
      <c r="P193" s="229">
        <v>1.41E-2</v>
      </c>
      <c r="Q193" s="228">
        <v>399.1</v>
      </c>
      <c r="R193" s="228">
        <v>393</v>
      </c>
      <c r="S193" s="228">
        <v>6.1</v>
      </c>
      <c r="T193" s="229">
        <v>1.55E-2</v>
      </c>
      <c r="U193" s="228">
        <v>401.95</v>
      </c>
      <c r="V193" s="228">
        <v>395.85</v>
      </c>
      <c r="W193" s="228">
        <v>6.1</v>
      </c>
      <c r="X193" s="229">
        <v>1.54E-2</v>
      </c>
      <c r="Y193" s="228">
        <v>-0.2</v>
      </c>
      <c r="Z193" s="228">
        <v>0.25</v>
      </c>
      <c r="AA193" s="228">
        <v>-0.45</v>
      </c>
      <c r="AB193" s="229">
        <v>-5.0000000000000001E-4</v>
      </c>
      <c r="AC193" s="228">
        <v>-0.2</v>
      </c>
      <c r="AD193" s="228">
        <v>0.25</v>
      </c>
      <c r="AE193" s="228">
        <v>-0.45</v>
      </c>
      <c r="AF193" s="229">
        <v>-5.0000000000000001E-4</v>
      </c>
      <c r="AG193" s="228">
        <v>2.2999999999999998</v>
      </c>
      <c r="AH193" s="228">
        <v>2.15</v>
      </c>
      <c r="AI193" s="228">
        <v>0.15</v>
      </c>
      <c r="AJ193" s="229">
        <v>5.7999999999999996E-3</v>
      </c>
      <c r="AK193" s="228">
        <v>5.15</v>
      </c>
      <c r="AL193" s="228">
        <v>5</v>
      </c>
      <c r="AM193" s="228">
        <v>0.15</v>
      </c>
      <c r="AN193" s="229">
        <v>1.2999999999999999E-2</v>
      </c>
      <c r="AO193" s="228">
        <v>396.08</v>
      </c>
      <c r="AP193" s="228">
        <v>398.47</v>
      </c>
      <c r="AQ193" s="228">
        <v>0</v>
      </c>
      <c r="AR193" s="230">
        <v>23057600</v>
      </c>
      <c r="AS193" s="230">
        <v>35541600</v>
      </c>
      <c r="AT193" s="230">
        <v>-12484000</v>
      </c>
      <c r="AU193" s="229">
        <v>-0.3513</v>
      </c>
      <c r="AV193" s="230">
        <v>17156000</v>
      </c>
      <c r="AW193" s="230">
        <v>26957600</v>
      </c>
      <c r="AX193" s="230">
        <v>-9801600</v>
      </c>
      <c r="AY193" s="229">
        <v>-0.36359999999999998</v>
      </c>
      <c r="AZ193" s="230">
        <v>5434400</v>
      </c>
      <c r="BA193" s="230">
        <v>7632000</v>
      </c>
      <c r="BB193" s="230">
        <v>-2197600</v>
      </c>
      <c r="BC193" s="229">
        <v>-0.28789999999999999</v>
      </c>
      <c r="BD193" s="230">
        <v>467200</v>
      </c>
      <c r="BE193" s="230">
        <v>952000</v>
      </c>
      <c r="BF193" s="230">
        <v>-484800</v>
      </c>
      <c r="BG193" s="229">
        <v>-0.50919999999999999</v>
      </c>
      <c r="BH193" s="230">
        <v>103796000</v>
      </c>
      <c r="BI193" s="230">
        <v>173988800</v>
      </c>
      <c r="BJ193" s="230">
        <v>-70192800</v>
      </c>
      <c r="BK193" s="229">
        <v>-0.40339999999999998</v>
      </c>
      <c r="BL193" s="230">
        <v>45868000</v>
      </c>
      <c r="BM193" s="230">
        <v>80979200</v>
      </c>
      <c r="BN193" s="230">
        <v>-35111200</v>
      </c>
      <c r="BO193" s="229">
        <v>-0.43359999999999999</v>
      </c>
      <c r="BP193" s="230">
        <v>172721600</v>
      </c>
      <c r="BQ193" s="230">
        <v>290509600</v>
      </c>
      <c r="BR193" s="230">
        <v>-117788000</v>
      </c>
      <c r="BS193" s="229">
        <v>-0.40550000000000003</v>
      </c>
      <c r="BT193" s="230">
        <v>23240360</v>
      </c>
      <c r="BU193" s="230">
        <v>28955046</v>
      </c>
      <c r="BV193" s="230">
        <v>-5714686</v>
      </c>
      <c r="BW193" s="229">
        <v>-0.19739999999999999</v>
      </c>
      <c r="BX193" s="230">
        <v>43178400</v>
      </c>
      <c r="BY193" s="230">
        <v>39201600</v>
      </c>
      <c r="BZ193" s="230">
        <v>3976800</v>
      </c>
      <c r="CA193" s="229">
        <v>0.1014</v>
      </c>
      <c r="CB193" s="230">
        <v>32857600</v>
      </c>
      <c r="CC193" s="230">
        <v>30570400</v>
      </c>
      <c r="CD193" s="230">
        <v>2287200</v>
      </c>
      <c r="CE193" s="229">
        <v>7.4800000000000005E-2</v>
      </c>
      <c r="CF193" s="230">
        <v>8829600</v>
      </c>
      <c r="CG193" s="230">
        <v>7227200</v>
      </c>
      <c r="CH193" s="230">
        <v>1602400</v>
      </c>
      <c r="CI193" s="229">
        <v>0.22170000000000001</v>
      </c>
      <c r="CJ193" s="230">
        <v>1491200</v>
      </c>
      <c r="CK193" s="230">
        <v>1404000</v>
      </c>
      <c r="CL193" s="230">
        <v>87200</v>
      </c>
      <c r="CM193" s="229">
        <v>6.2100000000000002E-2</v>
      </c>
      <c r="CN193" s="230">
        <v>49505600</v>
      </c>
      <c r="CO193" s="230">
        <v>50512000</v>
      </c>
      <c r="CP193" s="230">
        <v>-1006400</v>
      </c>
      <c r="CQ193" s="229">
        <v>-1.9900000000000001E-2</v>
      </c>
      <c r="CR193" s="230">
        <v>21689600</v>
      </c>
      <c r="CS193" s="230">
        <v>18734400</v>
      </c>
      <c r="CT193" s="230">
        <v>2955200</v>
      </c>
      <c r="CU193" s="229">
        <v>0.15770000000000001</v>
      </c>
      <c r="CV193" s="230">
        <v>114373600</v>
      </c>
      <c r="CW193" s="230">
        <v>108448000</v>
      </c>
      <c r="CX193" s="230">
        <v>5925600</v>
      </c>
      <c r="CY193" s="229">
        <v>5.4600000000000003E-2</v>
      </c>
      <c r="CZ193" s="228">
        <v>36.76</v>
      </c>
      <c r="DA193" s="228">
        <v>42.65</v>
      </c>
      <c r="DB193" s="228">
        <v>-5.89</v>
      </c>
      <c r="DC193" s="228">
        <v>-5.89</v>
      </c>
      <c r="DD193" s="228">
        <v>35.74</v>
      </c>
      <c r="DE193" s="228">
        <v>35.78</v>
      </c>
      <c r="DF193" s="228">
        <v>1.02</v>
      </c>
      <c r="DG193" s="228">
        <v>-0.04</v>
      </c>
      <c r="DH193" s="228">
        <v>37.090000000000003</v>
      </c>
      <c r="DI193" s="228">
        <v>42.9</v>
      </c>
      <c r="DJ193" s="228">
        <v>-5.81</v>
      </c>
      <c r="DK193" s="228">
        <v>-5.81</v>
      </c>
      <c r="DL193" s="228">
        <v>36.01</v>
      </c>
      <c r="DM193" s="228">
        <v>42.1</v>
      </c>
      <c r="DN193" s="228">
        <v>-6.09</v>
      </c>
      <c r="DO193" s="228">
        <v>-6.09</v>
      </c>
      <c r="DP193" s="228">
        <v>0.44</v>
      </c>
      <c r="DQ193" s="228">
        <v>0.37</v>
      </c>
      <c r="DR193" s="228">
        <v>7.0000000000000007E-2</v>
      </c>
      <c r="DS193" s="229">
        <v>0.18920000000000001</v>
      </c>
      <c r="DT193" s="228">
        <v>400</v>
      </c>
      <c r="DU193" s="228">
        <v>400</v>
      </c>
      <c r="DV193" s="228">
        <v>0.44</v>
      </c>
      <c r="DW193" s="228">
        <v>0.47</v>
      </c>
      <c r="DX193" s="228">
        <v>-0.03</v>
      </c>
      <c r="DY193" s="229">
        <v>-6.3799999999999996E-2</v>
      </c>
      <c r="DZ193" s="229">
        <v>0.23899999999999999</v>
      </c>
      <c r="EA193" s="230">
        <v>8631200</v>
      </c>
      <c r="EB193" s="229">
        <v>6.3E-3</v>
      </c>
      <c r="EC193" s="229">
        <v>0.23899999999999999</v>
      </c>
      <c r="ED193" s="228">
        <v>2.39</v>
      </c>
      <c r="EE193" s="229">
        <v>6.0000000000000001E-3</v>
      </c>
      <c r="EF193" s="230">
        <v>8452648</v>
      </c>
      <c r="EG193" s="230">
        <v>11361018</v>
      </c>
      <c r="EH193" s="229">
        <v>-0.25600000000000001</v>
      </c>
      <c r="EI193" s="229">
        <v>0.36370000000000002</v>
      </c>
      <c r="EJ193" s="231">
        <v>440601.16</v>
      </c>
      <c r="EK193" s="231">
        <v>176060.1</v>
      </c>
      <c r="EL193" s="231">
        <v>91482.63</v>
      </c>
      <c r="EM193" s="231">
        <v>43700</v>
      </c>
      <c r="EN193" s="231">
        <v>708143.89</v>
      </c>
      <c r="EO193" s="231">
        <v>1197411.95</v>
      </c>
      <c r="EP193" s="231">
        <v>-489268.06</v>
      </c>
      <c r="EQ193" s="229">
        <v>-0.40860000000000002</v>
      </c>
      <c r="ER193" s="231">
        <v>212455</v>
      </c>
      <c r="ES193" s="231">
        <v>80830</v>
      </c>
      <c r="ET193" s="231">
        <v>171546</v>
      </c>
      <c r="EU193" s="231">
        <v>284575867</v>
      </c>
      <c r="EV193" s="231">
        <v>464831</v>
      </c>
      <c r="EW193" s="231">
        <v>439340</v>
      </c>
      <c r="EX193" s="231">
        <v>25491</v>
      </c>
      <c r="EY193" s="229">
        <v>5.8000000000000003E-2</v>
      </c>
      <c r="EZ193" s="229">
        <v>0.40189999999999998</v>
      </c>
      <c r="FA193" s="227" t="s">
        <v>555</v>
      </c>
      <c r="FB193" s="161">
        <f t="shared" si="4"/>
        <v>0</v>
      </c>
    </row>
    <row r="194" spans="1:158" ht="17.25" thickBot="1" x14ac:dyDescent="0.3">
      <c r="A194" s="226">
        <v>45946</v>
      </c>
      <c r="B194" s="227" t="s">
        <v>161</v>
      </c>
      <c r="C194" s="227" t="s">
        <v>293</v>
      </c>
      <c r="D194" s="228">
        <v>1450</v>
      </c>
      <c r="E194" s="228">
        <v>400.5</v>
      </c>
      <c r="F194" s="228">
        <v>397.7</v>
      </c>
      <c r="G194" s="228">
        <v>2.8</v>
      </c>
      <c r="H194" s="229">
        <v>7.0000000000000001E-3</v>
      </c>
      <c r="I194" s="228">
        <v>399</v>
      </c>
      <c r="J194" s="228">
        <v>396.5</v>
      </c>
      <c r="K194" s="228">
        <v>2.5</v>
      </c>
      <c r="L194" s="229">
        <v>6.3E-3</v>
      </c>
      <c r="M194" s="228">
        <v>400.5</v>
      </c>
      <c r="N194" s="228">
        <v>397.7</v>
      </c>
      <c r="O194" s="228">
        <v>2.8</v>
      </c>
      <c r="P194" s="229">
        <v>7.0000000000000001E-3</v>
      </c>
      <c r="Q194" s="228">
        <v>402.65</v>
      </c>
      <c r="R194" s="228">
        <v>399.8</v>
      </c>
      <c r="S194" s="228">
        <v>2.85</v>
      </c>
      <c r="T194" s="229">
        <v>7.1000000000000004E-3</v>
      </c>
      <c r="U194" s="228">
        <v>405.05</v>
      </c>
      <c r="V194" s="228">
        <v>402.2</v>
      </c>
      <c r="W194" s="228">
        <v>2.85</v>
      </c>
      <c r="X194" s="229">
        <v>7.1000000000000004E-3</v>
      </c>
      <c r="Y194" s="228">
        <v>1.5</v>
      </c>
      <c r="Z194" s="228">
        <v>1.2</v>
      </c>
      <c r="AA194" s="228">
        <v>0.3</v>
      </c>
      <c r="AB194" s="229">
        <v>3.8E-3</v>
      </c>
      <c r="AC194" s="228">
        <v>1.5</v>
      </c>
      <c r="AD194" s="228">
        <v>1.2</v>
      </c>
      <c r="AE194" s="228">
        <v>0.3</v>
      </c>
      <c r="AF194" s="229">
        <v>3.8E-3</v>
      </c>
      <c r="AG194" s="228">
        <v>3.65</v>
      </c>
      <c r="AH194" s="228">
        <v>3.3</v>
      </c>
      <c r="AI194" s="228">
        <v>0.35</v>
      </c>
      <c r="AJ194" s="229">
        <v>9.1000000000000004E-3</v>
      </c>
      <c r="AK194" s="228">
        <v>6.05</v>
      </c>
      <c r="AL194" s="228">
        <v>5.7</v>
      </c>
      <c r="AM194" s="228">
        <v>0.35</v>
      </c>
      <c r="AN194" s="229">
        <v>1.52E-2</v>
      </c>
      <c r="AO194" s="228">
        <v>401.64</v>
      </c>
      <c r="AP194" s="228">
        <v>403.73</v>
      </c>
      <c r="AQ194" s="228">
        <v>0</v>
      </c>
      <c r="AR194" s="230">
        <v>9989050</v>
      </c>
      <c r="AS194" s="230">
        <v>7661800</v>
      </c>
      <c r="AT194" s="230">
        <v>2327250</v>
      </c>
      <c r="AU194" s="229">
        <v>0.30370000000000003</v>
      </c>
      <c r="AV194" s="230">
        <v>8354900</v>
      </c>
      <c r="AW194" s="230">
        <v>6803400</v>
      </c>
      <c r="AX194" s="230">
        <v>1551500</v>
      </c>
      <c r="AY194" s="229">
        <v>0.22800000000000001</v>
      </c>
      <c r="AZ194" s="230">
        <v>1521050</v>
      </c>
      <c r="BA194" s="230">
        <v>761250</v>
      </c>
      <c r="BB194" s="230">
        <v>759800</v>
      </c>
      <c r="BC194" s="229">
        <v>0.99809999999999999</v>
      </c>
      <c r="BD194" s="230">
        <v>113100</v>
      </c>
      <c r="BE194" s="230">
        <v>97150</v>
      </c>
      <c r="BF194" s="230">
        <v>15950</v>
      </c>
      <c r="BG194" s="229">
        <v>0.16420000000000001</v>
      </c>
      <c r="BH194" s="230">
        <v>45837400</v>
      </c>
      <c r="BI194" s="230">
        <v>28306900</v>
      </c>
      <c r="BJ194" s="230">
        <v>17530500</v>
      </c>
      <c r="BK194" s="229">
        <v>0.61929999999999996</v>
      </c>
      <c r="BL194" s="230">
        <v>23600200</v>
      </c>
      <c r="BM194" s="230">
        <v>18609300</v>
      </c>
      <c r="BN194" s="230">
        <v>4990900</v>
      </c>
      <c r="BO194" s="229">
        <v>0.26819999999999999</v>
      </c>
      <c r="BP194" s="230">
        <v>79426650</v>
      </c>
      <c r="BQ194" s="230">
        <v>54578000</v>
      </c>
      <c r="BR194" s="230">
        <v>24848650</v>
      </c>
      <c r="BS194" s="229">
        <v>0.45529999999999998</v>
      </c>
      <c r="BT194" s="230">
        <v>5861343</v>
      </c>
      <c r="BU194" s="230">
        <v>4450113</v>
      </c>
      <c r="BV194" s="230">
        <v>1411230</v>
      </c>
      <c r="BW194" s="229">
        <v>0.31709999999999999</v>
      </c>
      <c r="BX194" s="230">
        <v>61381400</v>
      </c>
      <c r="BY194" s="230">
        <v>60789800</v>
      </c>
      <c r="BZ194" s="230">
        <v>591600</v>
      </c>
      <c r="CA194" s="229">
        <v>9.7000000000000003E-3</v>
      </c>
      <c r="CB194" s="230">
        <v>58632200</v>
      </c>
      <c r="CC194" s="230">
        <v>58642350</v>
      </c>
      <c r="CD194" s="230">
        <v>-10150</v>
      </c>
      <c r="CE194" s="229">
        <v>-2.0000000000000001E-4</v>
      </c>
      <c r="CF194" s="230">
        <v>2547650</v>
      </c>
      <c r="CG194" s="230">
        <v>1989400</v>
      </c>
      <c r="CH194" s="230">
        <v>558250</v>
      </c>
      <c r="CI194" s="229">
        <v>0.28060000000000002</v>
      </c>
      <c r="CJ194" s="230">
        <v>201550</v>
      </c>
      <c r="CK194" s="230">
        <v>158050</v>
      </c>
      <c r="CL194" s="230">
        <v>43500</v>
      </c>
      <c r="CM194" s="229">
        <v>0.2752</v>
      </c>
      <c r="CN194" s="230">
        <v>27924100</v>
      </c>
      <c r="CO194" s="230">
        <v>27291900</v>
      </c>
      <c r="CP194" s="230">
        <v>632200</v>
      </c>
      <c r="CQ194" s="229">
        <v>2.3199999999999998E-2</v>
      </c>
      <c r="CR194" s="230">
        <v>23504500</v>
      </c>
      <c r="CS194" s="230">
        <v>22425700</v>
      </c>
      <c r="CT194" s="230">
        <v>1078800</v>
      </c>
      <c r="CU194" s="229">
        <v>4.8099999999999997E-2</v>
      </c>
      <c r="CV194" s="230">
        <v>112810000</v>
      </c>
      <c r="CW194" s="230">
        <v>110507400</v>
      </c>
      <c r="CX194" s="230">
        <v>2302600</v>
      </c>
      <c r="CY194" s="229">
        <v>2.0799999999999999E-2</v>
      </c>
      <c r="CZ194" s="228">
        <v>20.329999999999998</v>
      </c>
      <c r="DA194" s="228">
        <v>20.84</v>
      </c>
      <c r="DB194" s="228">
        <v>-0.51</v>
      </c>
      <c r="DC194" s="228">
        <v>-0.51</v>
      </c>
      <c r="DD194" s="228">
        <v>33.25</v>
      </c>
      <c r="DE194" s="228">
        <v>33.32</v>
      </c>
      <c r="DF194" s="228">
        <v>-12.92</v>
      </c>
      <c r="DG194" s="228">
        <v>-7.0000000000000007E-2</v>
      </c>
      <c r="DH194" s="228">
        <v>20.16</v>
      </c>
      <c r="DI194" s="228">
        <v>20.350000000000001</v>
      </c>
      <c r="DJ194" s="228">
        <v>-0.19</v>
      </c>
      <c r="DK194" s="228">
        <v>-0.19</v>
      </c>
      <c r="DL194" s="228">
        <v>20.66</v>
      </c>
      <c r="DM194" s="228">
        <v>21.58</v>
      </c>
      <c r="DN194" s="228">
        <v>-0.92</v>
      </c>
      <c r="DO194" s="228">
        <v>-0.92</v>
      </c>
      <c r="DP194" s="228">
        <v>0.84</v>
      </c>
      <c r="DQ194" s="228">
        <v>0.82</v>
      </c>
      <c r="DR194" s="228">
        <v>0.02</v>
      </c>
      <c r="DS194" s="229">
        <v>2.4400000000000002E-2</v>
      </c>
      <c r="DT194" s="228">
        <v>400</v>
      </c>
      <c r="DU194" s="228">
        <v>390</v>
      </c>
      <c r="DV194" s="228">
        <v>0.51</v>
      </c>
      <c r="DW194" s="228">
        <v>0.66</v>
      </c>
      <c r="DX194" s="228">
        <v>-0.15</v>
      </c>
      <c r="DY194" s="229">
        <v>-0.2273</v>
      </c>
      <c r="DZ194" s="229">
        <v>4.48E-2</v>
      </c>
      <c r="EA194" s="230">
        <v>2147450</v>
      </c>
      <c r="EB194" s="229">
        <v>5.4000000000000003E-3</v>
      </c>
      <c r="EC194" s="229">
        <v>4.48E-2</v>
      </c>
      <c r="ED194" s="228">
        <v>2.09</v>
      </c>
      <c r="EE194" s="229">
        <v>5.1999999999999998E-3</v>
      </c>
      <c r="EF194" s="230">
        <v>2672374</v>
      </c>
      <c r="EG194" s="230">
        <v>2561555</v>
      </c>
      <c r="EH194" s="229">
        <v>4.3299999999999998E-2</v>
      </c>
      <c r="EI194" s="229">
        <v>0.45590000000000003</v>
      </c>
      <c r="EJ194" s="231">
        <v>188483.73</v>
      </c>
      <c r="EK194" s="231">
        <v>94051.16</v>
      </c>
      <c r="EL194" s="231">
        <v>40156.81</v>
      </c>
      <c r="EM194" s="231">
        <v>5727</v>
      </c>
      <c r="EN194" s="231">
        <v>322691.7</v>
      </c>
      <c r="EO194" s="231">
        <v>218265.56</v>
      </c>
      <c r="EP194" s="231">
        <v>104426.14</v>
      </c>
      <c r="EQ194" s="229">
        <v>0.47839999999999999</v>
      </c>
      <c r="ER194" s="231">
        <v>113750</v>
      </c>
      <c r="ES194" s="231">
        <v>92810</v>
      </c>
      <c r="ET194" s="231">
        <v>245896</v>
      </c>
      <c r="EU194" s="231">
        <v>169808198</v>
      </c>
      <c r="EV194" s="231">
        <v>452457</v>
      </c>
      <c r="EW194" s="231">
        <v>441064</v>
      </c>
      <c r="EX194" s="231">
        <v>11393</v>
      </c>
      <c r="EY194" s="229">
        <v>2.58E-2</v>
      </c>
      <c r="EZ194" s="229">
        <v>0.6643</v>
      </c>
      <c r="FA194" s="227" t="s">
        <v>555</v>
      </c>
      <c r="FB194" s="161">
        <f t="shared" si="4"/>
        <v>0</v>
      </c>
    </row>
    <row r="195" spans="1:158" ht="17.25" thickBot="1" x14ac:dyDescent="0.3">
      <c r="A195" s="226">
        <v>45946</v>
      </c>
      <c r="B195" s="227" t="s">
        <v>227</v>
      </c>
      <c r="C195" s="227" t="s">
        <v>294</v>
      </c>
      <c r="D195" s="228">
        <v>5500</v>
      </c>
      <c r="E195" s="228">
        <v>174.39</v>
      </c>
      <c r="F195" s="228">
        <v>173.91</v>
      </c>
      <c r="G195" s="228">
        <v>0.48</v>
      </c>
      <c r="H195" s="229">
        <v>2.8E-3</v>
      </c>
      <c r="I195" s="228">
        <v>174</v>
      </c>
      <c r="J195" s="228">
        <v>173.24</v>
      </c>
      <c r="K195" s="228">
        <v>0.76</v>
      </c>
      <c r="L195" s="229">
        <v>4.4000000000000003E-3</v>
      </c>
      <c r="M195" s="228">
        <v>174.39</v>
      </c>
      <c r="N195" s="228">
        <v>173.91</v>
      </c>
      <c r="O195" s="228">
        <v>0.48</v>
      </c>
      <c r="P195" s="229">
        <v>2.8E-3</v>
      </c>
      <c r="Q195" s="228">
        <v>175.38</v>
      </c>
      <c r="R195" s="228">
        <v>174.82</v>
      </c>
      <c r="S195" s="228">
        <v>0.56000000000000005</v>
      </c>
      <c r="T195" s="229">
        <v>3.2000000000000002E-3</v>
      </c>
      <c r="U195" s="228">
        <v>176.43</v>
      </c>
      <c r="V195" s="228">
        <v>175.95</v>
      </c>
      <c r="W195" s="228">
        <v>0.48</v>
      </c>
      <c r="X195" s="229">
        <v>2.7000000000000001E-3</v>
      </c>
      <c r="Y195" s="228">
        <v>0.39</v>
      </c>
      <c r="Z195" s="228">
        <v>0.67</v>
      </c>
      <c r="AA195" s="228">
        <v>-0.28000000000000003</v>
      </c>
      <c r="AB195" s="229">
        <v>2.2000000000000001E-3</v>
      </c>
      <c r="AC195" s="228">
        <v>0.39</v>
      </c>
      <c r="AD195" s="228">
        <v>0.67</v>
      </c>
      <c r="AE195" s="228">
        <v>-0.28000000000000003</v>
      </c>
      <c r="AF195" s="229">
        <v>2.2000000000000001E-3</v>
      </c>
      <c r="AG195" s="228">
        <v>1.38</v>
      </c>
      <c r="AH195" s="228">
        <v>1.58</v>
      </c>
      <c r="AI195" s="228">
        <v>-0.2</v>
      </c>
      <c r="AJ195" s="229">
        <v>7.9000000000000008E-3</v>
      </c>
      <c r="AK195" s="228">
        <v>2.4300000000000002</v>
      </c>
      <c r="AL195" s="228">
        <v>2.71</v>
      </c>
      <c r="AM195" s="228">
        <v>-0.28000000000000003</v>
      </c>
      <c r="AN195" s="229">
        <v>1.4E-2</v>
      </c>
      <c r="AO195" s="228">
        <v>174.1</v>
      </c>
      <c r="AP195" s="228">
        <v>174.97</v>
      </c>
      <c r="AQ195" s="228">
        <v>0</v>
      </c>
      <c r="AR195" s="230">
        <v>22236500</v>
      </c>
      <c r="AS195" s="230">
        <v>38401000</v>
      </c>
      <c r="AT195" s="230">
        <v>-16164500</v>
      </c>
      <c r="AU195" s="229">
        <v>-0.4209</v>
      </c>
      <c r="AV195" s="230">
        <v>19112500</v>
      </c>
      <c r="AW195" s="230">
        <v>33225500</v>
      </c>
      <c r="AX195" s="230">
        <v>-14113000</v>
      </c>
      <c r="AY195" s="229">
        <v>-0.42480000000000001</v>
      </c>
      <c r="AZ195" s="230">
        <v>2942500</v>
      </c>
      <c r="BA195" s="230">
        <v>4730000</v>
      </c>
      <c r="BB195" s="230">
        <v>-1787500</v>
      </c>
      <c r="BC195" s="229">
        <v>-0.37790000000000001</v>
      </c>
      <c r="BD195" s="230">
        <v>181500</v>
      </c>
      <c r="BE195" s="230">
        <v>445500</v>
      </c>
      <c r="BF195" s="230">
        <v>-264000</v>
      </c>
      <c r="BG195" s="229">
        <v>-0.59260000000000002</v>
      </c>
      <c r="BH195" s="230">
        <v>99825000</v>
      </c>
      <c r="BI195" s="230">
        <v>166193500</v>
      </c>
      <c r="BJ195" s="230">
        <v>-66368500</v>
      </c>
      <c r="BK195" s="229">
        <v>-0.39929999999999999</v>
      </c>
      <c r="BL195" s="230">
        <v>52750500</v>
      </c>
      <c r="BM195" s="230">
        <v>107673500</v>
      </c>
      <c r="BN195" s="230">
        <v>-54923000</v>
      </c>
      <c r="BO195" s="229">
        <v>-0.5101</v>
      </c>
      <c r="BP195" s="230">
        <v>174812000</v>
      </c>
      <c r="BQ195" s="230">
        <v>312268000</v>
      </c>
      <c r="BR195" s="230">
        <v>-137456000</v>
      </c>
      <c r="BS195" s="229">
        <v>-0.44019999999999998</v>
      </c>
      <c r="BT195" s="230">
        <v>12937930</v>
      </c>
      <c r="BU195" s="230">
        <v>15599127</v>
      </c>
      <c r="BV195" s="230">
        <v>-2661197</v>
      </c>
      <c r="BW195" s="229">
        <v>-0.1706</v>
      </c>
      <c r="BX195" s="230">
        <v>198517000</v>
      </c>
      <c r="BY195" s="230">
        <v>198346500</v>
      </c>
      <c r="BZ195" s="230">
        <v>170500</v>
      </c>
      <c r="CA195" s="229">
        <v>8.9999999999999998E-4</v>
      </c>
      <c r="CB195" s="230">
        <v>186345500</v>
      </c>
      <c r="CC195" s="230">
        <v>187176000</v>
      </c>
      <c r="CD195" s="230">
        <v>-830500</v>
      </c>
      <c r="CE195" s="229">
        <v>-4.4000000000000003E-3</v>
      </c>
      <c r="CF195" s="230">
        <v>11049500</v>
      </c>
      <c r="CG195" s="230">
        <v>10098000</v>
      </c>
      <c r="CH195" s="230">
        <v>951500</v>
      </c>
      <c r="CI195" s="229">
        <v>9.4200000000000006E-2</v>
      </c>
      <c r="CJ195" s="230">
        <v>1122000</v>
      </c>
      <c r="CK195" s="230">
        <v>1072500</v>
      </c>
      <c r="CL195" s="230">
        <v>49500</v>
      </c>
      <c r="CM195" s="229">
        <v>4.6199999999999998E-2</v>
      </c>
      <c r="CN195" s="230">
        <v>137665000</v>
      </c>
      <c r="CO195" s="230">
        <v>141108000</v>
      </c>
      <c r="CP195" s="230">
        <v>-3443000</v>
      </c>
      <c r="CQ195" s="229">
        <v>-2.4400000000000002E-2</v>
      </c>
      <c r="CR195" s="230">
        <v>89584000</v>
      </c>
      <c r="CS195" s="230">
        <v>89281500</v>
      </c>
      <c r="CT195" s="230">
        <v>302500</v>
      </c>
      <c r="CU195" s="229">
        <v>3.3999999999999998E-3</v>
      </c>
      <c r="CV195" s="230">
        <v>425766000</v>
      </c>
      <c r="CW195" s="230">
        <v>428736000</v>
      </c>
      <c r="CX195" s="230">
        <v>-2970000</v>
      </c>
      <c r="CY195" s="229">
        <v>-6.8999999999999999E-3</v>
      </c>
      <c r="CZ195" s="228">
        <v>24.58</v>
      </c>
      <c r="DA195" s="228">
        <v>25.12</v>
      </c>
      <c r="DB195" s="228">
        <v>-0.54</v>
      </c>
      <c r="DC195" s="228">
        <v>-0.54</v>
      </c>
      <c r="DD195" s="228">
        <v>34.32</v>
      </c>
      <c r="DE195" s="228">
        <v>34.4</v>
      </c>
      <c r="DF195" s="228">
        <v>-9.74</v>
      </c>
      <c r="DG195" s="228">
        <v>-0.08</v>
      </c>
      <c r="DH195" s="228">
        <v>24.35</v>
      </c>
      <c r="DI195" s="228">
        <v>24.44</v>
      </c>
      <c r="DJ195" s="228">
        <v>-0.09</v>
      </c>
      <c r="DK195" s="228">
        <v>-0.09</v>
      </c>
      <c r="DL195" s="228">
        <v>25.02</v>
      </c>
      <c r="DM195" s="228">
        <v>26.17</v>
      </c>
      <c r="DN195" s="228">
        <v>-1.1499999999999999</v>
      </c>
      <c r="DO195" s="228">
        <v>-1.1499999999999999</v>
      </c>
      <c r="DP195" s="228">
        <v>0.65</v>
      </c>
      <c r="DQ195" s="228">
        <v>0.63</v>
      </c>
      <c r="DR195" s="228">
        <v>0.02</v>
      </c>
      <c r="DS195" s="229">
        <v>3.1699999999999999E-2</v>
      </c>
      <c r="DT195" s="228">
        <v>180</v>
      </c>
      <c r="DU195" s="228">
        <v>165</v>
      </c>
      <c r="DV195" s="228">
        <v>0.53</v>
      </c>
      <c r="DW195" s="228">
        <v>0.65</v>
      </c>
      <c r="DX195" s="228">
        <v>-0.12</v>
      </c>
      <c r="DY195" s="229">
        <v>-0.18459999999999999</v>
      </c>
      <c r="DZ195" s="229">
        <v>6.13E-2</v>
      </c>
      <c r="EA195" s="230">
        <v>11170500</v>
      </c>
      <c r="EB195" s="229">
        <v>5.7000000000000002E-3</v>
      </c>
      <c r="EC195" s="229">
        <v>6.13E-2</v>
      </c>
      <c r="ED195" s="228">
        <v>0.87</v>
      </c>
      <c r="EE195" s="229">
        <v>5.0000000000000001E-3</v>
      </c>
      <c r="EF195" s="230">
        <v>6127548</v>
      </c>
      <c r="EG195" s="230">
        <v>7124281</v>
      </c>
      <c r="EH195" s="229">
        <v>-0.1399</v>
      </c>
      <c r="EI195" s="229">
        <v>0.47360000000000002</v>
      </c>
      <c r="EJ195" s="231">
        <v>181023.58</v>
      </c>
      <c r="EK195" s="231">
        <v>89993.44</v>
      </c>
      <c r="EL195" s="231">
        <v>38743.21</v>
      </c>
      <c r="EM195" s="231">
        <v>8459</v>
      </c>
      <c r="EN195" s="231">
        <v>309760.23</v>
      </c>
      <c r="EO195" s="231">
        <v>548029.06000000006</v>
      </c>
      <c r="EP195" s="231">
        <v>-238268.83</v>
      </c>
      <c r="EQ195" s="229">
        <v>-0.43480000000000002</v>
      </c>
      <c r="ER195" s="231">
        <v>247780</v>
      </c>
      <c r="ES195" s="231">
        <v>147970</v>
      </c>
      <c r="ET195" s="231">
        <v>346326</v>
      </c>
      <c r="EU195" s="231">
        <v>833987639</v>
      </c>
      <c r="EV195" s="231">
        <v>742076</v>
      </c>
      <c r="EW195" s="231">
        <v>746646</v>
      </c>
      <c r="EX195" s="231">
        <v>-4570</v>
      </c>
      <c r="EY195" s="229">
        <v>-6.1000000000000004E-3</v>
      </c>
      <c r="EZ195" s="229">
        <v>0.51049999999999995</v>
      </c>
      <c r="FA195" s="227" t="s">
        <v>555</v>
      </c>
      <c r="FB195" s="161">
        <f t="shared" ref="FB195:FB258" si="5">BX262-CB262</f>
        <v>0</v>
      </c>
    </row>
    <row r="196" spans="1:158" ht="17.25" thickBot="1" x14ac:dyDescent="0.3">
      <c r="A196" s="226">
        <v>45946</v>
      </c>
      <c r="B196" s="227" t="s">
        <v>221</v>
      </c>
      <c r="C196" s="227" t="s">
        <v>664</v>
      </c>
      <c r="D196" s="228">
        <v>800</v>
      </c>
      <c r="E196" s="228">
        <v>694.4</v>
      </c>
      <c r="F196" s="228">
        <v>695.7</v>
      </c>
      <c r="G196" s="228">
        <v>-1.3</v>
      </c>
      <c r="H196" s="229">
        <v>-1.9E-3</v>
      </c>
      <c r="I196" s="228">
        <v>692.1</v>
      </c>
      <c r="J196" s="228">
        <v>695.3</v>
      </c>
      <c r="K196" s="228">
        <v>-3.2</v>
      </c>
      <c r="L196" s="229">
        <v>-4.5999999999999999E-3</v>
      </c>
      <c r="M196" s="228">
        <v>694.4</v>
      </c>
      <c r="N196" s="228">
        <v>695.7</v>
      </c>
      <c r="O196" s="228">
        <v>-1.3</v>
      </c>
      <c r="P196" s="229">
        <v>-1.9E-3</v>
      </c>
      <c r="Q196" s="228">
        <v>696.45</v>
      </c>
      <c r="R196" s="228">
        <v>698.2</v>
      </c>
      <c r="S196" s="228">
        <v>-1.75</v>
      </c>
      <c r="T196" s="229">
        <v>-2.5000000000000001E-3</v>
      </c>
      <c r="U196" s="228">
        <v>699.45</v>
      </c>
      <c r="V196" s="228">
        <v>699.45</v>
      </c>
      <c r="W196" s="228">
        <v>0</v>
      </c>
      <c r="X196" s="229">
        <v>0</v>
      </c>
      <c r="Y196" s="228">
        <v>2.2999999999999998</v>
      </c>
      <c r="Z196" s="228">
        <v>0.4</v>
      </c>
      <c r="AA196" s="228">
        <v>1.9</v>
      </c>
      <c r="AB196" s="229">
        <v>3.3E-3</v>
      </c>
      <c r="AC196" s="228">
        <v>2.2999999999999998</v>
      </c>
      <c r="AD196" s="228">
        <v>0.4</v>
      </c>
      <c r="AE196" s="228">
        <v>1.9</v>
      </c>
      <c r="AF196" s="229">
        <v>3.3E-3</v>
      </c>
      <c r="AG196" s="228">
        <v>4.3499999999999996</v>
      </c>
      <c r="AH196" s="228">
        <v>2.9</v>
      </c>
      <c r="AI196" s="228">
        <v>1.45</v>
      </c>
      <c r="AJ196" s="229">
        <v>6.3E-3</v>
      </c>
      <c r="AK196" s="228">
        <v>7.35</v>
      </c>
      <c r="AL196" s="228">
        <v>4.1500000000000004</v>
      </c>
      <c r="AM196" s="228">
        <v>3.2</v>
      </c>
      <c r="AN196" s="229">
        <v>1.06E-2</v>
      </c>
      <c r="AO196" s="228">
        <v>693.02</v>
      </c>
      <c r="AP196" s="228">
        <v>695.22</v>
      </c>
      <c r="AQ196" s="228">
        <v>0</v>
      </c>
      <c r="AR196" s="230">
        <v>1664800</v>
      </c>
      <c r="AS196" s="230">
        <v>1181600</v>
      </c>
      <c r="AT196" s="230">
        <v>483200</v>
      </c>
      <c r="AU196" s="229">
        <v>0.40889999999999999</v>
      </c>
      <c r="AV196" s="230">
        <v>1260800</v>
      </c>
      <c r="AW196" s="230">
        <v>996000</v>
      </c>
      <c r="AX196" s="230">
        <v>264800</v>
      </c>
      <c r="AY196" s="229">
        <v>0.26590000000000003</v>
      </c>
      <c r="AZ196" s="230">
        <v>395200</v>
      </c>
      <c r="BA196" s="230">
        <v>176800</v>
      </c>
      <c r="BB196" s="230">
        <v>218400</v>
      </c>
      <c r="BC196" s="229">
        <v>1.2353000000000001</v>
      </c>
      <c r="BD196" s="230">
        <v>8800</v>
      </c>
      <c r="BE196" s="230">
        <v>8800</v>
      </c>
      <c r="BF196" s="228">
        <v>0</v>
      </c>
      <c r="BG196" s="229">
        <v>0</v>
      </c>
      <c r="BH196" s="230">
        <v>2396000</v>
      </c>
      <c r="BI196" s="230">
        <v>2891200</v>
      </c>
      <c r="BJ196" s="230">
        <v>-495200</v>
      </c>
      <c r="BK196" s="229">
        <v>-0.17130000000000001</v>
      </c>
      <c r="BL196" s="230">
        <v>872000</v>
      </c>
      <c r="BM196" s="230">
        <v>1076800</v>
      </c>
      <c r="BN196" s="230">
        <v>-204800</v>
      </c>
      <c r="BO196" s="229">
        <v>-0.19020000000000001</v>
      </c>
      <c r="BP196" s="230">
        <v>4932800</v>
      </c>
      <c r="BQ196" s="230">
        <v>5149600</v>
      </c>
      <c r="BR196" s="230">
        <v>-216800</v>
      </c>
      <c r="BS196" s="229">
        <v>-4.2099999999999999E-2</v>
      </c>
      <c r="BT196" s="230">
        <v>444203</v>
      </c>
      <c r="BU196" s="230">
        <v>617029</v>
      </c>
      <c r="BV196" s="230">
        <v>-172826</v>
      </c>
      <c r="BW196" s="229">
        <v>-0.28010000000000002</v>
      </c>
      <c r="BX196" s="230">
        <v>10384000</v>
      </c>
      <c r="BY196" s="230">
        <v>10015200</v>
      </c>
      <c r="BZ196" s="230">
        <v>368800</v>
      </c>
      <c r="CA196" s="229">
        <v>3.6799999999999999E-2</v>
      </c>
      <c r="CB196" s="230">
        <v>9115200</v>
      </c>
      <c r="CC196" s="230">
        <v>8960000</v>
      </c>
      <c r="CD196" s="230">
        <v>155200</v>
      </c>
      <c r="CE196" s="229">
        <v>1.7299999999999999E-2</v>
      </c>
      <c r="CF196" s="230">
        <v>1180000</v>
      </c>
      <c r="CG196" s="230">
        <v>971200</v>
      </c>
      <c r="CH196" s="230">
        <v>208800</v>
      </c>
      <c r="CI196" s="229">
        <v>0.215</v>
      </c>
      <c r="CJ196" s="230">
        <v>88800</v>
      </c>
      <c r="CK196" s="230">
        <v>84000</v>
      </c>
      <c r="CL196" s="230">
        <v>4800</v>
      </c>
      <c r="CM196" s="229">
        <v>5.7099999999999998E-2</v>
      </c>
      <c r="CN196" s="230">
        <v>4660800</v>
      </c>
      <c r="CO196" s="230">
        <v>4570400</v>
      </c>
      <c r="CP196" s="230">
        <v>90400</v>
      </c>
      <c r="CQ196" s="229">
        <v>1.9800000000000002E-2</v>
      </c>
      <c r="CR196" s="230">
        <v>3097600</v>
      </c>
      <c r="CS196" s="230">
        <v>3096000</v>
      </c>
      <c r="CT196" s="230">
        <v>1600</v>
      </c>
      <c r="CU196" s="229">
        <v>5.0000000000000001E-4</v>
      </c>
      <c r="CV196" s="230">
        <v>18142400</v>
      </c>
      <c r="CW196" s="230">
        <v>17681600</v>
      </c>
      <c r="CX196" s="230">
        <v>460800</v>
      </c>
      <c r="CY196" s="229">
        <v>2.6100000000000002E-2</v>
      </c>
      <c r="CZ196" s="228">
        <v>30.47</v>
      </c>
      <c r="DA196" s="228">
        <v>29.88</v>
      </c>
      <c r="DB196" s="228">
        <v>0.59</v>
      </c>
      <c r="DC196" s="228">
        <v>0.59</v>
      </c>
      <c r="DD196" s="228">
        <v>31.54</v>
      </c>
      <c r="DE196" s="228">
        <v>31.62</v>
      </c>
      <c r="DF196" s="228">
        <v>-1.07</v>
      </c>
      <c r="DG196" s="228">
        <v>-0.08</v>
      </c>
      <c r="DH196" s="228">
        <v>30.62</v>
      </c>
      <c r="DI196" s="228">
        <v>30</v>
      </c>
      <c r="DJ196" s="228">
        <v>0.62</v>
      </c>
      <c r="DK196" s="228">
        <v>0.62</v>
      </c>
      <c r="DL196" s="228">
        <v>30.06</v>
      </c>
      <c r="DM196" s="228">
        <v>29.56</v>
      </c>
      <c r="DN196" s="228">
        <v>0.5</v>
      </c>
      <c r="DO196" s="228">
        <v>0.5</v>
      </c>
      <c r="DP196" s="228">
        <v>0.66</v>
      </c>
      <c r="DQ196" s="228">
        <v>0.68</v>
      </c>
      <c r="DR196" s="228">
        <v>-0.02</v>
      </c>
      <c r="DS196" s="229">
        <v>-2.9399999999999999E-2</v>
      </c>
      <c r="DT196" s="228">
        <v>700</v>
      </c>
      <c r="DU196" s="228">
        <v>700</v>
      </c>
      <c r="DV196" s="228">
        <v>0.36</v>
      </c>
      <c r="DW196" s="228">
        <v>0.37</v>
      </c>
      <c r="DX196" s="228">
        <v>-0.01</v>
      </c>
      <c r="DY196" s="229">
        <v>-2.7E-2</v>
      </c>
      <c r="DZ196" s="229">
        <v>0.1222</v>
      </c>
      <c r="EA196" s="230">
        <v>1055200</v>
      </c>
      <c r="EB196" s="229">
        <v>3.0000000000000001E-3</v>
      </c>
      <c r="EC196" s="229">
        <v>0.1222</v>
      </c>
      <c r="ED196" s="228">
        <v>2.2000000000000002</v>
      </c>
      <c r="EE196" s="229">
        <v>3.2000000000000002E-3</v>
      </c>
      <c r="EF196" s="230">
        <v>197594</v>
      </c>
      <c r="EG196" s="230">
        <v>315245</v>
      </c>
      <c r="EH196" s="229">
        <v>-0.37319999999999998</v>
      </c>
      <c r="EI196" s="229">
        <v>0.44479999999999997</v>
      </c>
      <c r="EJ196" s="231">
        <v>17483.419999999998</v>
      </c>
      <c r="EK196" s="231">
        <v>6043.51</v>
      </c>
      <c r="EL196" s="231">
        <v>11546.5</v>
      </c>
      <c r="EM196" s="231">
        <v>1877</v>
      </c>
      <c r="EN196" s="231">
        <v>35073.43</v>
      </c>
      <c r="EO196" s="231">
        <v>36867.43</v>
      </c>
      <c r="EP196" s="231">
        <v>-1794</v>
      </c>
      <c r="EQ196" s="229">
        <v>-4.87E-2</v>
      </c>
      <c r="ER196" s="231">
        <v>34034</v>
      </c>
      <c r="ES196" s="231">
        <v>21113</v>
      </c>
      <c r="ET196" s="231">
        <v>72135</v>
      </c>
      <c r="EU196" s="231">
        <v>27246569</v>
      </c>
      <c r="EV196" s="231">
        <v>127282</v>
      </c>
      <c r="EW196" s="231">
        <v>124178</v>
      </c>
      <c r="EX196" s="231">
        <v>3104</v>
      </c>
      <c r="EY196" s="229">
        <v>2.5000000000000001E-2</v>
      </c>
      <c r="EZ196" s="229">
        <v>0.66590000000000005</v>
      </c>
      <c r="FA196" s="227" t="s">
        <v>567</v>
      </c>
      <c r="FB196" s="161">
        <f t="shared" si="5"/>
        <v>0</v>
      </c>
    </row>
    <row r="197" spans="1:158" ht="17.25" thickBot="1" x14ac:dyDescent="0.3">
      <c r="A197" s="226">
        <v>45946</v>
      </c>
      <c r="B197" s="227" t="s">
        <v>221</v>
      </c>
      <c r="C197" s="227" t="s">
        <v>295</v>
      </c>
      <c r="D197" s="228">
        <v>175</v>
      </c>
      <c r="E197" s="231">
        <v>2982</v>
      </c>
      <c r="F197" s="231">
        <v>2974.4</v>
      </c>
      <c r="G197" s="228">
        <v>7.6</v>
      </c>
      <c r="H197" s="229">
        <v>2.5999999999999999E-3</v>
      </c>
      <c r="I197" s="231">
        <v>2970.7</v>
      </c>
      <c r="J197" s="231">
        <v>2969.8</v>
      </c>
      <c r="K197" s="228">
        <v>0.9</v>
      </c>
      <c r="L197" s="229">
        <v>2.9999999999999997E-4</v>
      </c>
      <c r="M197" s="231">
        <v>2982</v>
      </c>
      <c r="N197" s="231">
        <v>2974.4</v>
      </c>
      <c r="O197" s="228">
        <v>7.6</v>
      </c>
      <c r="P197" s="229">
        <v>2.5999999999999999E-3</v>
      </c>
      <c r="Q197" s="231">
        <v>2998</v>
      </c>
      <c r="R197" s="231">
        <v>2990.7</v>
      </c>
      <c r="S197" s="228">
        <v>7.3</v>
      </c>
      <c r="T197" s="229">
        <v>2.3999999999999998E-3</v>
      </c>
      <c r="U197" s="231">
        <v>3016.4</v>
      </c>
      <c r="V197" s="231">
        <v>3009.7</v>
      </c>
      <c r="W197" s="228">
        <v>6.7</v>
      </c>
      <c r="X197" s="229">
        <v>2.2000000000000001E-3</v>
      </c>
      <c r="Y197" s="228">
        <v>11.3</v>
      </c>
      <c r="Z197" s="228">
        <v>4.5999999999999996</v>
      </c>
      <c r="AA197" s="228">
        <v>6.7</v>
      </c>
      <c r="AB197" s="229">
        <v>3.8E-3</v>
      </c>
      <c r="AC197" s="228">
        <v>11.3</v>
      </c>
      <c r="AD197" s="228">
        <v>4.5999999999999996</v>
      </c>
      <c r="AE197" s="228">
        <v>6.7</v>
      </c>
      <c r="AF197" s="229">
        <v>3.8E-3</v>
      </c>
      <c r="AG197" s="228">
        <v>27.3</v>
      </c>
      <c r="AH197" s="228">
        <v>20.9</v>
      </c>
      <c r="AI197" s="228">
        <v>6.4</v>
      </c>
      <c r="AJ197" s="229">
        <v>9.1999999999999998E-3</v>
      </c>
      <c r="AK197" s="228">
        <v>45.7</v>
      </c>
      <c r="AL197" s="228">
        <v>39.9</v>
      </c>
      <c r="AM197" s="228">
        <v>5.8</v>
      </c>
      <c r="AN197" s="229">
        <v>1.54E-2</v>
      </c>
      <c r="AO197" s="231">
        <v>2970.92</v>
      </c>
      <c r="AP197" s="231">
        <v>2988.96</v>
      </c>
      <c r="AQ197" s="228">
        <v>0</v>
      </c>
      <c r="AR197" s="230">
        <v>4520075</v>
      </c>
      <c r="AS197" s="230">
        <v>4044425</v>
      </c>
      <c r="AT197" s="230">
        <v>475650</v>
      </c>
      <c r="AU197" s="229">
        <v>0.1176</v>
      </c>
      <c r="AV197" s="230">
        <v>3387825</v>
      </c>
      <c r="AW197" s="230">
        <v>3518900</v>
      </c>
      <c r="AX197" s="230">
        <v>-131075</v>
      </c>
      <c r="AY197" s="229">
        <v>-3.7199999999999997E-2</v>
      </c>
      <c r="AZ197" s="230">
        <v>1064000</v>
      </c>
      <c r="BA197" s="230">
        <v>461300</v>
      </c>
      <c r="BB197" s="230">
        <v>602700</v>
      </c>
      <c r="BC197" s="229">
        <v>1.3065</v>
      </c>
      <c r="BD197" s="230">
        <v>68250</v>
      </c>
      <c r="BE197" s="230">
        <v>64225</v>
      </c>
      <c r="BF197" s="230">
        <v>4025</v>
      </c>
      <c r="BG197" s="229">
        <v>6.2700000000000006E-2</v>
      </c>
      <c r="BH197" s="230">
        <v>23868250</v>
      </c>
      <c r="BI197" s="230">
        <v>22089550</v>
      </c>
      <c r="BJ197" s="230">
        <v>1778700</v>
      </c>
      <c r="BK197" s="229">
        <v>8.0500000000000002E-2</v>
      </c>
      <c r="BL197" s="230">
        <v>10016475</v>
      </c>
      <c r="BM197" s="230">
        <v>12215000</v>
      </c>
      <c r="BN197" s="230">
        <v>-2198525</v>
      </c>
      <c r="BO197" s="229">
        <v>-0.18</v>
      </c>
      <c r="BP197" s="230">
        <v>38404800</v>
      </c>
      <c r="BQ197" s="230">
        <v>38348975</v>
      </c>
      <c r="BR197" s="230">
        <v>55825</v>
      </c>
      <c r="BS197" s="229">
        <v>1.5E-3</v>
      </c>
      <c r="BT197" s="230">
        <v>3786250</v>
      </c>
      <c r="BU197" s="230">
        <v>4511403</v>
      </c>
      <c r="BV197" s="230">
        <v>-725153</v>
      </c>
      <c r="BW197" s="229">
        <v>-0.16070000000000001</v>
      </c>
      <c r="BX197" s="230">
        <v>32502050</v>
      </c>
      <c r="BY197" s="230">
        <v>31924550</v>
      </c>
      <c r="BZ197" s="230">
        <v>577500</v>
      </c>
      <c r="CA197" s="229">
        <v>1.8100000000000002E-2</v>
      </c>
      <c r="CB197" s="230">
        <v>28436100</v>
      </c>
      <c r="CC197" s="230">
        <v>28613550</v>
      </c>
      <c r="CD197" s="230">
        <v>-177450</v>
      </c>
      <c r="CE197" s="229">
        <v>-6.1999999999999998E-3</v>
      </c>
      <c r="CF197" s="230">
        <v>3718575</v>
      </c>
      <c r="CG197" s="230">
        <v>2992850</v>
      </c>
      <c r="CH197" s="230">
        <v>725725</v>
      </c>
      <c r="CI197" s="229">
        <v>0.24249999999999999</v>
      </c>
      <c r="CJ197" s="230">
        <v>347375</v>
      </c>
      <c r="CK197" s="230">
        <v>318150</v>
      </c>
      <c r="CL197" s="230">
        <v>29225</v>
      </c>
      <c r="CM197" s="229">
        <v>9.1899999999999996E-2</v>
      </c>
      <c r="CN197" s="230">
        <v>24831100</v>
      </c>
      <c r="CO197" s="230">
        <v>25258975</v>
      </c>
      <c r="CP197" s="230">
        <v>-427875</v>
      </c>
      <c r="CQ197" s="229">
        <v>-1.6899999999999998E-2</v>
      </c>
      <c r="CR197" s="230">
        <v>14256375</v>
      </c>
      <c r="CS197" s="230">
        <v>14070700</v>
      </c>
      <c r="CT197" s="230">
        <v>185675</v>
      </c>
      <c r="CU197" s="229">
        <v>1.32E-2</v>
      </c>
      <c r="CV197" s="230">
        <v>71589525</v>
      </c>
      <c r="CW197" s="230">
        <v>71254225</v>
      </c>
      <c r="CX197" s="230">
        <v>335300</v>
      </c>
      <c r="CY197" s="229">
        <v>4.7000000000000002E-3</v>
      </c>
      <c r="CZ197" s="228">
        <v>21.26</v>
      </c>
      <c r="DA197" s="228">
        <v>20.79</v>
      </c>
      <c r="DB197" s="228">
        <v>0.47</v>
      </c>
      <c r="DC197" s="228">
        <v>0.47</v>
      </c>
      <c r="DD197" s="228">
        <v>24.53</v>
      </c>
      <c r="DE197" s="228">
        <v>24.59</v>
      </c>
      <c r="DF197" s="228">
        <v>-3.27</v>
      </c>
      <c r="DG197" s="228">
        <v>-0.06</v>
      </c>
      <c r="DH197" s="228">
        <v>21.24</v>
      </c>
      <c r="DI197" s="228">
        <v>20.89</v>
      </c>
      <c r="DJ197" s="228">
        <v>0.35</v>
      </c>
      <c r="DK197" s="228">
        <v>0.35</v>
      </c>
      <c r="DL197" s="228">
        <v>21.29</v>
      </c>
      <c r="DM197" s="228">
        <v>20.62</v>
      </c>
      <c r="DN197" s="228">
        <v>0.67</v>
      </c>
      <c r="DO197" s="228">
        <v>0.67</v>
      </c>
      <c r="DP197" s="228">
        <v>0.56999999999999995</v>
      </c>
      <c r="DQ197" s="228">
        <v>0.56000000000000005</v>
      </c>
      <c r="DR197" s="228">
        <v>0.01</v>
      </c>
      <c r="DS197" s="229">
        <v>1.7899999999999999E-2</v>
      </c>
      <c r="DT197" s="231">
        <v>3100</v>
      </c>
      <c r="DU197" s="231">
        <v>3000</v>
      </c>
      <c r="DV197" s="228">
        <v>0.42</v>
      </c>
      <c r="DW197" s="228">
        <v>0.55000000000000004</v>
      </c>
      <c r="DX197" s="228">
        <v>-0.13</v>
      </c>
      <c r="DY197" s="229">
        <v>-0.2364</v>
      </c>
      <c r="DZ197" s="229">
        <v>0.12509999999999999</v>
      </c>
      <c r="EA197" s="230">
        <v>3311000</v>
      </c>
      <c r="EB197" s="229">
        <v>5.4000000000000003E-3</v>
      </c>
      <c r="EC197" s="229">
        <v>0.12509999999999999</v>
      </c>
      <c r="ED197" s="228">
        <v>18.04</v>
      </c>
      <c r="EE197" s="229">
        <v>6.1000000000000004E-3</v>
      </c>
      <c r="EF197" s="230">
        <v>2020330</v>
      </c>
      <c r="EG197" s="230">
        <v>3015332</v>
      </c>
      <c r="EH197" s="229">
        <v>-0.33</v>
      </c>
      <c r="EI197" s="229">
        <v>0.53359999999999996</v>
      </c>
      <c r="EJ197" s="231">
        <v>737788.54</v>
      </c>
      <c r="EK197" s="231">
        <v>293201.27</v>
      </c>
      <c r="EL197" s="231">
        <v>134502.54999999999</v>
      </c>
      <c r="EM197" s="231">
        <v>39343</v>
      </c>
      <c r="EN197" s="231">
        <v>1165492.3600000001</v>
      </c>
      <c r="EO197" s="231">
        <v>1160069.94</v>
      </c>
      <c r="EP197" s="231">
        <v>5422.42</v>
      </c>
      <c r="EQ197" s="229">
        <v>4.7000000000000002E-3</v>
      </c>
      <c r="ER197" s="231">
        <v>774157</v>
      </c>
      <c r="ES197" s="231">
        <v>420907</v>
      </c>
      <c r="ET197" s="231">
        <v>969926</v>
      </c>
      <c r="EU197" s="231">
        <v>123298271</v>
      </c>
      <c r="EV197" s="231">
        <v>2164990</v>
      </c>
      <c r="EW197" s="231">
        <v>2153751</v>
      </c>
      <c r="EX197" s="231">
        <v>11239</v>
      </c>
      <c r="EY197" s="229">
        <v>5.1999999999999998E-3</v>
      </c>
      <c r="EZ197" s="229">
        <v>0.5806</v>
      </c>
      <c r="FA197" s="227" t="s">
        <v>555</v>
      </c>
      <c r="FB197" s="161">
        <f t="shared" si="5"/>
        <v>0</v>
      </c>
    </row>
    <row r="198" spans="1:158" ht="17.25" thickBot="1" x14ac:dyDescent="0.3">
      <c r="A198" s="226">
        <v>45946</v>
      </c>
      <c r="B198" s="227" t="s">
        <v>221</v>
      </c>
      <c r="C198" s="227" t="s">
        <v>296</v>
      </c>
      <c r="D198" s="228">
        <v>600</v>
      </c>
      <c r="E198" s="231">
        <v>1453.5</v>
      </c>
      <c r="F198" s="231">
        <v>1445.9</v>
      </c>
      <c r="G198" s="228">
        <v>7.6</v>
      </c>
      <c r="H198" s="229">
        <v>5.3E-3</v>
      </c>
      <c r="I198" s="231">
        <v>1463.8</v>
      </c>
      <c r="J198" s="231">
        <v>1459</v>
      </c>
      <c r="K198" s="228">
        <v>4.8</v>
      </c>
      <c r="L198" s="229">
        <v>3.3E-3</v>
      </c>
      <c r="M198" s="231">
        <v>1453.5</v>
      </c>
      <c r="N198" s="231">
        <v>1445.9</v>
      </c>
      <c r="O198" s="228">
        <v>7.6</v>
      </c>
      <c r="P198" s="229">
        <v>5.3E-3</v>
      </c>
      <c r="Q198" s="231">
        <v>1461.8</v>
      </c>
      <c r="R198" s="231">
        <v>1453.8</v>
      </c>
      <c r="S198" s="228">
        <v>8</v>
      </c>
      <c r="T198" s="229">
        <v>5.4999999999999997E-3</v>
      </c>
      <c r="U198" s="231">
        <v>1469.2</v>
      </c>
      <c r="V198" s="231">
        <v>1463.2</v>
      </c>
      <c r="W198" s="228">
        <v>6</v>
      </c>
      <c r="X198" s="229">
        <v>4.1000000000000003E-3</v>
      </c>
      <c r="Y198" s="228">
        <v>-10.3</v>
      </c>
      <c r="Z198" s="228">
        <v>-13.1</v>
      </c>
      <c r="AA198" s="228">
        <v>2.8</v>
      </c>
      <c r="AB198" s="229">
        <v>-7.0000000000000001E-3</v>
      </c>
      <c r="AC198" s="228">
        <v>-10.3</v>
      </c>
      <c r="AD198" s="228">
        <v>-13.1</v>
      </c>
      <c r="AE198" s="228">
        <v>2.8</v>
      </c>
      <c r="AF198" s="229">
        <v>-7.0000000000000001E-3</v>
      </c>
      <c r="AG198" s="228">
        <v>-2</v>
      </c>
      <c r="AH198" s="228">
        <v>-5.2</v>
      </c>
      <c r="AI198" s="228">
        <v>3.2</v>
      </c>
      <c r="AJ198" s="229">
        <v>-1.4E-3</v>
      </c>
      <c r="AK198" s="228">
        <v>5.4</v>
      </c>
      <c r="AL198" s="228">
        <v>4.2</v>
      </c>
      <c r="AM198" s="228">
        <v>1.2</v>
      </c>
      <c r="AN198" s="229">
        <v>3.7000000000000002E-3</v>
      </c>
      <c r="AO198" s="231">
        <v>1448.27</v>
      </c>
      <c r="AP198" s="231">
        <v>1456.87</v>
      </c>
      <c r="AQ198" s="228">
        <v>0</v>
      </c>
      <c r="AR198" s="230">
        <v>2821800</v>
      </c>
      <c r="AS198" s="230">
        <v>7342200</v>
      </c>
      <c r="AT198" s="230">
        <v>-4520400</v>
      </c>
      <c r="AU198" s="229">
        <v>-0.61570000000000003</v>
      </c>
      <c r="AV198" s="230">
        <v>2394000</v>
      </c>
      <c r="AW198" s="230">
        <v>6717600</v>
      </c>
      <c r="AX198" s="230">
        <v>-4323600</v>
      </c>
      <c r="AY198" s="229">
        <v>-0.64359999999999995</v>
      </c>
      <c r="AZ198" s="230">
        <v>406200</v>
      </c>
      <c r="BA198" s="230">
        <v>567000</v>
      </c>
      <c r="BB198" s="230">
        <v>-160800</v>
      </c>
      <c r="BC198" s="229">
        <v>-0.28360000000000002</v>
      </c>
      <c r="BD198" s="230">
        <v>21600</v>
      </c>
      <c r="BE198" s="230">
        <v>57600</v>
      </c>
      <c r="BF198" s="230">
        <v>-36000</v>
      </c>
      <c r="BG198" s="229">
        <v>-0.625</v>
      </c>
      <c r="BH198" s="230">
        <v>14029800</v>
      </c>
      <c r="BI198" s="230">
        <v>32497200</v>
      </c>
      <c r="BJ198" s="230">
        <v>-18467400</v>
      </c>
      <c r="BK198" s="229">
        <v>-0.56830000000000003</v>
      </c>
      <c r="BL198" s="230">
        <v>7009800</v>
      </c>
      <c r="BM198" s="230">
        <v>17290800</v>
      </c>
      <c r="BN198" s="230">
        <v>-10281000</v>
      </c>
      <c r="BO198" s="229">
        <v>-0.59460000000000002</v>
      </c>
      <c r="BP198" s="230">
        <v>23861400</v>
      </c>
      <c r="BQ198" s="230">
        <v>57130200</v>
      </c>
      <c r="BR198" s="230">
        <v>-33268800</v>
      </c>
      <c r="BS198" s="229">
        <v>-0.58230000000000004</v>
      </c>
      <c r="BT198" s="230">
        <v>1649162</v>
      </c>
      <c r="BU198" s="230">
        <v>2970825</v>
      </c>
      <c r="BV198" s="230">
        <v>-1321663</v>
      </c>
      <c r="BW198" s="229">
        <v>-0.44490000000000002</v>
      </c>
      <c r="BX198" s="230">
        <v>17473200</v>
      </c>
      <c r="BY198" s="230">
        <v>17053800</v>
      </c>
      <c r="BZ198" s="230">
        <v>419400</v>
      </c>
      <c r="CA198" s="229">
        <v>2.46E-2</v>
      </c>
      <c r="CB198" s="230">
        <v>15477600</v>
      </c>
      <c r="CC198" s="230">
        <v>15207000</v>
      </c>
      <c r="CD198" s="230">
        <v>270600</v>
      </c>
      <c r="CE198" s="229">
        <v>1.78E-2</v>
      </c>
      <c r="CF198" s="230">
        <v>1912800</v>
      </c>
      <c r="CG198" s="230">
        <v>1772400</v>
      </c>
      <c r="CH198" s="230">
        <v>140400</v>
      </c>
      <c r="CI198" s="229">
        <v>7.9200000000000007E-2</v>
      </c>
      <c r="CJ198" s="230">
        <v>82800</v>
      </c>
      <c r="CK198" s="230">
        <v>74400</v>
      </c>
      <c r="CL198" s="230">
        <v>8400</v>
      </c>
      <c r="CM198" s="229">
        <v>0.1129</v>
      </c>
      <c r="CN198" s="230">
        <v>7278600</v>
      </c>
      <c r="CO198" s="230">
        <v>8351400</v>
      </c>
      <c r="CP198" s="230">
        <v>-1072800</v>
      </c>
      <c r="CQ198" s="229">
        <v>-0.1285</v>
      </c>
      <c r="CR198" s="230">
        <v>5836200</v>
      </c>
      <c r="CS198" s="230">
        <v>6200400</v>
      </c>
      <c r="CT198" s="230">
        <v>-364200</v>
      </c>
      <c r="CU198" s="229">
        <v>-5.8700000000000002E-2</v>
      </c>
      <c r="CV198" s="230">
        <v>30588000</v>
      </c>
      <c r="CW198" s="230">
        <v>31605600</v>
      </c>
      <c r="CX198" s="230">
        <v>-1017600</v>
      </c>
      <c r="CY198" s="229">
        <v>-3.2199999999999999E-2</v>
      </c>
      <c r="CZ198" s="228">
        <v>23.63</v>
      </c>
      <c r="DA198" s="228">
        <v>24.12</v>
      </c>
      <c r="DB198" s="228">
        <v>-0.49</v>
      </c>
      <c r="DC198" s="228">
        <v>-0.49</v>
      </c>
      <c r="DD198" s="228">
        <v>29.96</v>
      </c>
      <c r="DE198" s="228">
        <v>30.03</v>
      </c>
      <c r="DF198" s="228">
        <v>-6.33</v>
      </c>
      <c r="DG198" s="228">
        <v>-7.0000000000000007E-2</v>
      </c>
      <c r="DH198" s="228">
        <v>23.36</v>
      </c>
      <c r="DI198" s="228">
        <v>24.01</v>
      </c>
      <c r="DJ198" s="228">
        <v>-0.65</v>
      </c>
      <c r="DK198" s="228">
        <v>-0.65</v>
      </c>
      <c r="DL198" s="228">
        <v>24.15</v>
      </c>
      <c r="DM198" s="228">
        <v>24.32</v>
      </c>
      <c r="DN198" s="228">
        <v>-0.17</v>
      </c>
      <c r="DO198" s="228">
        <v>-0.17</v>
      </c>
      <c r="DP198" s="228">
        <v>0.8</v>
      </c>
      <c r="DQ198" s="228">
        <v>0.74</v>
      </c>
      <c r="DR198" s="228">
        <v>0.06</v>
      </c>
      <c r="DS198" s="229">
        <v>8.1100000000000005E-2</v>
      </c>
      <c r="DT198" s="231">
        <v>1500</v>
      </c>
      <c r="DU198" s="231">
        <v>1400</v>
      </c>
      <c r="DV198" s="228">
        <v>0.5</v>
      </c>
      <c r="DW198" s="228">
        <v>0.53</v>
      </c>
      <c r="DX198" s="228">
        <v>-0.03</v>
      </c>
      <c r="DY198" s="229">
        <v>-5.6599999999999998E-2</v>
      </c>
      <c r="DZ198" s="229">
        <v>0.1142</v>
      </c>
      <c r="EA198" s="230">
        <v>1846800</v>
      </c>
      <c r="EB198" s="229">
        <v>5.7000000000000002E-3</v>
      </c>
      <c r="EC198" s="229">
        <v>0.1142</v>
      </c>
      <c r="ED198" s="228">
        <v>8.6</v>
      </c>
      <c r="EE198" s="229">
        <v>5.8999999999999999E-3</v>
      </c>
      <c r="EF198" s="230">
        <v>953715</v>
      </c>
      <c r="EG198" s="230">
        <v>1265178</v>
      </c>
      <c r="EH198" s="229">
        <v>-0.2462</v>
      </c>
      <c r="EI198" s="229">
        <v>0.57830000000000004</v>
      </c>
      <c r="EJ198" s="231">
        <v>210288.53</v>
      </c>
      <c r="EK198" s="231">
        <v>100430.92</v>
      </c>
      <c r="EL198" s="231">
        <v>40905.51</v>
      </c>
      <c r="EM198" s="231">
        <v>6851</v>
      </c>
      <c r="EN198" s="231">
        <v>351624.96000000002</v>
      </c>
      <c r="EO198" s="231">
        <v>842117.99</v>
      </c>
      <c r="EP198" s="231">
        <v>-490493.03</v>
      </c>
      <c r="EQ198" s="229">
        <v>-0.58250000000000002</v>
      </c>
      <c r="ER198" s="231">
        <v>110853</v>
      </c>
      <c r="ES198" s="231">
        <v>81598</v>
      </c>
      <c r="ET198" s="231">
        <v>254145</v>
      </c>
      <c r="EU198" s="231">
        <v>76137451</v>
      </c>
      <c r="EV198" s="231">
        <v>446596</v>
      </c>
      <c r="EW198" s="231">
        <v>460146</v>
      </c>
      <c r="EX198" s="231">
        <v>-13550</v>
      </c>
      <c r="EY198" s="229">
        <v>-2.9399999999999999E-2</v>
      </c>
      <c r="EZ198" s="229">
        <v>0.4017</v>
      </c>
      <c r="FA198" s="227" t="s">
        <v>555</v>
      </c>
      <c r="FB198" s="161">
        <f t="shared" si="5"/>
        <v>0</v>
      </c>
    </row>
    <row r="199" spans="1:158" ht="17.25" thickBot="1" x14ac:dyDescent="0.3">
      <c r="A199" s="226">
        <v>45946</v>
      </c>
      <c r="B199" s="227" t="s">
        <v>184</v>
      </c>
      <c r="C199" s="227" t="s">
        <v>595</v>
      </c>
      <c r="D199" s="228">
        <v>200</v>
      </c>
      <c r="E199" s="231">
        <v>3190.7</v>
      </c>
      <c r="F199" s="231">
        <v>3164.1</v>
      </c>
      <c r="G199" s="228">
        <v>26.6</v>
      </c>
      <c r="H199" s="229">
        <v>8.3999999999999995E-3</v>
      </c>
      <c r="I199" s="231">
        <v>3179</v>
      </c>
      <c r="J199" s="231">
        <v>3150.2</v>
      </c>
      <c r="K199" s="228">
        <v>28.8</v>
      </c>
      <c r="L199" s="229">
        <v>9.1000000000000004E-3</v>
      </c>
      <c r="M199" s="231">
        <v>3190.7</v>
      </c>
      <c r="N199" s="231">
        <v>3164.1</v>
      </c>
      <c r="O199" s="228">
        <v>26.6</v>
      </c>
      <c r="P199" s="229">
        <v>8.3999999999999995E-3</v>
      </c>
      <c r="Q199" s="231">
        <v>3206.6</v>
      </c>
      <c r="R199" s="231">
        <v>3179.5</v>
      </c>
      <c r="S199" s="228">
        <v>27.1</v>
      </c>
      <c r="T199" s="229">
        <v>8.5000000000000006E-3</v>
      </c>
      <c r="U199" s="231">
        <v>3220</v>
      </c>
      <c r="V199" s="231">
        <v>3150</v>
      </c>
      <c r="W199" s="228">
        <v>70</v>
      </c>
      <c r="X199" s="229">
        <v>2.2200000000000001E-2</v>
      </c>
      <c r="Y199" s="228">
        <v>11.7</v>
      </c>
      <c r="Z199" s="228">
        <v>13.9</v>
      </c>
      <c r="AA199" s="228">
        <v>-2.2000000000000002</v>
      </c>
      <c r="AB199" s="229">
        <v>3.7000000000000002E-3</v>
      </c>
      <c r="AC199" s="228">
        <v>11.7</v>
      </c>
      <c r="AD199" s="228">
        <v>13.9</v>
      </c>
      <c r="AE199" s="228">
        <v>-2.2000000000000002</v>
      </c>
      <c r="AF199" s="229">
        <v>3.7000000000000002E-3</v>
      </c>
      <c r="AG199" s="228">
        <v>27.6</v>
      </c>
      <c r="AH199" s="228">
        <v>29.3</v>
      </c>
      <c r="AI199" s="228">
        <v>-1.7</v>
      </c>
      <c r="AJ199" s="229">
        <v>8.6999999999999994E-3</v>
      </c>
      <c r="AK199" s="228">
        <v>41</v>
      </c>
      <c r="AL199" s="228">
        <v>-0.2</v>
      </c>
      <c r="AM199" s="228">
        <v>41.2</v>
      </c>
      <c r="AN199" s="229">
        <v>1.29E-2</v>
      </c>
      <c r="AO199" s="231">
        <v>3199.25</v>
      </c>
      <c r="AP199" s="231">
        <v>3213.18</v>
      </c>
      <c r="AQ199" s="228">
        <v>0</v>
      </c>
      <c r="AR199" s="230">
        <v>253000</v>
      </c>
      <c r="AS199" s="230">
        <v>258800</v>
      </c>
      <c r="AT199" s="230">
        <v>-5800</v>
      </c>
      <c r="AU199" s="229">
        <v>-2.24E-2</v>
      </c>
      <c r="AV199" s="230">
        <v>219400</v>
      </c>
      <c r="AW199" s="230">
        <v>221800</v>
      </c>
      <c r="AX199" s="230">
        <v>-2400</v>
      </c>
      <c r="AY199" s="229">
        <v>-1.0800000000000001E-2</v>
      </c>
      <c r="AZ199" s="230">
        <v>32400</v>
      </c>
      <c r="BA199" s="230">
        <v>36600</v>
      </c>
      <c r="BB199" s="230">
        <v>-4200</v>
      </c>
      <c r="BC199" s="229">
        <v>-0.1148</v>
      </c>
      <c r="BD199" s="230">
        <v>1200</v>
      </c>
      <c r="BE199" s="228">
        <v>400</v>
      </c>
      <c r="BF199" s="228">
        <v>800</v>
      </c>
      <c r="BG199" s="229">
        <v>2</v>
      </c>
      <c r="BH199" s="230">
        <v>776800</v>
      </c>
      <c r="BI199" s="230">
        <v>481400</v>
      </c>
      <c r="BJ199" s="230">
        <v>295400</v>
      </c>
      <c r="BK199" s="229">
        <v>0.61360000000000003</v>
      </c>
      <c r="BL199" s="230">
        <v>204600</v>
      </c>
      <c r="BM199" s="230">
        <v>119000</v>
      </c>
      <c r="BN199" s="230">
        <v>85600</v>
      </c>
      <c r="BO199" s="229">
        <v>0.71930000000000005</v>
      </c>
      <c r="BP199" s="230">
        <v>1234400</v>
      </c>
      <c r="BQ199" s="230">
        <v>859200</v>
      </c>
      <c r="BR199" s="230">
        <v>375200</v>
      </c>
      <c r="BS199" s="229">
        <v>0.43669999999999998</v>
      </c>
      <c r="BT199" s="230">
        <v>134528</v>
      </c>
      <c r="BU199" s="230">
        <v>147858</v>
      </c>
      <c r="BV199" s="230">
        <v>-13330</v>
      </c>
      <c r="BW199" s="229">
        <v>-9.0200000000000002E-2</v>
      </c>
      <c r="BX199" s="230">
        <v>1942600</v>
      </c>
      <c r="BY199" s="230">
        <v>1987600</v>
      </c>
      <c r="BZ199" s="230">
        <v>-45000</v>
      </c>
      <c r="CA199" s="229">
        <v>-2.2599999999999999E-2</v>
      </c>
      <c r="CB199" s="230">
        <v>1902000</v>
      </c>
      <c r="CC199" s="230">
        <v>1953000</v>
      </c>
      <c r="CD199" s="230">
        <v>-51000</v>
      </c>
      <c r="CE199" s="229">
        <v>-2.6100000000000002E-2</v>
      </c>
      <c r="CF199" s="230">
        <v>36200</v>
      </c>
      <c r="CG199" s="230">
        <v>30600</v>
      </c>
      <c r="CH199" s="230">
        <v>5600</v>
      </c>
      <c r="CI199" s="229">
        <v>0.183</v>
      </c>
      <c r="CJ199" s="230">
        <v>4400</v>
      </c>
      <c r="CK199" s="230">
        <v>4000</v>
      </c>
      <c r="CL199" s="228">
        <v>400</v>
      </c>
      <c r="CM199" s="229">
        <v>0.1</v>
      </c>
      <c r="CN199" s="230">
        <v>557800</v>
      </c>
      <c r="CO199" s="230">
        <v>530600</v>
      </c>
      <c r="CP199" s="230">
        <v>27200</v>
      </c>
      <c r="CQ199" s="229">
        <v>5.1299999999999998E-2</v>
      </c>
      <c r="CR199" s="230">
        <v>279400</v>
      </c>
      <c r="CS199" s="230">
        <v>272000</v>
      </c>
      <c r="CT199" s="230">
        <v>7400</v>
      </c>
      <c r="CU199" s="229">
        <v>2.7199999999999998E-2</v>
      </c>
      <c r="CV199" s="230">
        <v>2779800</v>
      </c>
      <c r="CW199" s="230">
        <v>2790200</v>
      </c>
      <c r="CX199" s="230">
        <v>-10400</v>
      </c>
      <c r="CY199" s="229">
        <v>-3.7000000000000002E-3</v>
      </c>
      <c r="CZ199" s="228">
        <v>26.41</v>
      </c>
      <c r="DA199" s="228">
        <v>28.14</v>
      </c>
      <c r="DB199" s="228">
        <v>-1.73</v>
      </c>
      <c r="DC199" s="228">
        <v>-1.73</v>
      </c>
      <c r="DD199" s="228">
        <v>42.84</v>
      </c>
      <c r="DE199" s="228">
        <v>42.93</v>
      </c>
      <c r="DF199" s="228">
        <v>-16.43</v>
      </c>
      <c r="DG199" s="228">
        <v>-0.09</v>
      </c>
      <c r="DH199" s="228">
        <v>26.5</v>
      </c>
      <c r="DI199" s="228">
        <v>28.39</v>
      </c>
      <c r="DJ199" s="228">
        <v>-1.89</v>
      </c>
      <c r="DK199" s="228">
        <v>-1.89</v>
      </c>
      <c r="DL199" s="228">
        <v>26.04</v>
      </c>
      <c r="DM199" s="228">
        <v>27.13</v>
      </c>
      <c r="DN199" s="228">
        <v>-1.0900000000000001</v>
      </c>
      <c r="DO199" s="228">
        <v>-1.0900000000000001</v>
      </c>
      <c r="DP199" s="228">
        <v>0.5</v>
      </c>
      <c r="DQ199" s="228">
        <v>0.51</v>
      </c>
      <c r="DR199" s="228">
        <v>-0.01</v>
      </c>
      <c r="DS199" s="229">
        <v>-1.9599999999999999E-2</v>
      </c>
      <c r="DT199" s="231">
        <v>3200</v>
      </c>
      <c r="DU199" s="231">
        <v>3000</v>
      </c>
      <c r="DV199" s="228">
        <v>0.26</v>
      </c>
      <c r="DW199" s="228">
        <v>0.25</v>
      </c>
      <c r="DX199" s="228">
        <v>0.01</v>
      </c>
      <c r="DY199" s="229">
        <v>0.04</v>
      </c>
      <c r="DZ199" s="229">
        <v>2.0899999999999998E-2</v>
      </c>
      <c r="EA199" s="230">
        <v>34600</v>
      </c>
      <c r="EB199" s="229">
        <v>5.0000000000000001E-3</v>
      </c>
      <c r="EC199" s="229">
        <v>2.0899999999999998E-2</v>
      </c>
      <c r="ED199" s="228">
        <v>13.93</v>
      </c>
      <c r="EE199" s="229">
        <v>4.4000000000000003E-3</v>
      </c>
      <c r="EF199" s="230">
        <v>66487</v>
      </c>
      <c r="EG199" s="230">
        <v>76164</v>
      </c>
      <c r="EH199" s="229">
        <v>-0.12709999999999999</v>
      </c>
      <c r="EI199" s="229">
        <v>0.49419999999999997</v>
      </c>
      <c r="EJ199" s="231">
        <v>25632.85</v>
      </c>
      <c r="EK199" s="231">
        <v>6443.7</v>
      </c>
      <c r="EL199" s="231">
        <v>8099.06</v>
      </c>
      <c r="EM199" s="228">
        <v>911</v>
      </c>
      <c r="EN199" s="231">
        <v>40175.61</v>
      </c>
      <c r="EO199" s="231">
        <v>27681.8</v>
      </c>
      <c r="EP199" s="231">
        <v>12493.81</v>
      </c>
      <c r="EQ199" s="229">
        <v>0.45129999999999998</v>
      </c>
      <c r="ER199" s="231">
        <v>18467</v>
      </c>
      <c r="ES199" s="231">
        <v>8584</v>
      </c>
      <c r="ET199" s="231">
        <v>61990</v>
      </c>
      <c r="EU199" s="231">
        <v>14039249</v>
      </c>
      <c r="EV199" s="231">
        <v>89040</v>
      </c>
      <c r="EW199" s="231">
        <v>88777</v>
      </c>
      <c r="EX199" s="228">
        <v>263</v>
      </c>
      <c r="EY199" s="229">
        <v>3.0000000000000001E-3</v>
      </c>
      <c r="EZ199" s="229">
        <v>0.19800000000000001</v>
      </c>
      <c r="FA199" s="227" t="s">
        <v>556</v>
      </c>
      <c r="FB199" s="161">
        <f t="shared" si="5"/>
        <v>0</v>
      </c>
    </row>
    <row r="200" spans="1:158" ht="17.25" thickBot="1" x14ac:dyDescent="0.3">
      <c r="A200" s="226">
        <v>45946</v>
      </c>
      <c r="B200" s="227" t="s">
        <v>184</v>
      </c>
      <c r="C200" s="227" t="s">
        <v>663</v>
      </c>
      <c r="D200" s="228">
        <v>725</v>
      </c>
      <c r="E200" s="228">
        <v>884.55</v>
      </c>
      <c r="F200" s="228">
        <v>893.85</v>
      </c>
      <c r="G200" s="228">
        <v>-9.3000000000000007</v>
      </c>
      <c r="H200" s="229">
        <v>-1.04E-2</v>
      </c>
      <c r="I200" s="228">
        <v>880.95</v>
      </c>
      <c r="J200" s="228">
        <v>890.25</v>
      </c>
      <c r="K200" s="228">
        <v>-9.3000000000000007</v>
      </c>
      <c r="L200" s="229">
        <v>-1.04E-2</v>
      </c>
      <c r="M200" s="228">
        <v>884.55</v>
      </c>
      <c r="N200" s="228">
        <v>893.85</v>
      </c>
      <c r="O200" s="228">
        <v>-9.3000000000000007</v>
      </c>
      <c r="P200" s="229">
        <v>-1.04E-2</v>
      </c>
      <c r="Q200" s="228">
        <v>888.55</v>
      </c>
      <c r="R200" s="228">
        <v>896.75</v>
      </c>
      <c r="S200" s="228">
        <v>-8.1999999999999993</v>
      </c>
      <c r="T200" s="229">
        <v>-9.1000000000000004E-3</v>
      </c>
      <c r="U200" s="228">
        <v>894.75</v>
      </c>
      <c r="V200" s="228">
        <v>900.2</v>
      </c>
      <c r="W200" s="228">
        <v>-5.45</v>
      </c>
      <c r="X200" s="229">
        <v>-6.1000000000000004E-3</v>
      </c>
      <c r="Y200" s="228">
        <v>3.6</v>
      </c>
      <c r="Z200" s="228">
        <v>3.6</v>
      </c>
      <c r="AA200" s="228">
        <v>0</v>
      </c>
      <c r="AB200" s="229">
        <v>4.1000000000000003E-3</v>
      </c>
      <c r="AC200" s="228">
        <v>3.6</v>
      </c>
      <c r="AD200" s="228">
        <v>3.6</v>
      </c>
      <c r="AE200" s="228">
        <v>0</v>
      </c>
      <c r="AF200" s="229">
        <v>4.1000000000000003E-3</v>
      </c>
      <c r="AG200" s="228">
        <v>7.6</v>
      </c>
      <c r="AH200" s="228">
        <v>6.5</v>
      </c>
      <c r="AI200" s="228">
        <v>1.1000000000000001</v>
      </c>
      <c r="AJ200" s="229">
        <v>8.6E-3</v>
      </c>
      <c r="AK200" s="228">
        <v>13.8</v>
      </c>
      <c r="AL200" s="228">
        <v>9.9499999999999993</v>
      </c>
      <c r="AM200" s="228">
        <v>3.85</v>
      </c>
      <c r="AN200" s="229">
        <v>1.5699999999999999E-2</v>
      </c>
      <c r="AO200" s="228">
        <v>887.94</v>
      </c>
      <c r="AP200" s="228">
        <v>891.01</v>
      </c>
      <c r="AQ200" s="228">
        <v>0</v>
      </c>
      <c r="AR200" s="230">
        <v>963525</v>
      </c>
      <c r="AS200" s="230">
        <v>1153475</v>
      </c>
      <c r="AT200" s="230">
        <v>-189950</v>
      </c>
      <c r="AU200" s="229">
        <v>-0.16470000000000001</v>
      </c>
      <c r="AV200" s="230">
        <v>710500</v>
      </c>
      <c r="AW200" s="230">
        <v>1012100</v>
      </c>
      <c r="AX200" s="230">
        <v>-301600</v>
      </c>
      <c r="AY200" s="229">
        <v>-0.29799999999999999</v>
      </c>
      <c r="AZ200" s="230">
        <v>245775</v>
      </c>
      <c r="BA200" s="230">
        <v>137750</v>
      </c>
      <c r="BB200" s="230">
        <v>108025</v>
      </c>
      <c r="BC200" s="229">
        <v>0.78420000000000001</v>
      </c>
      <c r="BD200" s="230">
        <v>7250</v>
      </c>
      <c r="BE200" s="230">
        <v>3625</v>
      </c>
      <c r="BF200" s="230">
        <v>3625</v>
      </c>
      <c r="BG200" s="229">
        <v>1</v>
      </c>
      <c r="BH200" s="230">
        <v>2752825</v>
      </c>
      <c r="BI200" s="230">
        <v>4975675</v>
      </c>
      <c r="BJ200" s="230">
        <v>-2222850</v>
      </c>
      <c r="BK200" s="229">
        <v>-0.44669999999999999</v>
      </c>
      <c r="BL200" s="230">
        <v>512575</v>
      </c>
      <c r="BM200" s="230">
        <v>1518150</v>
      </c>
      <c r="BN200" s="230">
        <v>-1005575</v>
      </c>
      <c r="BO200" s="229">
        <v>-0.66239999999999999</v>
      </c>
      <c r="BP200" s="230">
        <v>4228925</v>
      </c>
      <c r="BQ200" s="230">
        <v>7647300</v>
      </c>
      <c r="BR200" s="230">
        <v>-3418375</v>
      </c>
      <c r="BS200" s="229">
        <v>-0.44700000000000001</v>
      </c>
      <c r="BT200" s="230">
        <v>629492</v>
      </c>
      <c r="BU200" s="230">
        <v>605402</v>
      </c>
      <c r="BV200" s="230">
        <v>24090</v>
      </c>
      <c r="BW200" s="229">
        <v>3.9800000000000002E-2</v>
      </c>
      <c r="BX200" s="230">
        <v>7302925</v>
      </c>
      <c r="BY200" s="230">
        <v>7168075</v>
      </c>
      <c r="BZ200" s="230">
        <v>134850</v>
      </c>
      <c r="CA200" s="229">
        <v>1.8800000000000001E-2</v>
      </c>
      <c r="CB200" s="230">
        <v>6723650</v>
      </c>
      <c r="CC200" s="230">
        <v>6699000</v>
      </c>
      <c r="CD200" s="230">
        <v>24650</v>
      </c>
      <c r="CE200" s="229">
        <v>3.7000000000000002E-3</v>
      </c>
      <c r="CF200" s="230">
        <v>530700</v>
      </c>
      <c r="CG200" s="230">
        <v>424125</v>
      </c>
      <c r="CH200" s="230">
        <v>106575</v>
      </c>
      <c r="CI200" s="229">
        <v>0.25130000000000002</v>
      </c>
      <c r="CJ200" s="230">
        <v>48575</v>
      </c>
      <c r="CK200" s="230">
        <v>44950</v>
      </c>
      <c r="CL200" s="230">
        <v>3625</v>
      </c>
      <c r="CM200" s="229">
        <v>8.0600000000000005E-2</v>
      </c>
      <c r="CN200" s="230">
        <v>4103500</v>
      </c>
      <c r="CO200" s="230">
        <v>3897600</v>
      </c>
      <c r="CP200" s="230">
        <v>205900</v>
      </c>
      <c r="CQ200" s="229">
        <v>5.28E-2</v>
      </c>
      <c r="CR200" s="230">
        <v>1786400</v>
      </c>
      <c r="CS200" s="230">
        <v>1735650</v>
      </c>
      <c r="CT200" s="230">
        <v>50750</v>
      </c>
      <c r="CU200" s="229">
        <v>2.92E-2</v>
      </c>
      <c r="CV200" s="230">
        <v>13192825</v>
      </c>
      <c r="CW200" s="230">
        <v>12801325</v>
      </c>
      <c r="CX200" s="230">
        <v>391500</v>
      </c>
      <c r="CY200" s="229">
        <v>3.0599999999999999E-2</v>
      </c>
      <c r="CZ200" s="228">
        <v>37.1</v>
      </c>
      <c r="DA200" s="228">
        <v>35.85</v>
      </c>
      <c r="DB200" s="228">
        <v>1.25</v>
      </c>
      <c r="DC200" s="228">
        <v>1.25</v>
      </c>
      <c r="DD200" s="228">
        <v>55.66</v>
      </c>
      <c r="DE200" s="228">
        <v>55.78</v>
      </c>
      <c r="DF200" s="228">
        <v>-18.559999999999999</v>
      </c>
      <c r="DG200" s="228">
        <v>-0.12</v>
      </c>
      <c r="DH200" s="228">
        <v>37.369999999999997</v>
      </c>
      <c r="DI200" s="228">
        <v>36.1</v>
      </c>
      <c r="DJ200" s="228">
        <v>1.27</v>
      </c>
      <c r="DK200" s="228">
        <v>1.27</v>
      </c>
      <c r="DL200" s="228">
        <v>35.65</v>
      </c>
      <c r="DM200" s="228">
        <v>35.04</v>
      </c>
      <c r="DN200" s="228">
        <v>0.61</v>
      </c>
      <c r="DO200" s="228">
        <v>0.61</v>
      </c>
      <c r="DP200" s="228">
        <v>0.44</v>
      </c>
      <c r="DQ200" s="228">
        <v>0.45</v>
      </c>
      <c r="DR200" s="228">
        <v>-0.01</v>
      </c>
      <c r="DS200" s="229">
        <v>-2.2200000000000001E-2</v>
      </c>
      <c r="DT200" s="228">
        <v>900</v>
      </c>
      <c r="DU200" s="228">
        <v>900</v>
      </c>
      <c r="DV200" s="228">
        <v>0.19</v>
      </c>
      <c r="DW200" s="228">
        <v>0.31</v>
      </c>
      <c r="DX200" s="228">
        <v>-0.12</v>
      </c>
      <c r="DY200" s="229">
        <v>-0.3871</v>
      </c>
      <c r="DZ200" s="229">
        <v>7.9299999999999995E-2</v>
      </c>
      <c r="EA200" s="230">
        <v>469075</v>
      </c>
      <c r="EB200" s="229">
        <v>4.4999999999999997E-3</v>
      </c>
      <c r="EC200" s="229">
        <v>7.9299999999999995E-2</v>
      </c>
      <c r="ED200" s="228">
        <v>3.07</v>
      </c>
      <c r="EE200" s="229">
        <v>3.5000000000000001E-3</v>
      </c>
      <c r="EF200" s="230">
        <v>300428</v>
      </c>
      <c r="EG200" s="230">
        <v>177919</v>
      </c>
      <c r="EH200" s="229">
        <v>0.68859999999999999</v>
      </c>
      <c r="EI200" s="229">
        <v>0.4773</v>
      </c>
      <c r="EJ200" s="231">
        <v>25937.39</v>
      </c>
      <c r="EK200" s="231">
        <v>4395.99</v>
      </c>
      <c r="EL200" s="231">
        <v>8563.89</v>
      </c>
      <c r="EM200" s="231">
        <v>1676</v>
      </c>
      <c r="EN200" s="231">
        <v>38897.269999999997</v>
      </c>
      <c r="EO200" s="231">
        <v>71077.63</v>
      </c>
      <c r="EP200" s="231">
        <v>-32180.36</v>
      </c>
      <c r="EQ200" s="229">
        <v>-0.45269999999999999</v>
      </c>
      <c r="ER200" s="231">
        <v>38807</v>
      </c>
      <c r="ES200" s="231">
        <v>15359</v>
      </c>
      <c r="ET200" s="231">
        <v>64624</v>
      </c>
      <c r="EU200" s="231">
        <v>12028036</v>
      </c>
      <c r="EV200" s="231">
        <v>118791</v>
      </c>
      <c r="EW200" s="231">
        <v>116019</v>
      </c>
      <c r="EX200" s="231">
        <v>2772</v>
      </c>
      <c r="EY200" s="229">
        <v>2.3900000000000001E-2</v>
      </c>
      <c r="EZ200" s="229">
        <v>1.0968</v>
      </c>
      <c r="FA200" s="227" t="s">
        <v>567</v>
      </c>
      <c r="FB200" s="161">
        <f t="shared" si="5"/>
        <v>0</v>
      </c>
    </row>
    <row r="201" spans="1:158" ht="17.25" thickBot="1" x14ac:dyDescent="0.3">
      <c r="A201" s="226">
        <v>45946</v>
      </c>
      <c r="B201" s="227" t="s">
        <v>168</v>
      </c>
      <c r="C201" s="227" t="s">
        <v>297</v>
      </c>
      <c r="D201" s="228">
        <v>175</v>
      </c>
      <c r="E201" s="231">
        <v>3653.3</v>
      </c>
      <c r="F201" s="231">
        <v>3553.9</v>
      </c>
      <c r="G201" s="228">
        <v>99.4</v>
      </c>
      <c r="H201" s="229">
        <v>2.8000000000000001E-2</v>
      </c>
      <c r="I201" s="231">
        <v>3640.3</v>
      </c>
      <c r="J201" s="231">
        <v>3549</v>
      </c>
      <c r="K201" s="228">
        <v>91.3</v>
      </c>
      <c r="L201" s="229">
        <v>2.5700000000000001E-2</v>
      </c>
      <c r="M201" s="231">
        <v>3653.3</v>
      </c>
      <c r="N201" s="231">
        <v>3553.9</v>
      </c>
      <c r="O201" s="228">
        <v>99.4</v>
      </c>
      <c r="P201" s="229">
        <v>2.8000000000000001E-2</v>
      </c>
      <c r="Q201" s="231">
        <v>3672.2</v>
      </c>
      <c r="R201" s="231">
        <v>3573.7</v>
      </c>
      <c r="S201" s="228">
        <v>98.5</v>
      </c>
      <c r="T201" s="229">
        <v>2.76E-2</v>
      </c>
      <c r="U201" s="231">
        <v>3694.1</v>
      </c>
      <c r="V201" s="231">
        <v>3596.6</v>
      </c>
      <c r="W201" s="228">
        <v>97.5</v>
      </c>
      <c r="X201" s="229">
        <v>2.7099999999999999E-2</v>
      </c>
      <c r="Y201" s="228">
        <v>13</v>
      </c>
      <c r="Z201" s="228">
        <v>4.9000000000000004</v>
      </c>
      <c r="AA201" s="228">
        <v>8.1</v>
      </c>
      <c r="AB201" s="229">
        <v>3.5999999999999999E-3</v>
      </c>
      <c r="AC201" s="228">
        <v>13</v>
      </c>
      <c r="AD201" s="228">
        <v>4.9000000000000004</v>
      </c>
      <c r="AE201" s="228">
        <v>8.1</v>
      </c>
      <c r="AF201" s="229">
        <v>3.5999999999999999E-3</v>
      </c>
      <c r="AG201" s="228">
        <v>31.9</v>
      </c>
      <c r="AH201" s="228">
        <v>24.7</v>
      </c>
      <c r="AI201" s="228">
        <v>7.2</v>
      </c>
      <c r="AJ201" s="229">
        <v>8.8000000000000005E-3</v>
      </c>
      <c r="AK201" s="228">
        <v>53.8</v>
      </c>
      <c r="AL201" s="228">
        <v>47.6</v>
      </c>
      <c r="AM201" s="228">
        <v>6.2</v>
      </c>
      <c r="AN201" s="229">
        <v>1.4800000000000001E-2</v>
      </c>
      <c r="AO201" s="231">
        <v>3636.54</v>
      </c>
      <c r="AP201" s="231">
        <v>3653.77</v>
      </c>
      <c r="AQ201" s="228">
        <v>0</v>
      </c>
      <c r="AR201" s="230">
        <v>1944250</v>
      </c>
      <c r="AS201" s="230">
        <v>1254225</v>
      </c>
      <c r="AT201" s="230">
        <v>690025</v>
      </c>
      <c r="AU201" s="229">
        <v>0.55020000000000002</v>
      </c>
      <c r="AV201" s="230">
        <v>1676325</v>
      </c>
      <c r="AW201" s="230">
        <v>1064875</v>
      </c>
      <c r="AX201" s="230">
        <v>611450</v>
      </c>
      <c r="AY201" s="229">
        <v>0.57420000000000004</v>
      </c>
      <c r="AZ201" s="230">
        <v>243075</v>
      </c>
      <c r="BA201" s="230">
        <v>175525</v>
      </c>
      <c r="BB201" s="230">
        <v>67550</v>
      </c>
      <c r="BC201" s="229">
        <v>0.38479999999999998</v>
      </c>
      <c r="BD201" s="230">
        <v>24850</v>
      </c>
      <c r="BE201" s="230">
        <v>13825</v>
      </c>
      <c r="BF201" s="230">
        <v>11025</v>
      </c>
      <c r="BG201" s="229">
        <v>0.79749999999999999</v>
      </c>
      <c r="BH201" s="230">
        <v>17381700</v>
      </c>
      <c r="BI201" s="230">
        <v>6151600</v>
      </c>
      <c r="BJ201" s="230">
        <v>11230100</v>
      </c>
      <c r="BK201" s="229">
        <v>1.8255999999999999</v>
      </c>
      <c r="BL201" s="230">
        <v>6936475</v>
      </c>
      <c r="BM201" s="230">
        <v>3851225</v>
      </c>
      <c r="BN201" s="230">
        <v>3085250</v>
      </c>
      <c r="BO201" s="229">
        <v>0.80110000000000003</v>
      </c>
      <c r="BP201" s="230">
        <v>26262425</v>
      </c>
      <c r="BQ201" s="230">
        <v>11257050</v>
      </c>
      <c r="BR201" s="230">
        <v>15005375</v>
      </c>
      <c r="BS201" s="229">
        <v>1.333</v>
      </c>
      <c r="BT201" s="230">
        <v>1584561</v>
      </c>
      <c r="BU201" s="230">
        <v>1047532</v>
      </c>
      <c r="BV201" s="230">
        <v>537029</v>
      </c>
      <c r="BW201" s="229">
        <v>0.51270000000000004</v>
      </c>
      <c r="BX201" s="230">
        <v>11208575</v>
      </c>
      <c r="BY201" s="230">
        <v>10857525</v>
      </c>
      <c r="BZ201" s="230">
        <v>351050</v>
      </c>
      <c r="CA201" s="229">
        <v>3.2300000000000002E-2</v>
      </c>
      <c r="CB201" s="230">
        <v>10825850</v>
      </c>
      <c r="CC201" s="230">
        <v>10533075</v>
      </c>
      <c r="CD201" s="230">
        <v>292775</v>
      </c>
      <c r="CE201" s="229">
        <v>2.7799999999999998E-2</v>
      </c>
      <c r="CF201" s="230">
        <v>349125</v>
      </c>
      <c r="CG201" s="230">
        <v>285775</v>
      </c>
      <c r="CH201" s="230">
        <v>63350</v>
      </c>
      <c r="CI201" s="229">
        <v>0.22170000000000001</v>
      </c>
      <c r="CJ201" s="230">
        <v>33600</v>
      </c>
      <c r="CK201" s="230">
        <v>38675</v>
      </c>
      <c r="CL201" s="230">
        <v>-5075</v>
      </c>
      <c r="CM201" s="229">
        <v>-0.13120000000000001</v>
      </c>
      <c r="CN201" s="230">
        <v>4880925</v>
      </c>
      <c r="CO201" s="230">
        <v>5035275</v>
      </c>
      <c r="CP201" s="230">
        <v>-154350</v>
      </c>
      <c r="CQ201" s="229">
        <v>-3.0700000000000002E-2</v>
      </c>
      <c r="CR201" s="230">
        <v>3287025</v>
      </c>
      <c r="CS201" s="230">
        <v>2709175</v>
      </c>
      <c r="CT201" s="230">
        <v>577850</v>
      </c>
      <c r="CU201" s="229">
        <v>0.21329999999999999</v>
      </c>
      <c r="CV201" s="230">
        <v>19376525</v>
      </c>
      <c r="CW201" s="230">
        <v>18601975</v>
      </c>
      <c r="CX201" s="230">
        <v>774550</v>
      </c>
      <c r="CY201" s="229">
        <v>4.1599999999999998E-2</v>
      </c>
      <c r="CZ201" s="228">
        <v>18.71</v>
      </c>
      <c r="DA201" s="228">
        <v>18.309999999999999</v>
      </c>
      <c r="DB201" s="228">
        <v>0.4</v>
      </c>
      <c r="DC201" s="228">
        <v>0.4</v>
      </c>
      <c r="DD201" s="228">
        <v>26.15</v>
      </c>
      <c r="DE201" s="228">
        <v>25.99</v>
      </c>
      <c r="DF201" s="228">
        <v>-7.44</v>
      </c>
      <c r="DG201" s="228">
        <v>0.16</v>
      </c>
      <c r="DH201" s="228">
        <v>18.309999999999999</v>
      </c>
      <c r="DI201" s="228">
        <v>18.38</v>
      </c>
      <c r="DJ201" s="228">
        <v>-7.0000000000000007E-2</v>
      </c>
      <c r="DK201" s="228">
        <v>-7.0000000000000007E-2</v>
      </c>
      <c r="DL201" s="228">
        <v>19.7</v>
      </c>
      <c r="DM201" s="228">
        <v>18.190000000000001</v>
      </c>
      <c r="DN201" s="228">
        <v>1.51</v>
      </c>
      <c r="DO201" s="228">
        <v>1.51</v>
      </c>
      <c r="DP201" s="228">
        <v>0.67</v>
      </c>
      <c r="DQ201" s="228">
        <v>0.54</v>
      </c>
      <c r="DR201" s="228">
        <v>0.13</v>
      </c>
      <c r="DS201" s="229">
        <v>0.2407</v>
      </c>
      <c r="DT201" s="231">
        <v>3400</v>
      </c>
      <c r="DU201" s="231">
        <v>3500</v>
      </c>
      <c r="DV201" s="228">
        <v>0.4</v>
      </c>
      <c r="DW201" s="228">
        <v>0.63</v>
      </c>
      <c r="DX201" s="228">
        <v>-0.23</v>
      </c>
      <c r="DY201" s="229">
        <v>-0.36509999999999998</v>
      </c>
      <c r="DZ201" s="229">
        <v>3.4099999999999998E-2</v>
      </c>
      <c r="EA201" s="230">
        <v>324450</v>
      </c>
      <c r="EB201" s="229">
        <v>5.1999999999999998E-3</v>
      </c>
      <c r="EC201" s="229">
        <v>3.4099999999999998E-2</v>
      </c>
      <c r="ED201" s="228">
        <v>17.23</v>
      </c>
      <c r="EE201" s="229">
        <v>4.7000000000000002E-3</v>
      </c>
      <c r="EF201" s="230">
        <v>746186</v>
      </c>
      <c r="EG201" s="230">
        <v>610902</v>
      </c>
      <c r="EH201" s="229">
        <v>0.22140000000000001</v>
      </c>
      <c r="EI201" s="229">
        <v>0.47089999999999999</v>
      </c>
      <c r="EJ201" s="231">
        <v>645728.26</v>
      </c>
      <c r="EK201" s="231">
        <v>247264.17</v>
      </c>
      <c r="EL201" s="231">
        <v>70755.360000000001</v>
      </c>
      <c r="EM201" s="231">
        <v>5868</v>
      </c>
      <c r="EN201" s="231">
        <v>963747.79</v>
      </c>
      <c r="EO201" s="231">
        <v>404065.87</v>
      </c>
      <c r="EP201" s="231">
        <v>559681.92000000004</v>
      </c>
      <c r="EQ201" s="229">
        <v>1.3851</v>
      </c>
      <c r="ER201" s="231">
        <v>177632</v>
      </c>
      <c r="ES201" s="231">
        <v>113733</v>
      </c>
      <c r="ET201" s="231">
        <v>409563</v>
      </c>
      <c r="EU201" s="231">
        <v>41744334</v>
      </c>
      <c r="EV201" s="231">
        <v>700927</v>
      </c>
      <c r="EW201" s="231">
        <v>660643</v>
      </c>
      <c r="EX201" s="231">
        <v>40284</v>
      </c>
      <c r="EY201" s="229">
        <v>6.0999999999999999E-2</v>
      </c>
      <c r="EZ201" s="229">
        <v>0.4642</v>
      </c>
      <c r="FA201" s="227" t="s">
        <v>555</v>
      </c>
      <c r="FB201" s="161">
        <f t="shared" si="5"/>
        <v>0</v>
      </c>
    </row>
    <row r="202" spans="1:158" ht="17.25" thickBot="1" x14ac:dyDescent="0.3">
      <c r="A202" s="226">
        <v>45946</v>
      </c>
      <c r="B202" s="227" t="s">
        <v>170</v>
      </c>
      <c r="C202" s="227" t="s">
        <v>298</v>
      </c>
      <c r="D202" s="228">
        <v>250</v>
      </c>
      <c r="E202" s="231">
        <v>3539.2</v>
      </c>
      <c r="F202" s="231">
        <v>3545.2</v>
      </c>
      <c r="G202" s="228">
        <v>-6</v>
      </c>
      <c r="H202" s="229">
        <v>-1.6999999999999999E-3</v>
      </c>
      <c r="I202" s="231">
        <v>3533.8</v>
      </c>
      <c r="J202" s="231">
        <v>3532.8</v>
      </c>
      <c r="K202" s="228">
        <v>1</v>
      </c>
      <c r="L202" s="229">
        <v>2.9999999999999997E-4</v>
      </c>
      <c r="M202" s="231">
        <v>3539.2</v>
      </c>
      <c r="N202" s="231">
        <v>3545.2</v>
      </c>
      <c r="O202" s="228">
        <v>-6</v>
      </c>
      <c r="P202" s="229">
        <v>-1.6999999999999999E-3</v>
      </c>
      <c r="Q202" s="231">
        <v>3557</v>
      </c>
      <c r="R202" s="231">
        <v>3564.7</v>
      </c>
      <c r="S202" s="228">
        <v>-7.7</v>
      </c>
      <c r="T202" s="229">
        <v>-2.2000000000000001E-3</v>
      </c>
      <c r="U202" s="231">
        <v>3570.5</v>
      </c>
      <c r="V202" s="231">
        <v>3579</v>
      </c>
      <c r="W202" s="228">
        <v>-8.5</v>
      </c>
      <c r="X202" s="229">
        <v>-2.3999999999999998E-3</v>
      </c>
      <c r="Y202" s="228">
        <v>5.4</v>
      </c>
      <c r="Z202" s="228">
        <v>12.4</v>
      </c>
      <c r="AA202" s="228">
        <v>-7</v>
      </c>
      <c r="AB202" s="229">
        <v>1.5E-3</v>
      </c>
      <c r="AC202" s="228">
        <v>5.4</v>
      </c>
      <c r="AD202" s="228">
        <v>12.4</v>
      </c>
      <c r="AE202" s="228">
        <v>-7</v>
      </c>
      <c r="AF202" s="229">
        <v>1.5E-3</v>
      </c>
      <c r="AG202" s="228">
        <v>23.2</v>
      </c>
      <c r="AH202" s="228">
        <v>31.9</v>
      </c>
      <c r="AI202" s="228">
        <v>-8.6999999999999993</v>
      </c>
      <c r="AJ202" s="229">
        <v>6.6E-3</v>
      </c>
      <c r="AK202" s="228">
        <v>36.700000000000003</v>
      </c>
      <c r="AL202" s="228">
        <v>46.2</v>
      </c>
      <c r="AM202" s="228">
        <v>-9.5</v>
      </c>
      <c r="AN202" s="229">
        <v>1.04E-2</v>
      </c>
      <c r="AO202" s="231">
        <v>3543.66</v>
      </c>
      <c r="AP202" s="231">
        <v>3562.61</v>
      </c>
      <c r="AQ202" s="228">
        <v>0</v>
      </c>
      <c r="AR202" s="230">
        <v>149500</v>
      </c>
      <c r="AS202" s="230">
        <v>236500</v>
      </c>
      <c r="AT202" s="230">
        <v>-87000</v>
      </c>
      <c r="AU202" s="229">
        <v>-0.3679</v>
      </c>
      <c r="AV202" s="230">
        <v>143500</v>
      </c>
      <c r="AW202" s="230">
        <v>225500</v>
      </c>
      <c r="AX202" s="230">
        <v>-82000</v>
      </c>
      <c r="AY202" s="229">
        <v>-0.36359999999999998</v>
      </c>
      <c r="AZ202" s="230">
        <v>5750</v>
      </c>
      <c r="BA202" s="230">
        <v>11000</v>
      </c>
      <c r="BB202" s="230">
        <v>-5250</v>
      </c>
      <c r="BC202" s="229">
        <v>-0.4773</v>
      </c>
      <c r="BD202" s="228">
        <v>250</v>
      </c>
      <c r="BE202" s="228">
        <v>0</v>
      </c>
      <c r="BF202" s="228">
        <v>250</v>
      </c>
      <c r="BG202" s="229">
        <v>0</v>
      </c>
      <c r="BH202" s="230">
        <v>540000</v>
      </c>
      <c r="BI202" s="230">
        <v>730250</v>
      </c>
      <c r="BJ202" s="230">
        <v>-190250</v>
      </c>
      <c r="BK202" s="229">
        <v>-0.26050000000000001</v>
      </c>
      <c r="BL202" s="230">
        <v>198500</v>
      </c>
      <c r="BM202" s="230">
        <v>308750</v>
      </c>
      <c r="BN202" s="230">
        <v>-110250</v>
      </c>
      <c r="BO202" s="229">
        <v>-0.35709999999999997</v>
      </c>
      <c r="BP202" s="230">
        <v>888000</v>
      </c>
      <c r="BQ202" s="230">
        <v>1275500</v>
      </c>
      <c r="BR202" s="230">
        <v>-387500</v>
      </c>
      <c r="BS202" s="229">
        <v>-0.30380000000000001</v>
      </c>
      <c r="BT202" s="230">
        <v>209216</v>
      </c>
      <c r="BU202" s="230">
        <v>133779</v>
      </c>
      <c r="BV202" s="230">
        <v>75437</v>
      </c>
      <c r="BW202" s="229">
        <v>0.56389999999999996</v>
      </c>
      <c r="BX202" s="230">
        <v>2349250</v>
      </c>
      <c r="BY202" s="230">
        <v>2351750</v>
      </c>
      <c r="BZ202" s="230">
        <v>-2500</v>
      </c>
      <c r="CA202" s="229">
        <v>-1.1000000000000001E-3</v>
      </c>
      <c r="CB202" s="230">
        <v>2330250</v>
      </c>
      <c r="CC202" s="230">
        <v>2335500</v>
      </c>
      <c r="CD202" s="230">
        <v>-5250</v>
      </c>
      <c r="CE202" s="229">
        <v>-2.2000000000000001E-3</v>
      </c>
      <c r="CF202" s="230">
        <v>18250</v>
      </c>
      <c r="CG202" s="230">
        <v>15750</v>
      </c>
      <c r="CH202" s="230">
        <v>2500</v>
      </c>
      <c r="CI202" s="229">
        <v>0.15870000000000001</v>
      </c>
      <c r="CJ202" s="228">
        <v>750</v>
      </c>
      <c r="CK202" s="228">
        <v>500</v>
      </c>
      <c r="CL202" s="228">
        <v>250</v>
      </c>
      <c r="CM202" s="229">
        <v>0.5</v>
      </c>
      <c r="CN202" s="230">
        <v>769500</v>
      </c>
      <c r="CO202" s="230">
        <v>732000</v>
      </c>
      <c r="CP202" s="230">
        <v>37500</v>
      </c>
      <c r="CQ202" s="229">
        <v>5.1200000000000002E-2</v>
      </c>
      <c r="CR202" s="230">
        <v>355000</v>
      </c>
      <c r="CS202" s="230">
        <v>348000</v>
      </c>
      <c r="CT202" s="230">
        <v>7000</v>
      </c>
      <c r="CU202" s="229">
        <v>2.01E-2</v>
      </c>
      <c r="CV202" s="230">
        <v>3473750</v>
      </c>
      <c r="CW202" s="230">
        <v>3431750</v>
      </c>
      <c r="CX202" s="230">
        <v>42000</v>
      </c>
      <c r="CY202" s="229">
        <v>1.2200000000000001E-2</v>
      </c>
      <c r="CZ202" s="228">
        <v>22.23</v>
      </c>
      <c r="DA202" s="228">
        <v>20.65</v>
      </c>
      <c r="DB202" s="228">
        <v>1.58</v>
      </c>
      <c r="DC202" s="228">
        <v>1.58</v>
      </c>
      <c r="DD202" s="228">
        <v>25.73</v>
      </c>
      <c r="DE202" s="228">
        <v>25.8</v>
      </c>
      <c r="DF202" s="228">
        <v>-3.5</v>
      </c>
      <c r="DG202" s="228">
        <v>-7.0000000000000007E-2</v>
      </c>
      <c r="DH202" s="228">
        <v>22.65</v>
      </c>
      <c r="DI202" s="228">
        <v>21.14</v>
      </c>
      <c r="DJ202" s="228">
        <v>1.51</v>
      </c>
      <c r="DK202" s="228">
        <v>1.51</v>
      </c>
      <c r="DL202" s="228">
        <v>21.1</v>
      </c>
      <c r="DM202" s="228">
        <v>19.47</v>
      </c>
      <c r="DN202" s="228">
        <v>1.63</v>
      </c>
      <c r="DO202" s="228">
        <v>1.63</v>
      </c>
      <c r="DP202" s="228">
        <v>0.46</v>
      </c>
      <c r="DQ202" s="228">
        <v>0.48</v>
      </c>
      <c r="DR202" s="228">
        <v>-0.02</v>
      </c>
      <c r="DS202" s="229">
        <v>-4.1700000000000001E-2</v>
      </c>
      <c r="DT202" s="231">
        <v>3600</v>
      </c>
      <c r="DU202" s="231">
        <v>3500</v>
      </c>
      <c r="DV202" s="228">
        <v>0.37</v>
      </c>
      <c r="DW202" s="228">
        <v>0.42</v>
      </c>
      <c r="DX202" s="228">
        <v>-0.05</v>
      </c>
      <c r="DY202" s="229">
        <v>-0.11899999999999999</v>
      </c>
      <c r="DZ202" s="229">
        <v>8.0999999999999996E-3</v>
      </c>
      <c r="EA202" s="230">
        <v>16250</v>
      </c>
      <c r="EB202" s="229">
        <v>5.0000000000000001E-3</v>
      </c>
      <c r="EC202" s="229">
        <v>8.0999999999999996E-3</v>
      </c>
      <c r="ED202" s="228">
        <v>18.95</v>
      </c>
      <c r="EE202" s="229">
        <v>5.3E-3</v>
      </c>
      <c r="EF202" s="230">
        <v>157970</v>
      </c>
      <c r="EG202" s="230">
        <v>69890</v>
      </c>
      <c r="EH202" s="229">
        <v>1.2603</v>
      </c>
      <c r="EI202" s="229">
        <v>0.75509999999999999</v>
      </c>
      <c r="EJ202" s="231">
        <v>19938.150000000001</v>
      </c>
      <c r="EK202" s="231">
        <v>6934.45</v>
      </c>
      <c r="EL202" s="231">
        <v>5298.93</v>
      </c>
      <c r="EM202" s="231">
        <v>1250</v>
      </c>
      <c r="EN202" s="231">
        <v>32171.53</v>
      </c>
      <c r="EO202" s="231">
        <v>46195.53</v>
      </c>
      <c r="EP202" s="231">
        <v>-14024</v>
      </c>
      <c r="EQ202" s="229">
        <v>-0.30359999999999998</v>
      </c>
      <c r="ER202" s="231">
        <v>28229</v>
      </c>
      <c r="ES202" s="231">
        <v>12536</v>
      </c>
      <c r="ET202" s="231">
        <v>83148</v>
      </c>
      <c r="EU202" s="231">
        <v>16072672</v>
      </c>
      <c r="EV202" s="231">
        <v>123913</v>
      </c>
      <c r="EW202" s="231">
        <v>122588</v>
      </c>
      <c r="EX202" s="231">
        <v>1325</v>
      </c>
      <c r="EY202" s="229">
        <v>1.0800000000000001E-2</v>
      </c>
      <c r="EZ202" s="229">
        <v>0.21609999999999999</v>
      </c>
      <c r="FA202" s="227" t="s">
        <v>568</v>
      </c>
      <c r="FB202" s="161">
        <f t="shared" si="5"/>
        <v>0</v>
      </c>
    </row>
    <row r="203" spans="1:158" ht="17.25" thickBot="1" x14ac:dyDescent="0.3">
      <c r="A203" s="226">
        <v>45946</v>
      </c>
      <c r="B203" s="227" t="s">
        <v>161</v>
      </c>
      <c r="C203" s="227" t="s">
        <v>299</v>
      </c>
      <c r="D203" s="228">
        <v>375</v>
      </c>
      <c r="E203" s="231">
        <v>1338.2</v>
      </c>
      <c r="F203" s="231">
        <v>1311.3</v>
      </c>
      <c r="G203" s="228">
        <v>26.9</v>
      </c>
      <c r="H203" s="229">
        <v>2.0500000000000001E-2</v>
      </c>
      <c r="I203" s="231">
        <v>1337.6</v>
      </c>
      <c r="J203" s="231">
        <v>1309.7</v>
      </c>
      <c r="K203" s="228">
        <v>27.9</v>
      </c>
      <c r="L203" s="229">
        <v>2.1299999999999999E-2</v>
      </c>
      <c r="M203" s="231">
        <v>1338.2</v>
      </c>
      <c r="N203" s="231">
        <v>1311.3</v>
      </c>
      <c r="O203" s="228">
        <v>26.9</v>
      </c>
      <c r="P203" s="229">
        <v>2.0500000000000001E-2</v>
      </c>
      <c r="Q203" s="231">
        <v>1343.5</v>
      </c>
      <c r="R203" s="231">
        <v>1317.8</v>
      </c>
      <c r="S203" s="228">
        <v>25.7</v>
      </c>
      <c r="T203" s="229">
        <v>1.95E-2</v>
      </c>
      <c r="U203" s="231">
        <v>1352.9</v>
      </c>
      <c r="V203" s="231">
        <v>1325.6</v>
      </c>
      <c r="W203" s="228">
        <v>27.3</v>
      </c>
      <c r="X203" s="229">
        <v>2.06E-2</v>
      </c>
      <c r="Y203" s="228">
        <v>0.6</v>
      </c>
      <c r="Z203" s="228">
        <v>1.6</v>
      </c>
      <c r="AA203" s="228">
        <v>-1</v>
      </c>
      <c r="AB203" s="229">
        <v>4.0000000000000002E-4</v>
      </c>
      <c r="AC203" s="228">
        <v>0.6</v>
      </c>
      <c r="AD203" s="228">
        <v>1.6</v>
      </c>
      <c r="AE203" s="228">
        <v>-1</v>
      </c>
      <c r="AF203" s="229">
        <v>4.0000000000000002E-4</v>
      </c>
      <c r="AG203" s="228">
        <v>5.9</v>
      </c>
      <c r="AH203" s="228">
        <v>8.1</v>
      </c>
      <c r="AI203" s="228">
        <v>-2.2000000000000002</v>
      </c>
      <c r="AJ203" s="229">
        <v>4.4000000000000003E-3</v>
      </c>
      <c r="AK203" s="228">
        <v>15.3</v>
      </c>
      <c r="AL203" s="228">
        <v>15.9</v>
      </c>
      <c r="AM203" s="228">
        <v>-0.6</v>
      </c>
      <c r="AN203" s="229">
        <v>1.14E-2</v>
      </c>
      <c r="AO203" s="231">
        <v>1326.14</v>
      </c>
      <c r="AP203" s="231">
        <v>1329.82</v>
      </c>
      <c r="AQ203" s="228">
        <v>0</v>
      </c>
      <c r="AR203" s="230">
        <v>1169250</v>
      </c>
      <c r="AS203" s="230">
        <v>887625</v>
      </c>
      <c r="AT203" s="230">
        <v>281625</v>
      </c>
      <c r="AU203" s="229">
        <v>0.31730000000000003</v>
      </c>
      <c r="AV203" s="230">
        <v>1068375</v>
      </c>
      <c r="AW203" s="230">
        <v>790500</v>
      </c>
      <c r="AX203" s="230">
        <v>277875</v>
      </c>
      <c r="AY203" s="229">
        <v>0.35149999999999998</v>
      </c>
      <c r="AZ203" s="230">
        <v>97500</v>
      </c>
      <c r="BA203" s="230">
        <v>86250</v>
      </c>
      <c r="BB203" s="230">
        <v>11250</v>
      </c>
      <c r="BC203" s="229">
        <v>0.13039999999999999</v>
      </c>
      <c r="BD203" s="230">
        <v>3375</v>
      </c>
      <c r="BE203" s="230">
        <v>10875</v>
      </c>
      <c r="BF203" s="230">
        <v>-7500</v>
      </c>
      <c r="BG203" s="229">
        <v>-0.68969999999999998</v>
      </c>
      <c r="BH203" s="230">
        <v>3109125</v>
      </c>
      <c r="BI203" s="230">
        <v>3286875</v>
      </c>
      <c r="BJ203" s="230">
        <v>-177750</v>
      </c>
      <c r="BK203" s="229">
        <v>-5.4100000000000002E-2</v>
      </c>
      <c r="BL203" s="230">
        <v>1790250</v>
      </c>
      <c r="BM203" s="230">
        <v>1026000</v>
      </c>
      <c r="BN203" s="230">
        <v>764250</v>
      </c>
      <c r="BO203" s="229">
        <v>0.74490000000000001</v>
      </c>
      <c r="BP203" s="230">
        <v>6068625</v>
      </c>
      <c r="BQ203" s="230">
        <v>5200500</v>
      </c>
      <c r="BR203" s="230">
        <v>868125</v>
      </c>
      <c r="BS203" s="229">
        <v>0.16689999999999999</v>
      </c>
      <c r="BT203" s="230">
        <v>1006637</v>
      </c>
      <c r="BU203" s="230">
        <v>842530</v>
      </c>
      <c r="BV203" s="230">
        <v>164107</v>
      </c>
      <c r="BW203" s="229">
        <v>0.1948</v>
      </c>
      <c r="BX203" s="230">
        <v>3555000</v>
      </c>
      <c r="BY203" s="230">
        <v>3802500</v>
      </c>
      <c r="BZ203" s="230">
        <v>-247500</v>
      </c>
      <c r="CA203" s="229">
        <v>-6.5100000000000005E-2</v>
      </c>
      <c r="CB203" s="230">
        <v>3427125</v>
      </c>
      <c r="CC203" s="230">
        <v>3680625</v>
      </c>
      <c r="CD203" s="230">
        <v>-253500</v>
      </c>
      <c r="CE203" s="229">
        <v>-6.8900000000000003E-2</v>
      </c>
      <c r="CF203" s="230">
        <v>109875</v>
      </c>
      <c r="CG203" s="230">
        <v>104250</v>
      </c>
      <c r="CH203" s="230">
        <v>5625</v>
      </c>
      <c r="CI203" s="229">
        <v>5.3999999999999999E-2</v>
      </c>
      <c r="CJ203" s="230">
        <v>18000</v>
      </c>
      <c r="CK203" s="230">
        <v>17625</v>
      </c>
      <c r="CL203" s="228">
        <v>375</v>
      </c>
      <c r="CM203" s="229">
        <v>2.1299999999999999E-2</v>
      </c>
      <c r="CN203" s="230">
        <v>1211625</v>
      </c>
      <c r="CO203" s="230">
        <v>1297500</v>
      </c>
      <c r="CP203" s="230">
        <v>-85875</v>
      </c>
      <c r="CQ203" s="229">
        <v>-6.6199999999999995E-2</v>
      </c>
      <c r="CR203" s="230">
        <v>998625</v>
      </c>
      <c r="CS203" s="230">
        <v>840750</v>
      </c>
      <c r="CT203" s="230">
        <v>157875</v>
      </c>
      <c r="CU203" s="229">
        <v>0.18779999999999999</v>
      </c>
      <c r="CV203" s="230">
        <v>5765250</v>
      </c>
      <c r="CW203" s="230">
        <v>5940750</v>
      </c>
      <c r="CX203" s="230">
        <v>-175500</v>
      </c>
      <c r="CY203" s="229">
        <v>-2.9499999999999998E-2</v>
      </c>
      <c r="CZ203" s="228">
        <v>25.02</v>
      </c>
      <c r="DA203" s="228">
        <v>27.53</v>
      </c>
      <c r="DB203" s="228">
        <v>-2.5099999999999998</v>
      </c>
      <c r="DC203" s="228">
        <v>-2.5099999999999998</v>
      </c>
      <c r="DD203" s="228">
        <v>42.13</v>
      </c>
      <c r="DE203" s="228">
        <v>42.14</v>
      </c>
      <c r="DF203" s="228">
        <v>-17.11</v>
      </c>
      <c r="DG203" s="228">
        <v>-0.01</v>
      </c>
      <c r="DH203" s="228">
        <v>24.66</v>
      </c>
      <c r="DI203" s="228">
        <v>27.13</v>
      </c>
      <c r="DJ203" s="228">
        <v>-2.4700000000000002</v>
      </c>
      <c r="DK203" s="228">
        <v>-2.4700000000000002</v>
      </c>
      <c r="DL203" s="228">
        <v>25.66</v>
      </c>
      <c r="DM203" s="228">
        <v>28.81</v>
      </c>
      <c r="DN203" s="228">
        <v>-3.15</v>
      </c>
      <c r="DO203" s="228">
        <v>-3.15</v>
      </c>
      <c r="DP203" s="228">
        <v>0.82</v>
      </c>
      <c r="DQ203" s="228">
        <v>0.65</v>
      </c>
      <c r="DR203" s="228">
        <v>0.17</v>
      </c>
      <c r="DS203" s="229">
        <v>0.26150000000000001</v>
      </c>
      <c r="DT203" s="231">
        <v>1400</v>
      </c>
      <c r="DU203" s="231">
        <v>1300</v>
      </c>
      <c r="DV203" s="228">
        <v>0.57999999999999996</v>
      </c>
      <c r="DW203" s="228">
        <v>0.31</v>
      </c>
      <c r="DX203" s="228">
        <v>0.27</v>
      </c>
      <c r="DY203" s="229">
        <v>0.871</v>
      </c>
      <c r="DZ203" s="229">
        <v>3.5999999999999997E-2</v>
      </c>
      <c r="EA203" s="230">
        <v>121875</v>
      </c>
      <c r="EB203" s="229">
        <v>4.0000000000000001E-3</v>
      </c>
      <c r="EC203" s="229">
        <v>3.5999999999999997E-2</v>
      </c>
      <c r="ED203" s="228">
        <v>3.68</v>
      </c>
      <c r="EE203" s="229">
        <v>2.8E-3</v>
      </c>
      <c r="EF203" s="230">
        <v>602282</v>
      </c>
      <c r="EG203" s="230">
        <v>467989</v>
      </c>
      <c r="EH203" s="229">
        <v>0.28699999999999998</v>
      </c>
      <c r="EI203" s="229">
        <v>0.59830000000000005</v>
      </c>
      <c r="EJ203" s="231">
        <v>42331.55</v>
      </c>
      <c r="EK203" s="231">
        <v>23416.49</v>
      </c>
      <c r="EL203" s="231">
        <v>15509.89</v>
      </c>
      <c r="EM203" s="231">
        <v>2485</v>
      </c>
      <c r="EN203" s="231">
        <v>81257.929999999993</v>
      </c>
      <c r="EO203" s="231">
        <v>69052.84</v>
      </c>
      <c r="EP203" s="231">
        <v>12205.09</v>
      </c>
      <c r="EQ203" s="229">
        <v>0.17680000000000001</v>
      </c>
      <c r="ER203" s="231">
        <v>16112</v>
      </c>
      <c r="ES203" s="231">
        <v>12497</v>
      </c>
      <c r="ET203" s="231">
        <v>47581</v>
      </c>
      <c r="EU203" s="231">
        <v>24646022</v>
      </c>
      <c r="EV203" s="231">
        <v>76191</v>
      </c>
      <c r="EW203" s="231">
        <v>77462</v>
      </c>
      <c r="EX203" s="231">
        <v>-1271</v>
      </c>
      <c r="EY203" s="229">
        <v>-1.6400000000000001E-2</v>
      </c>
      <c r="EZ203" s="229">
        <v>0.2339</v>
      </c>
      <c r="FA203" s="227" t="s">
        <v>556</v>
      </c>
      <c r="FB203" s="161">
        <f t="shared" si="5"/>
        <v>0</v>
      </c>
    </row>
    <row r="204" spans="1:158" ht="17.25" thickBot="1" x14ac:dyDescent="0.3">
      <c r="A204" s="226">
        <v>45946</v>
      </c>
      <c r="B204" s="227" t="s">
        <v>197</v>
      </c>
      <c r="C204" s="227" t="s">
        <v>482</v>
      </c>
      <c r="D204" s="228">
        <v>100</v>
      </c>
      <c r="E204" s="231">
        <v>4800.5</v>
      </c>
      <c r="F204" s="231">
        <v>4732.3</v>
      </c>
      <c r="G204" s="228">
        <v>68.2</v>
      </c>
      <c r="H204" s="229">
        <v>1.44E-2</v>
      </c>
      <c r="I204" s="231">
        <v>4793.3999999999996</v>
      </c>
      <c r="J204" s="231">
        <v>4724.2</v>
      </c>
      <c r="K204" s="228">
        <v>69.2</v>
      </c>
      <c r="L204" s="229">
        <v>1.46E-2</v>
      </c>
      <c r="M204" s="231">
        <v>4800.5</v>
      </c>
      <c r="N204" s="231">
        <v>4732.3</v>
      </c>
      <c r="O204" s="228">
        <v>68.2</v>
      </c>
      <c r="P204" s="229">
        <v>1.44E-2</v>
      </c>
      <c r="Q204" s="231">
        <v>4824.2</v>
      </c>
      <c r="R204" s="231">
        <v>4750.8</v>
      </c>
      <c r="S204" s="228">
        <v>73.400000000000006</v>
      </c>
      <c r="T204" s="229">
        <v>1.55E-2</v>
      </c>
      <c r="U204" s="231">
        <v>4854.7</v>
      </c>
      <c r="V204" s="231">
        <v>4786.8</v>
      </c>
      <c r="W204" s="228">
        <v>67.900000000000006</v>
      </c>
      <c r="X204" s="229">
        <v>1.4200000000000001E-2</v>
      </c>
      <c r="Y204" s="228">
        <v>7.1</v>
      </c>
      <c r="Z204" s="228">
        <v>8.1</v>
      </c>
      <c r="AA204" s="228">
        <v>-1</v>
      </c>
      <c r="AB204" s="229">
        <v>1.5E-3</v>
      </c>
      <c r="AC204" s="228">
        <v>7.1</v>
      </c>
      <c r="AD204" s="228">
        <v>8.1</v>
      </c>
      <c r="AE204" s="228">
        <v>-1</v>
      </c>
      <c r="AF204" s="229">
        <v>1.5E-3</v>
      </c>
      <c r="AG204" s="228">
        <v>30.8</v>
      </c>
      <c r="AH204" s="228">
        <v>26.6</v>
      </c>
      <c r="AI204" s="228">
        <v>4.2</v>
      </c>
      <c r="AJ204" s="229">
        <v>6.4000000000000003E-3</v>
      </c>
      <c r="AK204" s="228">
        <v>61.3</v>
      </c>
      <c r="AL204" s="228">
        <v>62.6</v>
      </c>
      <c r="AM204" s="228">
        <v>-1.3</v>
      </c>
      <c r="AN204" s="229">
        <v>1.2800000000000001E-2</v>
      </c>
      <c r="AO204" s="231">
        <v>4785.87</v>
      </c>
      <c r="AP204" s="231">
        <v>4813.3999999999996</v>
      </c>
      <c r="AQ204" s="228">
        <v>0</v>
      </c>
      <c r="AR204" s="230">
        <v>1679900</v>
      </c>
      <c r="AS204" s="230">
        <v>1562300</v>
      </c>
      <c r="AT204" s="230">
        <v>117600</v>
      </c>
      <c r="AU204" s="229">
        <v>7.5300000000000006E-2</v>
      </c>
      <c r="AV204" s="230">
        <v>1352100</v>
      </c>
      <c r="AW204" s="230">
        <v>1292000</v>
      </c>
      <c r="AX204" s="230">
        <v>60100</v>
      </c>
      <c r="AY204" s="229">
        <v>4.65E-2</v>
      </c>
      <c r="AZ204" s="230">
        <v>300800</v>
      </c>
      <c r="BA204" s="230">
        <v>238900</v>
      </c>
      <c r="BB204" s="230">
        <v>61900</v>
      </c>
      <c r="BC204" s="229">
        <v>0.2591</v>
      </c>
      <c r="BD204" s="230">
        <v>27000</v>
      </c>
      <c r="BE204" s="230">
        <v>31400</v>
      </c>
      <c r="BF204" s="230">
        <v>-4400</v>
      </c>
      <c r="BG204" s="229">
        <v>-0.1401</v>
      </c>
      <c r="BH204" s="230">
        <v>9846100</v>
      </c>
      <c r="BI204" s="230">
        <v>9426400</v>
      </c>
      <c r="BJ204" s="230">
        <v>419700</v>
      </c>
      <c r="BK204" s="229">
        <v>4.4499999999999998E-2</v>
      </c>
      <c r="BL204" s="230">
        <v>3777800</v>
      </c>
      <c r="BM204" s="230">
        <v>3368400</v>
      </c>
      <c r="BN204" s="230">
        <v>409400</v>
      </c>
      <c r="BO204" s="229">
        <v>0.1215</v>
      </c>
      <c r="BP204" s="230">
        <v>15303800</v>
      </c>
      <c r="BQ204" s="230">
        <v>14357100</v>
      </c>
      <c r="BR204" s="230">
        <v>946700</v>
      </c>
      <c r="BS204" s="229">
        <v>6.59E-2</v>
      </c>
      <c r="BT204" s="230">
        <v>1172592</v>
      </c>
      <c r="BU204" s="230">
        <v>1344895</v>
      </c>
      <c r="BV204" s="230">
        <v>-172303</v>
      </c>
      <c r="BW204" s="229">
        <v>-0.12809999999999999</v>
      </c>
      <c r="BX204" s="230">
        <v>8841700</v>
      </c>
      <c r="BY204" s="230">
        <v>9031000</v>
      </c>
      <c r="BZ204" s="230">
        <v>-189300</v>
      </c>
      <c r="CA204" s="229">
        <v>-2.1000000000000001E-2</v>
      </c>
      <c r="CB204" s="230">
        <v>8037000</v>
      </c>
      <c r="CC204" s="230">
        <v>8352600</v>
      </c>
      <c r="CD204" s="230">
        <v>-315600</v>
      </c>
      <c r="CE204" s="229">
        <v>-3.78E-2</v>
      </c>
      <c r="CF204" s="230">
        <v>743000</v>
      </c>
      <c r="CG204" s="230">
        <v>614900</v>
      </c>
      <c r="CH204" s="230">
        <v>128100</v>
      </c>
      <c r="CI204" s="229">
        <v>0.20830000000000001</v>
      </c>
      <c r="CJ204" s="230">
        <v>61700</v>
      </c>
      <c r="CK204" s="230">
        <v>63500</v>
      </c>
      <c r="CL204" s="230">
        <v>-1800</v>
      </c>
      <c r="CM204" s="229">
        <v>-2.8299999999999999E-2</v>
      </c>
      <c r="CN204" s="230">
        <v>6299700</v>
      </c>
      <c r="CO204" s="230">
        <v>6968900</v>
      </c>
      <c r="CP204" s="230">
        <v>-669200</v>
      </c>
      <c r="CQ204" s="229">
        <v>-9.6000000000000002E-2</v>
      </c>
      <c r="CR204" s="230">
        <v>3047100</v>
      </c>
      <c r="CS204" s="230">
        <v>3287400</v>
      </c>
      <c r="CT204" s="230">
        <v>-240300</v>
      </c>
      <c r="CU204" s="229">
        <v>-7.3099999999999998E-2</v>
      </c>
      <c r="CV204" s="230">
        <v>18188500</v>
      </c>
      <c r="CW204" s="230">
        <v>19287300</v>
      </c>
      <c r="CX204" s="230">
        <v>-1098800</v>
      </c>
      <c r="CY204" s="229">
        <v>-5.7000000000000002E-2</v>
      </c>
      <c r="CZ204" s="228">
        <v>29.21</v>
      </c>
      <c r="DA204" s="228">
        <v>31.38</v>
      </c>
      <c r="DB204" s="228">
        <v>-2.17</v>
      </c>
      <c r="DC204" s="228">
        <v>-2.17</v>
      </c>
      <c r="DD204" s="228">
        <v>45.07</v>
      </c>
      <c r="DE204" s="228">
        <v>45.14</v>
      </c>
      <c r="DF204" s="228">
        <v>-15.86</v>
      </c>
      <c r="DG204" s="228">
        <v>-7.0000000000000007E-2</v>
      </c>
      <c r="DH204" s="228">
        <v>29.02</v>
      </c>
      <c r="DI204" s="228">
        <v>31.27</v>
      </c>
      <c r="DJ204" s="228">
        <v>-2.25</v>
      </c>
      <c r="DK204" s="228">
        <v>-2.25</v>
      </c>
      <c r="DL204" s="228">
        <v>29.68</v>
      </c>
      <c r="DM204" s="228">
        <v>31.7</v>
      </c>
      <c r="DN204" s="228">
        <v>-2.02</v>
      </c>
      <c r="DO204" s="228">
        <v>-2.02</v>
      </c>
      <c r="DP204" s="228">
        <v>0.48</v>
      </c>
      <c r="DQ204" s="228">
        <v>0.47</v>
      </c>
      <c r="DR204" s="228">
        <v>0.01</v>
      </c>
      <c r="DS204" s="229">
        <v>2.1299999999999999E-2</v>
      </c>
      <c r="DT204" s="231">
        <v>5000</v>
      </c>
      <c r="DU204" s="231">
        <v>4700</v>
      </c>
      <c r="DV204" s="228">
        <v>0.38</v>
      </c>
      <c r="DW204" s="228">
        <v>0.36</v>
      </c>
      <c r="DX204" s="228">
        <v>0.02</v>
      </c>
      <c r="DY204" s="229">
        <v>5.5599999999999997E-2</v>
      </c>
      <c r="DZ204" s="229">
        <v>9.0999999999999998E-2</v>
      </c>
      <c r="EA204" s="230">
        <v>678400</v>
      </c>
      <c r="EB204" s="229">
        <v>4.8999999999999998E-3</v>
      </c>
      <c r="EC204" s="229">
        <v>9.0999999999999998E-2</v>
      </c>
      <c r="ED204" s="228">
        <v>27.53</v>
      </c>
      <c r="EE204" s="229">
        <v>5.7999999999999996E-3</v>
      </c>
      <c r="EF204" s="230">
        <v>607280</v>
      </c>
      <c r="EG204" s="230">
        <v>813709</v>
      </c>
      <c r="EH204" s="229">
        <v>-0.25369999999999998</v>
      </c>
      <c r="EI204" s="229">
        <v>0.51790000000000003</v>
      </c>
      <c r="EJ204" s="231">
        <v>494052.22</v>
      </c>
      <c r="EK204" s="231">
        <v>175922.78</v>
      </c>
      <c r="EL204" s="231">
        <v>80494.91</v>
      </c>
      <c r="EM204" s="231">
        <v>10708</v>
      </c>
      <c r="EN204" s="231">
        <v>750469.91</v>
      </c>
      <c r="EO204" s="231">
        <v>699367</v>
      </c>
      <c r="EP204" s="231">
        <v>51102.91</v>
      </c>
      <c r="EQ204" s="229">
        <v>7.3099999999999998E-2</v>
      </c>
      <c r="ER204" s="231">
        <v>324179</v>
      </c>
      <c r="ES204" s="231">
        <v>142901</v>
      </c>
      <c r="ET204" s="231">
        <v>424655</v>
      </c>
      <c r="EU204" s="231">
        <v>33590487</v>
      </c>
      <c r="EV204" s="231">
        <v>891735</v>
      </c>
      <c r="EW204" s="231">
        <v>938244</v>
      </c>
      <c r="EX204" s="231">
        <v>-46509</v>
      </c>
      <c r="EY204" s="229">
        <v>-4.9599999999999998E-2</v>
      </c>
      <c r="EZ204" s="229">
        <v>0.54149999999999998</v>
      </c>
      <c r="FA204" s="227" t="s">
        <v>556</v>
      </c>
      <c r="FB204" s="161">
        <f t="shared" si="5"/>
        <v>0</v>
      </c>
    </row>
    <row r="205" spans="1:158" ht="17.25" thickBot="1" x14ac:dyDescent="0.3">
      <c r="A205" s="226">
        <v>45946</v>
      </c>
      <c r="B205" s="227" t="s">
        <v>162</v>
      </c>
      <c r="C205" s="227" t="s">
        <v>300</v>
      </c>
      <c r="D205" s="228">
        <v>350</v>
      </c>
      <c r="E205" s="231">
        <v>3581</v>
      </c>
      <c r="F205" s="231">
        <v>3579.4</v>
      </c>
      <c r="G205" s="228">
        <v>1.6</v>
      </c>
      <c r="H205" s="229">
        <v>4.0000000000000002E-4</v>
      </c>
      <c r="I205" s="231">
        <v>3576.5</v>
      </c>
      <c r="J205" s="231">
        <v>3574.9</v>
      </c>
      <c r="K205" s="228">
        <v>1.6</v>
      </c>
      <c r="L205" s="229">
        <v>4.0000000000000002E-4</v>
      </c>
      <c r="M205" s="231">
        <v>3581</v>
      </c>
      <c r="N205" s="231">
        <v>3579.4</v>
      </c>
      <c r="O205" s="228">
        <v>1.6</v>
      </c>
      <c r="P205" s="229">
        <v>4.0000000000000002E-4</v>
      </c>
      <c r="Q205" s="231">
        <v>3599.6</v>
      </c>
      <c r="R205" s="231">
        <v>3595.8</v>
      </c>
      <c r="S205" s="228">
        <v>3.8</v>
      </c>
      <c r="T205" s="229">
        <v>1.1000000000000001E-3</v>
      </c>
      <c r="U205" s="231">
        <v>3610</v>
      </c>
      <c r="V205" s="231">
        <v>3611.2</v>
      </c>
      <c r="W205" s="228">
        <v>-1.2</v>
      </c>
      <c r="X205" s="229">
        <v>-2.9999999999999997E-4</v>
      </c>
      <c r="Y205" s="228">
        <v>4.5</v>
      </c>
      <c r="Z205" s="228">
        <v>4.5</v>
      </c>
      <c r="AA205" s="228">
        <v>0</v>
      </c>
      <c r="AB205" s="229">
        <v>1.2999999999999999E-3</v>
      </c>
      <c r="AC205" s="228">
        <v>4.5</v>
      </c>
      <c r="AD205" s="228">
        <v>4.5</v>
      </c>
      <c r="AE205" s="228">
        <v>0</v>
      </c>
      <c r="AF205" s="229">
        <v>1.2999999999999999E-3</v>
      </c>
      <c r="AG205" s="228">
        <v>23.1</v>
      </c>
      <c r="AH205" s="228">
        <v>20.9</v>
      </c>
      <c r="AI205" s="228">
        <v>2.2000000000000002</v>
      </c>
      <c r="AJ205" s="229">
        <v>6.4999999999999997E-3</v>
      </c>
      <c r="AK205" s="228">
        <v>33.5</v>
      </c>
      <c r="AL205" s="228">
        <v>36.299999999999997</v>
      </c>
      <c r="AM205" s="228">
        <v>-2.8</v>
      </c>
      <c r="AN205" s="229">
        <v>9.4000000000000004E-3</v>
      </c>
      <c r="AO205" s="231">
        <v>3595.18</v>
      </c>
      <c r="AP205" s="231">
        <v>3623.41</v>
      </c>
      <c r="AQ205" s="228">
        <v>0</v>
      </c>
      <c r="AR205" s="230">
        <v>1704850</v>
      </c>
      <c r="AS205" s="230">
        <v>1388800</v>
      </c>
      <c r="AT205" s="230">
        <v>316050</v>
      </c>
      <c r="AU205" s="229">
        <v>0.2276</v>
      </c>
      <c r="AV205" s="230">
        <v>1519350</v>
      </c>
      <c r="AW205" s="230">
        <v>1291150</v>
      </c>
      <c r="AX205" s="230">
        <v>228200</v>
      </c>
      <c r="AY205" s="229">
        <v>0.1767</v>
      </c>
      <c r="AZ205" s="230">
        <v>173600</v>
      </c>
      <c r="BA205" s="230">
        <v>90300</v>
      </c>
      <c r="BB205" s="230">
        <v>83300</v>
      </c>
      <c r="BC205" s="229">
        <v>0.92249999999999999</v>
      </c>
      <c r="BD205" s="230">
        <v>11900</v>
      </c>
      <c r="BE205" s="230">
        <v>7350</v>
      </c>
      <c r="BF205" s="230">
        <v>4550</v>
      </c>
      <c r="BG205" s="229">
        <v>0.61899999999999999</v>
      </c>
      <c r="BH205" s="230">
        <v>7935550</v>
      </c>
      <c r="BI205" s="230">
        <v>4037950</v>
      </c>
      <c r="BJ205" s="230">
        <v>3897600</v>
      </c>
      <c r="BK205" s="229">
        <v>0.96519999999999995</v>
      </c>
      <c r="BL205" s="230">
        <v>3185700</v>
      </c>
      <c r="BM205" s="230">
        <v>2487800</v>
      </c>
      <c r="BN205" s="230">
        <v>697900</v>
      </c>
      <c r="BO205" s="229">
        <v>0.28050000000000003</v>
      </c>
      <c r="BP205" s="230">
        <v>12826100</v>
      </c>
      <c r="BQ205" s="230">
        <v>7914550</v>
      </c>
      <c r="BR205" s="230">
        <v>4911550</v>
      </c>
      <c r="BS205" s="229">
        <v>0.62060000000000004</v>
      </c>
      <c r="BT205" s="230">
        <v>774615</v>
      </c>
      <c r="BU205" s="230">
        <v>1131085</v>
      </c>
      <c r="BV205" s="230">
        <v>-356470</v>
      </c>
      <c r="BW205" s="229">
        <v>-0.31519999999999998</v>
      </c>
      <c r="BX205" s="230">
        <v>9489550</v>
      </c>
      <c r="BY205" s="230">
        <v>9402750</v>
      </c>
      <c r="BZ205" s="230">
        <v>86800</v>
      </c>
      <c r="CA205" s="229">
        <v>9.1999999999999998E-3</v>
      </c>
      <c r="CB205" s="230">
        <v>9308250</v>
      </c>
      <c r="CC205" s="230">
        <v>9256450</v>
      </c>
      <c r="CD205" s="230">
        <v>51800</v>
      </c>
      <c r="CE205" s="229">
        <v>5.5999999999999999E-3</v>
      </c>
      <c r="CF205" s="230">
        <v>163450</v>
      </c>
      <c r="CG205" s="230">
        <v>133350</v>
      </c>
      <c r="CH205" s="230">
        <v>30100</v>
      </c>
      <c r="CI205" s="229">
        <v>0.22570000000000001</v>
      </c>
      <c r="CJ205" s="230">
        <v>17850</v>
      </c>
      <c r="CK205" s="230">
        <v>12950</v>
      </c>
      <c r="CL205" s="230">
        <v>4900</v>
      </c>
      <c r="CM205" s="229">
        <v>0.37840000000000001</v>
      </c>
      <c r="CN205" s="230">
        <v>2354450</v>
      </c>
      <c r="CO205" s="230">
        <v>2097200</v>
      </c>
      <c r="CP205" s="230">
        <v>257250</v>
      </c>
      <c r="CQ205" s="229">
        <v>0.1227</v>
      </c>
      <c r="CR205" s="230">
        <v>1882300</v>
      </c>
      <c r="CS205" s="230">
        <v>1700650</v>
      </c>
      <c r="CT205" s="230">
        <v>181650</v>
      </c>
      <c r="CU205" s="229">
        <v>0.10680000000000001</v>
      </c>
      <c r="CV205" s="230">
        <v>13726300</v>
      </c>
      <c r="CW205" s="230">
        <v>13200600</v>
      </c>
      <c r="CX205" s="230">
        <v>525700</v>
      </c>
      <c r="CY205" s="229">
        <v>3.9800000000000002E-2</v>
      </c>
      <c r="CZ205" s="228">
        <v>24.98</v>
      </c>
      <c r="DA205" s="228">
        <v>26.01</v>
      </c>
      <c r="DB205" s="228">
        <v>-1.03</v>
      </c>
      <c r="DC205" s="228">
        <v>-1.03</v>
      </c>
      <c r="DD205" s="228">
        <v>31.15</v>
      </c>
      <c r="DE205" s="228">
        <v>31.22</v>
      </c>
      <c r="DF205" s="228">
        <v>-6.17</v>
      </c>
      <c r="DG205" s="228">
        <v>-7.0000000000000007E-2</v>
      </c>
      <c r="DH205" s="228">
        <v>24.68</v>
      </c>
      <c r="DI205" s="228">
        <v>25.31</v>
      </c>
      <c r="DJ205" s="228">
        <v>-0.63</v>
      </c>
      <c r="DK205" s="228">
        <v>-0.63</v>
      </c>
      <c r="DL205" s="228">
        <v>25.72</v>
      </c>
      <c r="DM205" s="228">
        <v>27.15</v>
      </c>
      <c r="DN205" s="228">
        <v>-1.43</v>
      </c>
      <c r="DO205" s="228">
        <v>-1.43</v>
      </c>
      <c r="DP205" s="228">
        <v>0.8</v>
      </c>
      <c r="DQ205" s="228">
        <v>0.81</v>
      </c>
      <c r="DR205" s="228">
        <v>-0.01</v>
      </c>
      <c r="DS205" s="229">
        <v>-1.23E-2</v>
      </c>
      <c r="DT205" s="231">
        <v>3600</v>
      </c>
      <c r="DU205" s="231">
        <v>3400</v>
      </c>
      <c r="DV205" s="228">
        <v>0.4</v>
      </c>
      <c r="DW205" s="228">
        <v>0.62</v>
      </c>
      <c r="DX205" s="228">
        <v>-0.22</v>
      </c>
      <c r="DY205" s="229">
        <v>-0.3548</v>
      </c>
      <c r="DZ205" s="229">
        <v>1.9099999999999999E-2</v>
      </c>
      <c r="EA205" s="230">
        <v>146300</v>
      </c>
      <c r="EB205" s="229">
        <v>5.1999999999999998E-3</v>
      </c>
      <c r="EC205" s="229">
        <v>1.9099999999999999E-2</v>
      </c>
      <c r="ED205" s="228">
        <v>28.23</v>
      </c>
      <c r="EE205" s="229">
        <v>7.9000000000000008E-3</v>
      </c>
      <c r="EF205" s="230">
        <v>391659</v>
      </c>
      <c r="EG205" s="230">
        <v>708622</v>
      </c>
      <c r="EH205" s="229">
        <v>-0.44729999999999998</v>
      </c>
      <c r="EI205" s="229">
        <v>0.50560000000000005</v>
      </c>
      <c r="EJ205" s="231">
        <v>293819.73</v>
      </c>
      <c r="EK205" s="231">
        <v>112521.9</v>
      </c>
      <c r="EL205" s="231">
        <v>61346.33</v>
      </c>
      <c r="EM205" s="231">
        <v>2435</v>
      </c>
      <c r="EN205" s="231">
        <v>467687.96</v>
      </c>
      <c r="EO205" s="231">
        <v>284198.51</v>
      </c>
      <c r="EP205" s="231">
        <v>183489.45</v>
      </c>
      <c r="EQ205" s="229">
        <v>0.64559999999999995</v>
      </c>
      <c r="ER205" s="231">
        <v>85565</v>
      </c>
      <c r="ES205" s="231">
        <v>63667</v>
      </c>
      <c r="ET205" s="231">
        <v>339856</v>
      </c>
      <c r="EU205" s="231">
        <v>35369445</v>
      </c>
      <c r="EV205" s="231">
        <v>489089</v>
      </c>
      <c r="EW205" s="231">
        <v>469765</v>
      </c>
      <c r="EX205" s="231">
        <v>19324</v>
      </c>
      <c r="EY205" s="229">
        <v>4.1099999999999998E-2</v>
      </c>
      <c r="EZ205" s="229">
        <v>0.3881</v>
      </c>
      <c r="FA205" s="227" t="s">
        <v>555</v>
      </c>
      <c r="FB205" s="161">
        <f t="shared" si="5"/>
        <v>0</v>
      </c>
    </row>
    <row r="206" spans="1:158" ht="17.25" thickBot="1" x14ac:dyDescent="0.3">
      <c r="A206" s="226">
        <v>45946</v>
      </c>
      <c r="B206" s="227" t="s">
        <v>157</v>
      </c>
      <c r="C206" s="227" t="s">
        <v>302</v>
      </c>
      <c r="D206" s="228">
        <v>50</v>
      </c>
      <c r="E206" s="231">
        <v>12401</v>
      </c>
      <c r="F206" s="231">
        <v>12326</v>
      </c>
      <c r="G206" s="228">
        <v>75</v>
      </c>
      <c r="H206" s="229">
        <v>6.1000000000000004E-3</v>
      </c>
      <c r="I206" s="231">
        <v>12358</v>
      </c>
      <c r="J206" s="231">
        <v>12311</v>
      </c>
      <c r="K206" s="228">
        <v>47</v>
      </c>
      <c r="L206" s="229">
        <v>3.8E-3</v>
      </c>
      <c r="M206" s="231">
        <v>12401</v>
      </c>
      <c r="N206" s="231">
        <v>12326</v>
      </c>
      <c r="O206" s="228">
        <v>75</v>
      </c>
      <c r="P206" s="229">
        <v>6.1000000000000004E-3</v>
      </c>
      <c r="Q206" s="231">
        <v>12468</v>
      </c>
      <c r="R206" s="231">
        <v>12394</v>
      </c>
      <c r="S206" s="228">
        <v>74</v>
      </c>
      <c r="T206" s="229">
        <v>6.0000000000000001E-3</v>
      </c>
      <c r="U206" s="231">
        <v>12576</v>
      </c>
      <c r="V206" s="231">
        <v>12472</v>
      </c>
      <c r="W206" s="228">
        <v>104</v>
      </c>
      <c r="X206" s="229">
        <v>8.3000000000000001E-3</v>
      </c>
      <c r="Y206" s="228">
        <v>43</v>
      </c>
      <c r="Z206" s="228">
        <v>15</v>
      </c>
      <c r="AA206" s="228">
        <v>28</v>
      </c>
      <c r="AB206" s="229">
        <v>3.5000000000000001E-3</v>
      </c>
      <c r="AC206" s="228">
        <v>43</v>
      </c>
      <c r="AD206" s="228">
        <v>15</v>
      </c>
      <c r="AE206" s="228">
        <v>28</v>
      </c>
      <c r="AF206" s="229">
        <v>3.5000000000000001E-3</v>
      </c>
      <c r="AG206" s="228">
        <v>110</v>
      </c>
      <c r="AH206" s="228">
        <v>83</v>
      </c>
      <c r="AI206" s="228">
        <v>27</v>
      </c>
      <c r="AJ206" s="229">
        <v>8.8999999999999999E-3</v>
      </c>
      <c r="AK206" s="228">
        <v>218</v>
      </c>
      <c r="AL206" s="228">
        <v>161</v>
      </c>
      <c r="AM206" s="228">
        <v>57</v>
      </c>
      <c r="AN206" s="229">
        <v>1.7600000000000001E-2</v>
      </c>
      <c r="AO206" s="231">
        <v>12397.05</v>
      </c>
      <c r="AP206" s="231">
        <v>12470.46</v>
      </c>
      <c r="AQ206" s="228">
        <v>0</v>
      </c>
      <c r="AR206" s="230">
        <v>216050</v>
      </c>
      <c r="AS206" s="230">
        <v>219650</v>
      </c>
      <c r="AT206" s="230">
        <v>-3600</v>
      </c>
      <c r="AU206" s="229">
        <v>-1.6400000000000001E-2</v>
      </c>
      <c r="AV206" s="230">
        <v>189900</v>
      </c>
      <c r="AW206" s="230">
        <v>193950</v>
      </c>
      <c r="AX206" s="230">
        <v>-4050</v>
      </c>
      <c r="AY206" s="229">
        <v>-2.0899999999999998E-2</v>
      </c>
      <c r="AZ206" s="230">
        <v>25050</v>
      </c>
      <c r="BA206" s="230">
        <v>24800</v>
      </c>
      <c r="BB206" s="228">
        <v>250</v>
      </c>
      <c r="BC206" s="229">
        <v>1.01E-2</v>
      </c>
      <c r="BD206" s="230">
        <v>1100</v>
      </c>
      <c r="BE206" s="228">
        <v>900</v>
      </c>
      <c r="BF206" s="228">
        <v>200</v>
      </c>
      <c r="BG206" s="229">
        <v>0.22220000000000001</v>
      </c>
      <c r="BH206" s="230">
        <v>807750</v>
      </c>
      <c r="BI206" s="230">
        <v>855450</v>
      </c>
      <c r="BJ206" s="230">
        <v>-47700</v>
      </c>
      <c r="BK206" s="229">
        <v>-5.5800000000000002E-2</v>
      </c>
      <c r="BL206" s="230">
        <v>353650</v>
      </c>
      <c r="BM206" s="230">
        <v>529150</v>
      </c>
      <c r="BN206" s="230">
        <v>-175500</v>
      </c>
      <c r="BO206" s="229">
        <v>-0.33169999999999999</v>
      </c>
      <c r="BP206" s="230">
        <v>1377450</v>
      </c>
      <c r="BQ206" s="230">
        <v>1604250</v>
      </c>
      <c r="BR206" s="230">
        <v>-226800</v>
      </c>
      <c r="BS206" s="229">
        <v>-0.1414</v>
      </c>
      <c r="BT206" s="230">
        <v>133956</v>
      </c>
      <c r="BU206" s="230">
        <v>146797</v>
      </c>
      <c r="BV206" s="230">
        <v>-12841</v>
      </c>
      <c r="BW206" s="229">
        <v>-8.7499999999999994E-2</v>
      </c>
      <c r="BX206" s="230">
        <v>2297950</v>
      </c>
      <c r="BY206" s="230">
        <v>2312150</v>
      </c>
      <c r="BZ206" s="230">
        <v>-14200</v>
      </c>
      <c r="CA206" s="229">
        <v>-6.1000000000000004E-3</v>
      </c>
      <c r="CB206" s="230">
        <v>2233750</v>
      </c>
      <c r="CC206" s="230">
        <v>2258050</v>
      </c>
      <c r="CD206" s="230">
        <v>-24300</v>
      </c>
      <c r="CE206" s="229">
        <v>-1.0800000000000001E-2</v>
      </c>
      <c r="CF206" s="230">
        <v>57350</v>
      </c>
      <c r="CG206" s="230">
        <v>47800</v>
      </c>
      <c r="CH206" s="230">
        <v>9550</v>
      </c>
      <c r="CI206" s="229">
        <v>0.19980000000000001</v>
      </c>
      <c r="CJ206" s="230">
        <v>6850</v>
      </c>
      <c r="CK206" s="230">
        <v>6300</v>
      </c>
      <c r="CL206" s="228">
        <v>550</v>
      </c>
      <c r="CM206" s="229">
        <v>8.7300000000000003E-2</v>
      </c>
      <c r="CN206" s="230">
        <v>602200</v>
      </c>
      <c r="CO206" s="230">
        <v>649500</v>
      </c>
      <c r="CP206" s="230">
        <v>-47300</v>
      </c>
      <c r="CQ206" s="229">
        <v>-7.2800000000000004E-2</v>
      </c>
      <c r="CR206" s="230">
        <v>435700</v>
      </c>
      <c r="CS206" s="230">
        <v>439150</v>
      </c>
      <c r="CT206" s="230">
        <v>-3450</v>
      </c>
      <c r="CU206" s="229">
        <v>-7.9000000000000008E-3</v>
      </c>
      <c r="CV206" s="230">
        <v>3335850</v>
      </c>
      <c r="CW206" s="230">
        <v>3400800</v>
      </c>
      <c r="CX206" s="230">
        <v>-64950</v>
      </c>
      <c r="CY206" s="229">
        <v>-1.9099999999999999E-2</v>
      </c>
      <c r="CZ206" s="228">
        <v>22.4</v>
      </c>
      <c r="DA206" s="228">
        <v>23.17</v>
      </c>
      <c r="DB206" s="228">
        <v>-0.77</v>
      </c>
      <c r="DC206" s="228">
        <v>-0.77</v>
      </c>
      <c r="DD206" s="228">
        <v>25.43</v>
      </c>
      <c r="DE206" s="228">
        <v>25.49</v>
      </c>
      <c r="DF206" s="228">
        <v>-3.03</v>
      </c>
      <c r="DG206" s="228">
        <v>-0.06</v>
      </c>
      <c r="DH206" s="228">
        <v>21.89</v>
      </c>
      <c r="DI206" s="228">
        <v>22.2</v>
      </c>
      <c r="DJ206" s="228">
        <v>-0.31</v>
      </c>
      <c r="DK206" s="228">
        <v>-0.31</v>
      </c>
      <c r="DL206" s="228">
        <v>23.58</v>
      </c>
      <c r="DM206" s="228">
        <v>24.73</v>
      </c>
      <c r="DN206" s="228">
        <v>-1.1499999999999999</v>
      </c>
      <c r="DO206" s="228">
        <v>-1.1499999999999999</v>
      </c>
      <c r="DP206" s="228">
        <v>0.72</v>
      </c>
      <c r="DQ206" s="228">
        <v>0.68</v>
      </c>
      <c r="DR206" s="228">
        <v>0.04</v>
      </c>
      <c r="DS206" s="229">
        <v>5.8799999999999998E-2</v>
      </c>
      <c r="DT206" s="231">
        <v>13000</v>
      </c>
      <c r="DU206" s="231">
        <v>12000</v>
      </c>
      <c r="DV206" s="228">
        <v>0.44</v>
      </c>
      <c r="DW206" s="228">
        <v>0.62</v>
      </c>
      <c r="DX206" s="228">
        <v>-0.18</v>
      </c>
      <c r="DY206" s="229">
        <v>-0.2903</v>
      </c>
      <c r="DZ206" s="229">
        <v>2.7900000000000001E-2</v>
      </c>
      <c r="EA206" s="230">
        <v>54100</v>
      </c>
      <c r="EB206" s="229">
        <v>5.4000000000000003E-3</v>
      </c>
      <c r="EC206" s="229">
        <v>2.7900000000000001E-2</v>
      </c>
      <c r="ED206" s="228">
        <v>73.41</v>
      </c>
      <c r="EE206" s="229">
        <v>5.8999999999999999E-3</v>
      </c>
      <c r="EF206" s="230">
        <v>77043</v>
      </c>
      <c r="EG206" s="230">
        <v>83507</v>
      </c>
      <c r="EH206" s="229">
        <v>-7.7399999999999997E-2</v>
      </c>
      <c r="EI206" s="229">
        <v>0.57509999999999994</v>
      </c>
      <c r="EJ206" s="231">
        <v>102799.22</v>
      </c>
      <c r="EK206" s="231">
        <v>42532.71</v>
      </c>
      <c r="EL206" s="231">
        <v>26803.81</v>
      </c>
      <c r="EM206" s="231">
        <v>3602</v>
      </c>
      <c r="EN206" s="231">
        <v>172135.74</v>
      </c>
      <c r="EO206" s="231">
        <v>197395.93</v>
      </c>
      <c r="EP206" s="231">
        <v>-25260.19</v>
      </c>
      <c r="EQ206" s="229">
        <v>-0.128</v>
      </c>
      <c r="ER206" s="231">
        <v>77137</v>
      </c>
      <c r="ES206" s="231">
        <v>51232</v>
      </c>
      <c r="ET206" s="231">
        <v>285019</v>
      </c>
      <c r="EU206" s="231">
        <v>11962066</v>
      </c>
      <c r="EV206" s="231">
        <v>413388</v>
      </c>
      <c r="EW206" s="231">
        <v>419647</v>
      </c>
      <c r="EX206" s="231">
        <v>-6259</v>
      </c>
      <c r="EY206" s="229">
        <v>-1.49E-2</v>
      </c>
      <c r="EZ206" s="229">
        <v>0.27889999999999998</v>
      </c>
      <c r="FA206" s="227" t="s">
        <v>556</v>
      </c>
      <c r="FB206" s="161">
        <f t="shared" si="5"/>
        <v>0</v>
      </c>
    </row>
    <row r="207" spans="1:158" ht="17.25" thickBot="1" x14ac:dyDescent="0.3">
      <c r="A207" s="226">
        <v>45946</v>
      </c>
      <c r="B207" s="227" t="s">
        <v>172</v>
      </c>
      <c r="C207" s="227" t="s">
        <v>593</v>
      </c>
      <c r="D207" s="228">
        <v>4425</v>
      </c>
      <c r="E207" s="228">
        <v>139.18</v>
      </c>
      <c r="F207" s="228">
        <v>139.91</v>
      </c>
      <c r="G207" s="228">
        <v>-0.73</v>
      </c>
      <c r="H207" s="229">
        <v>-5.1999999999999998E-3</v>
      </c>
      <c r="I207" s="228">
        <v>138.81</v>
      </c>
      <c r="J207" s="228">
        <v>139.44</v>
      </c>
      <c r="K207" s="228">
        <v>-0.63</v>
      </c>
      <c r="L207" s="229">
        <v>-4.4999999999999997E-3</v>
      </c>
      <c r="M207" s="228">
        <v>139.18</v>
      </c>
      <c r="N207" s="228">
        <v>139.91</v>
      </c>
      <c r="O207" s="228">
        <v>-0.73</v>
      </c>
      <c r="P207" s="229">
        <v>-5.1999999999999998E-3</v>
      </c>
      <c r="Q207" s="228">
        <v>139.85</v>
      </c>
      <c r="R207" s="228">
        <v>140.69999999999999</v>
      </c>
      <c r="S207" s="228">
        <v>-0.85</v>
      </c>
      <c r="T207" s="229">
        <v>-6.0000000000000001E-3</v>
      </c>
      <c r="U207" s="228">
        <v>140.79</v>
      </c>
      <c r="V207" s="228">
        <v>141.72</v>
      </c>
      <c r="W207" s="228">
        <v>-0.93</v>
      </c>
      <c r="X207" s="229">
        <v>-6.6E-3</v>
      </c>
      <c r="Y207" s="228">
        <v>0.37</v>
      </c>
      <c r="Z207" s="228">
        <v>0.47</v>
      </c>
      <c r="AA207" s="228">
        <v>-0.1</v>
      </c>
      <c r="AB207" s="229">
        <v>2.7000000000000001E-3</v>
      </c>
      <c r="AC207" s="228">
        <v>0.37</v>
      </c>
      <c r="AD207" s="228">
        <v>0.47</v>
      </c>
      <c r="AE207" s="228">
        <v>-0.1</v>
      </c>
      <c r="AF207" s="229">
        <v>2.7000000000000001E-3</v>
      </c>
      <c r="AG207" s="228">
        <v>1.04</v>
      </c>
      <c r="AH207" s="228">
        <v>1.26</v>
      </c>
      <c r="AI207" s="228">
        <v>-0.22</v>
      </c>
      <c r="AJ207" s="229">
        <v>7.4999999999999997E-3</v>
      </c>
      <c r="AK207" s="228">
        <v>1.98</v>
      </c>
      <c r="AL207" s="228">
        <v>2.2799999999999998</v>
      </c>
      <c r="AM207" s="228">
        <v>-0.3</v>
      </c>
      <c r="AN207" s="229">
        <v>1.43E-2</v>
      </c>
      <c r="AO207" s="228">
        <v>139.43</v>
      </c>
      <c r="AP207" s="228">
        <v>140.1</v>
      </c>
      <c r="AQ207" s="228">
        <v>0</v>
      </c>
      <c r="AR207" s="230">
        <v>13190925</v>
      </c>
      <c r="AS207" s="230">
        <v>13903350</v>
      </c>
      <c r="AT207" s="230">
        <v>-712425</v>
      </c>
      <c r="AU207" s="229">
        <v>-5.1200000000000002E-2</v>
      </c>
      <c r="AV207" s="230">
        <v>10496100</v>
      </c>
      <c r="AW207" s="230">
        <v>12190875</v>
      </c>
      <c r="AX207" s="230">
        <v>-1694775</v>
      </c>
      <c r="AY207" s="229">
        <v>-0.13900000000000001</v>
      </c>
      <c r="AZ207" s="230">
        <v>2632875</v>
      </c>
      <c r="BA207" s="230">
        <v>1615125</v>
      </c>
      <c r="BB207" s="230">
        <v>1017750</v>
      </c>
      <c r="BC207" s="229">
        <v>0.63009999999999999</v>
      </c>
      <c r="BD207" s="230">
        <v>61950</v>
      </c>
      <c r="BE207" s="230">
        <v>97350</v>
      </c>
      <c r="BF207" s="230">
        <v>-35400</v>
      </c>
      <c r="BG207" s="229">
        <v>-0.36359999999999998</v>
      </c>
      <c r="BH207" s="230">
        <v>20089500</v>
      </c>
      <c r="BI207" s="230">
        <v>28851000</v>
      </c>
      <c r="BJ207" s="230">
        <v>-8761500</v>
      </c>
      <c r="BK207" s="229">
        <v>-0.30370000000000003</v>
      </c>
      <c r="BL207" s="230">
        <v>8394225</v>
      </c>
      <c r="BM207" s="230">
        <v>12633375</v>
      </c>
      <c r="BN207" s="230">
        <v>-4239150</v>
      </c>
      <c r="BO207" s="229">
        <v>-0.33560000000000001</v>
      </c>
      <c r="BP207" s="230">
        <v>41674650</v>
      </c>
      <c r="BQ207" s="230">
        <v>55387725</v>
      </c>
      <c r="BR207" s="230">
        <v>-13713075</v>
      </c>
      <c r="BS207" s="229">
        <v>-0.24759999999999999</v>
      </c>
      <c r="BT207" s="230">
        <v>5225189</v>
      </c>
      <c r="BU207" s="230">
        <v>7249817</v>
      </c>
      <c r="BV207" s="230">
        <v>-2024628</v>
      </c>
      <c r="BW207" s="229">
        <v>-0.27929999999999999</v>
      </c>
      <c r="BX207" s="230">
        <v>83636925</v>
      </c>
      <c r="BY207" s="230">
        <v>83937825</v>
      </c>
      <c r="BZ207" s="230">
        <v>-300900</v>
      </c>
      <c r="CA207" s="229">
        <v>-3.5999999999999999E-3</v>
      </c>
      <c r="CB207" s="230">
        <v>78441975</v>
      </c>
      <c r="CC207" s="230">
        <v>79371225</v>
      </c>
      <c r="CD207" s="230">
        <v>-929250</v>
      </c>
      <c r="CE207" s="229">
        <v>-1.17E-2</v>
      </c>
      <c r="CF207" s="230">
        <v>4796700</v>
      </c>
      <c r="CG207" s="230">
        <v>4159500</v>
      </c>
      <c r="CH207" s="230">
        <v>637200</v>
      </c>
      <c r="CI207" s="229">
        <v>0.1532</v>
      </c>
      <c r="CJ207" s="230">
        <v>398250</v>
      </c>
      <c r="CK207" s="230">
        <v>407100</v>
      </c>
      <c r="CL207" s="230">
        <v>-8850</v>
      </c>
      <c r="CM207" s="229">
        <v>-2.1700000000000001E-2</v>
      </c>
      <c r="CN207" s="230">
        <v>31700700</v>
      </c>
      <c r="CO207" s="230">
        <v>30621000</v>
      </c>
      <c r="CP207" s="230">
        <v>1079700</v>
      </c>
      <c r="CQ207" s="229">
        <v>3.5299999999999998E-2</v>
      </c>
      <c r="CR207" s="230">
        <v>19708950</v>
      </c>
      <c r="CS207" s="230">
        <v>19301850</v>
      </c>
      <c r="CT207" s="230">
        <v>407100</v>
      </c>
      <c r="CU207" s="229">
        <v>2.1100000000000001E-2</v>
      </c>
      <c r="CV207" s="230">
        <v>135046575</v>
      </c>
      <c r="CW207" s="230">
        <v>133860675</v>
      </c>
      <c r="CX207" s="230">
        <v>1185900</v>
      </c>
      <c r="CY207" s="229">
        <v>8.8999999999999999E-3</v>
      </c>
      <c r="CZ207" s="228">
        <v>31.6</v>
      </c>
      <c r="DA207" s="228">
        <v>31.21</v>
      </c>
      <c r="DB207" s="228">
        <v>0.39</v>
      </c>
      <c r="DC207" s="228">
        <v>0.39</v>
      </c>
      <c r="DD207" s="228">
        <v>42.54</v>
      </c>
      <c r="DE207" s="228">
        <v>42.64</v>
      </c>
      <c r="DF207" s="228">
        <v>-10.94</v>
      </c>
      <c r="DG207" s="228">
        <v>-0.1</v>
      </c>
      <c r="DH207" s="228">
        <v>31.76</v>
      </c>
      <c r="DI207" s="228">
        <v>31.1</v>
      </c>
      <c r="DJ207" s="228">
        <v>0.66</v>
      </c>
      <c r="DK207" s="228">
        <v>0.66</v>
      </c>
      <c r="DL207" s="228">
        <v>31.2</v>
      </c>
      <c r="DM207" s="228">
        <v>31.47</v>
      </c>
      <c r="DN207" s="228">
        <v>-0.27</v>
      </c>
      <c r="DO207" s="228">
        <v>-0.27</v>
      </c>
      <c r="DP207" s="228">
        <v>0.62</v>
      </c>
      <c r="DQ207" s="228">
        <v>0.63</v>
      </c>
      <c r="DR207" s="228">
        <v>-0.01</v>
      </c>
      <c r="DS207" s="229">
        <v>-1.5900000000000001E-2</v>
      </c>
      <c r="DT207" s="228">
        <v>140</v>
      </c>
      <c r="DU207" s="228">
        <v>140</v>
      </c>
      <c r="DV207" s="228">
        <v>0.42</v>
      </c>
      <c r="DW207" s="228">
        <v>0.44</v>
      </c>
      <c r="DX207" s="228">
        <v>-0.02</v>
      </c>
      <c r="DY207" s="229">
        <v>-4.5499999999999999E-2</v>
      </c>
      <c r="DZ207" s="229">
        <v>6.2100000000000002E-2</v>
      </c>
      <c r="EA207" s="230">
        <v>4566600</v>
      </c>
      <c r="EB207" s="229">
        <v>4.7999999999999996E-3</v>
      </c>
      <c r="EC207" s="229">
        <v>6.2100000000000002E-2</v>
      </c>
      <c r="ED207" s="228">
        <v>0.67</v>
      </c>
      <c r="EE207" s="229">
        <v>4.7999999999999996E-3</v>
      </c>
      <c r="EF207" s="230">
        <v>1897499</v>
      </c>
      <c r="EG207" s="230">
        <v>3053662</v>
      </c>
      <c r="EH207" s="229">
        <v>-0.37859999999999999</v>
      </c>
      <c r="EI207" s="229">
        <v>0.36309999999999998</v>
      </c>
      <c r="EJ207" s="231">
        <v>29034.49</v>
      </c>
      <c r="EK207" s="231">
        <v>11641.95</v>
      </c>
      <c r="EL207" s="231">
        <v>18410.650000000001</v>
      </c>
      <c r="EM207" s="231">
        <v>3329</v>
      </c>
      <c r="EN207" s="231">
        <v>59087.09</v>
      </c>
      <c r="EO207" s="231">
        <v>78687.3</v>
      </c>
      <c r="EP207" s="231">
        <v>-19600.21</v>
      </c>
      <c r="EQ207" s="229">
        <v>-0.24909999999999999</v>
      </c>
      <c r="ER207" s="231">
        <v>45762</v>
      </c>
      <c r="ES207" s="231">
        <v>26740</v>
      </c>
      <c r="ET207" s="231">
        <v>116444</v>
      </c>
      <c r="EU207" s="231">
        <v>289041713</v>
      </c>
      <c r="EV207" s="231">
        <v>188947</v>
      </c>
      <c r="EW207" s="231">
        <v>187917</v>
      </c>
      <c r="EX207" s="231">
        <v>1030</v>
      </c>
      <c r="EY207" s="229">
        <v>5.4999999999999997E-3</v>
      </c>
      <c r="EZ207" s="229">
        <v>0.4672</v>
      </c>
      <c r="FA207" s="227" t="s">
        <v>568</v>
      </c>
      <c r="FB207" s="161">
        <f t="shared" si="5"/>
        <v>0</v>
      </c>
    </row>
    <row r="208" spans="1:158" ht="17.25" thickBot="1" x14ac:dyDescent="0.3">
      <c r="A208" s="226">
        <v>45946</v>
      </c>
      <c r="B208" s="227" t="s">
        <v>168</v>
      </c>
      <c r="C208" s="227" t="s">
        <v>569</v>
      </c>
      <c r="D208" s="228">
        <v>400</v>
      </c>
      <c r="E208" s="231">
        <v>1362.1</v>
      </c>
      <c r="F208" s="231">
        <v>1336.4</v>
      </c>
      <c r="G208" s="228">
        <v>25.7</v>
      </c>
      <c r="H208" s="229">
        <v>1.9199999999999998E-2</v>
      </c>
      <c r="I208" s="231">
        <v>1359.1</v>
      </c>
      <c r="J208" s="231">
        <v>1333.1</v>
      </c>
      <c r="K208" s="228">
        <v>26</v>
      </c>
      <c r="L208" s="229">
        <v>1.95E-2</v>
      </c>
      <c r="M208" s="231">
        <v>1362.1</v>
      </c>
      <c r="N208" s="231">
        <v>1336.4</v>
      </c>
      <c r="O208" s="228">
        <v>25.7</v>
      </c>
      <c r="P208" s="229">
        <v>1.9199999999999998E-2</v>
      </c>
      <c r="Q208" s="231">
        <v>1369.3</v>
      </c>
      <c r="R208" s="231">
        <v>1343.3</v>
      </c>
      <c r="S208" s="228">
        <v>26</v>
      </c>
      <c r="T208" s="229">
        <v>1.9400000000000001E-2</v>
      </c>
      <c r="U208" s="231">
        <v>1379.6</v>
      </c>
      <c r="V208" s="231">
        <v>1350.4</v>
      </c>
      <c r="W208" s="228">
        <v>29.2</v>
      </c>
      <c r="X208" s="229">
        <v>2.1600000000000001E-2</v>
      </c>
      <c r="Y208" s="228">
        <v>3</v>
      </c>
      <c r="Z208" s="228">
        <v>3.3</v>
      </c>
      <c r="AA208" s="228">
        <v>-0.3</v>
      </c>
      <c r="AB208" s="229">
        <v>2.2000000000000001E-3</v>
      </c>
      <c r="AC208" s="228">
        <v>3</v>
      </c>
      <c r="AD208" s="228">
        <v>3.3</v>
      </c>
      <c r="AE208" s="228">
        <v>-0.3</v>
      </c>
      <c r="AF208" s="229">
        <v>2.2000000000000001E-3</v>
      </c>
      <c r="AG208" s="228">
        <v>10.199999999999999</v>
      </c>
      <c r="AH208" s="228">
        <v>10.199999999999999</v>
      </c>
      <c r="AI208" s="228">
        <v>0</v>
      </c>
      <c r="AJ208" s="229">
        <v>7.4999999999999997E-3</v>
      </c>
      <c r="AK208" s="228">
        <v>20.5</v>
      </c>
      <c r="AL208" s="228">
        <v>17.3</v>
      </c>
      <c r="AM208" s="228">
        <v>3.2</v>
      </c>
      <c r="AN208" s="229">
        <v>1.5100000000000001E-2</v>
      </c>
      <c r="AO208" s="231">
        <v>1357.04</v>
      </c>
      <c r="AP208" s="231">
        <v>1366.34</v>
      </c>
      <c r="AQ208" s="228">
        <v>0</v>
      </c>
      <c r="AR208" s="230">
        <v>2078000</v>
      </c>
      <c r="AS208" s="230">
        <v>1047600</v>
      </c>
      <c r="AT208" s="230">
        <v>1030400</v>
      </c>
      <c r="AU208" s="229">
        <v>0.98360000000000003</v>
      </c>
      <c r="AV208" s="230">
        <v>1550400</v>
      </c>
      <c r="AW208" s="230">
        <v>896000</v>
      </c>
      <c r="AX208" s="230">
        <v>654400</v>
      </c>
      <c r="AY208" s="229">
        <v>0.73040000000000005</v>
      </c>
      <c r="AZ208" s="230">
        <v>508800</v>
      </c>
      <c r="BA208" s="230">
        <v>139600</v>
      </c>
      <c r="BB208" s="230">
        <v>369200</v>
      </c>
      <c r="BC208" s="229">
        <v>2.6446999999999998</v>
      </c>
      <c r="BD208" s="230">
        <v>18800</v>
      </c>
      <c r="BE208" s="230">
        <v>12000</v>
      </c>
      <c r="BF208" s="230">
        <v>6800</v>
      </c>
      <c r="BG208" s="229">
        <v>0.56669999999999998</v>
      </c>
      <c r="BH208" s="230">
        <v>5729200</v>
      </c>
      <c r="BI208" s="230">
        <v>3188800</v>
      </c>
      <c r="BJ208" s="230">
        <v>2540400</v>
      </c>
      <c r="BK208" s="229">
        <v>0.79669999999999996</v>
      </c>
      <c r="BL208" s="230">
        <v>3004400</v>
      </c>
      <c r="BM208" s="230">
        <v>1068000</v>
      </c>
      <c r="BN208" s="230">
        <v>1936400</v>
      </c>
      <c r="BO208" s="229">
        <v>1.8130999999999999</v>
      </c>
      <c r="BP208" s="230">
        <v>10811600</v>
      </c>
      <c r="BQ208" s="230">
        <v>5304400</v>
      </c>
      <c r="BR208" s="230">
        <v>5507200</v>
      </c>
      <c r="BS208" s="229">
        <v>1.0382</v>
      </c>
      <c r="BT208" s="230">
        <v>852782</v>
      </c>
      <c r="BU208" s="230">
        <v>848250</v>
      </c>
      <c r="BV208" s="230">
        <v>4532</v>
      </c>
      <c r="BW208" s="229">
        <v>5.3E-3</v>
      </c>
      <c r="BX208" s="230">
        <v>13273200</v>
      </c>
      <c r="BY208" s="230">
        <v>13837600</v>
      </c>
      <c r="BZ208" s="230">
        <v>-564400</v>
      </c>
      <c r="CA208" s="229">
        <v>-4.0800000000000003E-2</v>
      </c>
      <c r="CB208" s="230">
        <v>12565200</v>
      </c>
      <c r="CC208" s="230">
        <v>13287200</v>
      </c>
      <c r="CD208" s="230">
        <v>-722000</v>
      </c>
      <c r="CE208" s="229">
        <v>-5.4300000000000001E-2</v>
      </c>
      <c r="CF208" s="230">
        <v>665200</v>
      </c>
      <c r="CG208" s="230">
        <v>505200</v>
      </c>
      <c r="CH208" s="230">
        <v>160000</v>
      </c>
      <c r="CI208" s="229">
        <v>0.31669999999999998</v>
      </c>
      <c r="CJ208" s="230">
        <v>42800</v>
      </c>
      <c r="CK208" s="230">
        <v>45200</v>
      </c>
      <c r="CL208" s="230">
        <v>-2400</v>
      </c>
      <c r="CM208" s="229">
        <v>-5.3100000000000001E-2</v>
      </c>
      <c r="CN208" s="230">
        <v>4158400</v>
      </c>
      <c r="CO208" s="230">
        <v>4196400</v>
      </c>
      <c r="CP208" s="230">
        <v>-38000</v>
      </c>
      <c r="CQ208" s="229">
        <v>-9.1000000000000004E-3</v>
      </c>
      <c r="CR208" s="230">
        <v>2747200</v>
      </c>
      <c r="CS208" s="230">
        <v>2592800</v>
      </c>
      <c r="CT208" s="230">
        <v>154400</v>
      </c>
      <c r="CU208" s="229">
        <v>5.9499999999999997E-2</v>
      </c>
      <c r="CV208" s="230">
        <v>20178800</v>
      </c>
      <c r="CW208" s="230">
        <v>20626800</v>
      </c>
      <c r="CX208" s="230">
        <v>-448000</v>
      </c>
      <c r="CY208" s="229">
        <v>-2.1700000000000001E-2</v>
      </c>
      <c r="CZ208" s="228">
        <v>22.65</v>
      </c>
      <c r="DA208" s="228">
        <v>24.03</v>
      </c>
      <c r="DB208" s="228">
        <v>-1.38</v>
      </c>
      <c r="DC208" s="228">
        <v>-1.38</v>
      </c>
      <c r="DD208" s="228">
        <v>28.31</v>
      </c>
      <c r="DE208" s="228">
        <v>28.26</v>
      </c>
      <c r="DF208" s="228">
        <v>-5.66</v>
      </c>
      <c r="DG208" s="228">
        <v>0.05</v>
      </c>
      <c r="DH208" s="228">
        <v>22.02</v>
      </c>
      <c r="DI208" s="228">
        <v>24.1</v>
      </c>
      <c r="DJ208" s="228">
        <v>-2.08</v>
      </c>
      <c r="DK208" s="228">
        <v>-2.08</v>
      </c>
      <c r="DL208" s="228">
        <v>23.86</v>
      </c>
      <c r="DM208" s="228">
        <v>23.84</v>
      </c>
      <c r="DN208" s="228">
        <v>0.02</v>
      </c>
      <c r="DO208" s="228">
        <v>0.02</v>
      </c>
      <c r="DP208" s="228">
        <v>0.66</v>
      </c>
      <c r="DQ208" s="228">
        <v>0.62</v>
      </c>
      <c r="DR208" s="228">
        <v>0.04</v>
      </c>
      <c r="DS208" s="229">
        <v>6.4500000000000002E-2</v>
      </c>
      <c r="DT208" s="231">
        <v>1400</v>
      </c>
      <c r="DU208" s="231">
        <v>1300</v>
      </c>
      <c r="DV208" s="228">
        <v>0.52</v>
      </c>
      <c r="DW208" s="228">
        <v>0.33</v>
      </c>
      <c r="DX208" s="228">
        <v>0.19</v>
      </c>
      <c r="DY208" s="229">
        <v>0.57579999999999998</v>
      </c>
      <c r="DZ208" s="229">
        <v>5.33E-2</v>
      </c>
      <c r="EA208" s="230">
        <v>550400</v>
      </c>
      <c r="EB208" s="229">
        <v>5.3E-3</v>
      </c>
      <c r="EC208" s="229">
        <v>5.33E-2</v>
      </c>
      <c r="ED208" s="228">
        <v>9.3000000000000007</v>
      </c>
      <c r="EE208" s="229">
        <v>6.8999999999999999E-3</v>
      </c>
      <c r="EF208" s="230">
        <v>486125</v>
      </c>
      <c r="EG208" s="230">
        <v>599046</v>
      </c>
      <c r="EH208" s="229">
        <v>-0.1885</v>
      </c>
      <c r="EI208" s="229">
        <v>0.56999999999999995</v>
      </c>
      <c r="EJ208" s="231">
        <v>79987.47</v>
      </c>
      <c r="EK208" s="231">
        <v>41889.870000000003</v>
      </c>
      <c r="EL208" s="231">
        <v>28249.46</v>
      </c>
      <c r="EM208" s="231">
        <v>2576</v>
      </c>
      <c r="EN208" s="231">
        <v>150126.79999999999</v>
      </c>
      <c r="EO208" s="231">
        <v>71884.27</v>
      </c>
      <c r="EP208" s="231">
        <v>78242.53</v>
      </c>
      <c r="EQ208" s="229">
        <v>1.0885</v>
      </c>
      <c r="ER208" s="231">
        <v>58411</v>
      </c>
      <c r="ES208" s="231">
        <v>37481</v>
      </c>
      <c r="ET208" s="231">
        <v>180850</v>
      </c>
      <c r="EU208" s="231">
        <v>47269416</v>
      </c>
      <c r="EV208" s="231">
        <v>276742</v>
      </c>
      <c r="EW208" s="231">
        <v>278798</v>
      </c>
      <c r="EX208" s="231">
        <v>-2056</v>
      </c>
      <c r="EY208" s="229">
        <v>-7.4000000000000003E-3</v>
      </c>
      <c r="EZ208" s="229">
        <v>0.4269</v>
      </c>
      <c r="FA208" s="227" t="s">
        <v>556</v>
      </c>
      <c r="FB208" s="161">
        <f t="shared" si="5"/>
        <v>0</v>
      </c>
    </row>
    <row r="209" spans="1:158" ht="17.25" thickBot="1" x14ac:dyDescent="0.3">
      <c r="A209" s="226">
        <v>45946</v>
      </c>
      <c r="B209" s="227" t="s">
        <v>162</v>
      </c>
      <c r="C209" s="227" t="s">
        <v>675</v>
      </c>
      <c r="D209" s="228">
        <v>550</v>
      </c>
      <c r="E209" s="231">
        <v>1234.4000000000001</v>
      </c>
      <c r="F209" s="231">
        <v>1209.5999999999999</v>
      </c>
      <c r="G209" s="228">
        <v>24.8</v>
      </c>
      <c r="H209" s="229">
        <v>2.0500000000000001E-2</v>
      </c>
      <c r="I209" s="231">
        <v>1235.2</v>
      </c>
      <c r="J209" s="231">
        <v>1207.4000000000001</v>
      </c>
      <c r="K209" s="228">
        <v>27.8</v>
      </c>
      <c r="L209" s="229">
        <v>2.3E-2</v>
      </c>
      <c r="M209" s="231">
        <v>1234.4000000000001</v>
      </c>
      <c r="N209" s="231">
        <v>1209.5999999999999</v>
      </c>
      <c r="O209" s="228">
        <v>24.8</v>
      </c>
      <c r="P209" s="229">
        <v>2.0500000000000001E-2</v>
      </c>
      <c r="Q209" s="231">
        <v>1232.4000000000001</v>
      </c>
      <c r="R209" s="231">
        <v>1208</v>
      </c>
      <c r="S209" s="228">
        <v>24.4</v>
      </c>
      <c r="T209" s="229">
        <v>2.0199999999999999E-2</v>
      </c>
      <c r="U209" s="231">
        <v>1231.5999999999999</v>
      </c>
      <c r="V209" s="231">
        <v>1211</v>
      </c>
      <c r="W209" s="228">
        <v>20.6</v>
      </c>
      <c r="X209" s="229">
        <v>1.7000000000000001E-2</v>
      </c>
      <c r="Y209" s="228">
        <v>-0.8</v>
      </c>
      <c r="Z209" s="228">
        <v>2.2000000000000002</v>
      </c>
      <c r="AA209" s="228">
        <v>-3</v>
      </c>
      <c r="AB209" s="229">
        <v>-5.9999999999999995E-4</v>
      </c>
      <c r="AC209" s="228">
        <v>-0.8</v>
      </c>
      <c r="AD209" s="228">
        <v>2.2000000000000002</v>
      </c>
      <c r="AE209" s="228">
        <v>-3</v>
      </c>
      <c r="AF209" s="229">
        <v>-5.9999999999999995E-4</v>
      </c>
      <c r="AG209" s="228">
        <v>-2.8</v>
      </c>
      <c r="AH209" s="228">
        <v>0.6</v>
      </c>
      <c r="AI209" s="228">
        <v>-3.4</v>
      </c>
      <c r="AJ209" s="229">
        <v>-2.3E-3</v>
      </c>
      <c r="AK209" s="228">
        <v>-3.6</v>
      </c>
      <c r="AL209" s="228">
        <v>3.6</v>
      </c>
      <c r="AM209" s="228">
        <v>-7.2</v>
      </c>
      <c r="AN209" s="229">
        <v>-2.8999999999999998E-3</v>
      </c>
      <c r="AO209" s="231">
        <v>1231.6099999999999</v>
      </c>
      <c r="AP209" s="231">
        <v>1229.26</v>
      </c>
      <c r="AQ209" s="228">
        <v>0</v>
      </c>
      <c r="AR209" s="230">
        <v>1516350</v>
      </c>
      <c r="AS209" s="230">
        <v>1452000</v>
      </c>
      <c r="AT209" s="230">
        <v>64350</v>
      </c>
      <c r="AU209" s="229">
        <v>4.4299999999999999E-2</v>
      </c>
      <c r="AV209" s="230">
        <v>1344750</v>
      </c>
      <c r="AW209" s="230">
        <v>1306800</v>
      </c>
      <c r="AX209" s="230">
        <v>37950</v>
      </c>
      <c r="AY209" s="229">
        <v>2.9000000000000001E-2</v>
      </c>
      <c r="AZ209" s="230">
        <v>163350</v>
      </c>
      <c r="BA209" s="230">
        <v>135300</v>
      </c>
      <c r="BB209" s="230">
        <v>28050</v>
      </c>
      <c r="BC209" s="229">
        <v>0.20730000000000001</v>
      </c>
      <c r="BD209" s="230">
        <v>8250</v>
      </c>
      <c r="BE209" s="230">
        <v>9900</v>
      </c>
      <c r="BF209" s="230">
        <v>-1650</v>
      </c>
      <c r="BG209" s="229">
        <v>-0.16669999999999999</v>
      </c>
      <c r="BH209" s="230">
        <v>4571050</v>
      </c>
      <c r="BI209" s="230">
        <v>4505600</v>
      </c>
      <c r="BJ209" s="230">
        <v>65450</v>
      </c>
      <c r="BK209" s="229">
        <v>1.4500000000000001E-2</v>
      </c>
      <c r="BL209" s="230">
        <v>1490500</v>
      </c>
      <c r="BM209" s="230">
        <v>1756150</v>
      </c>
      <c r="BN209" s="230">
        <v>-265650</v>
      </c>
      <c r="BO209" s="229">
        <v>-0.15129999999999999</v>
      </c>
      <c r="BP209" s="230">
        <v>7577900</v>
      </c>
      <c r="BQ209" s="230">
        <v>7713750</v>
      </c>
      <c r="BR209" s="230">
        <v>-135850</v>
      </c>
      <c r="BS209" s="229">
        <v>-1.7600000000000001E-2</v>
      </c>
      <c r="BT209" s="230">
        <v>1166822</v>
      </c>
      <c r="BU209" s="230">
        <v>1200478</v>
      </c>
      <c r="BV209" s="230">
        <v>-33656</v>
      </c>
      <c r="BW209" s="229">
        <v>-2.8000000000000001E-2</v>
      </c>
      <c r="BX209" s="230">
        <v>3650350</v>
      </c>
      <c r="BY209" s="230">
        <v>3803250</v>
      </c>
      <c r="BZ209" s="230">
        <v>-152900</v>
      </c>
      <c r="CA209" s="229">
        <v>-4.02E-2</v>
      </c>
      <c r="CB209" s="230">
        <v>3256000</v>
      </c>
      <c r="CC209" s="230">
        <v>3461150</v>
      </c>
      <c r="CD209" s="230">
        <v>-205150</v>
      </c>
      <c r="CE209" s="229">
        <v>-5.9299999999999999E-2</v>
      </c>
      <c r="CF209" s="230">
        <v>346500</v>
      </c>
      <c r="CG209" s="230">
        <v>291500</v>
      </c>
      <c r="CH209" s="230">
        <v>55000</v>
      </c>
      <c r="CI209" s="229">
        <v>0.18870000000000001</v>
      </c>
      <c r="CJ209" s="230">
        <v>47850</v>
      </c>
      <c r="CK209" s="230">
        <v>50600</v>
      </c>
      <c r="CL209" s="230">
        <v>-2750</v>
      </c>
      <c r="CM209" s="229">
        <v>-5.4300000000000001E-2</v>
      </c>
      <c r="CN209" s="230">
        <v>3499100</v>
      </c>
      <c r="CO209" s="230">
        <v>3812600</v>
      </c>
      <c r="CP209" s="230">
        <v>-313500</v>
      </c>
      <c r="CQ209" s="229">
        <v>-8.2199999999999995E-2</v>
      </c>
      <c r="CR209" s="230">
        <v>1565300</v>
      </c>
      <c r="CS209" s="230">
        <v>1702250</v>
      </c>
      <c r="CT209" s="230">
        <v>-136950</v>
      </c>
      <c r="CU209" s="229">
        <v>-8.0500000000000002E-2</v>
      </c>
      <c r="CV209" s="230">
        <v>8714750</v>
      </c>
      <c r="CW209" s="230">
        <v>9318100</v>
      </c>
      <c r="CX209" s="230">
        <v>-603350</v>
      </c>
      <c r="CY209" s="229">
        <v>-6.4799999999999996E-2</v>
      </c>
      <c r="CZ209" s="228">
        <v>33.26</v>
      </c>
      <c r="DA209" s="228">
        <v>34.43</v>
      </c>
      <c r="DB209" s="228">
        <v>-1.17</v>
      </c>
      <c r="DC209" s="228">
        <v>-1.17</v>
      </c>
      <c r="DD209" s="228">
        <v>42.5</v>
      </c>
      <c r="DE209" s="228">
        <v>42.52</v>
      </c>
      <c r="DF209" s="228">
        <v>-9.24</v>
      </c>
      <c r="DG209" s="228">
        <v>-0.02</v>
      </c>
      <c r="DH209" s="228">
        <v>33.340000000000003</v>
      </c>
      <c r="DI209" s="228">
        <v>34.590000000000003</v>
      </c>
      <c r="DJ209" s="228">
        <v>-1.25</v>
      </c>
      <c r="DK209" s="228">
        <v>-1.25</v>
      </c>
      <c r="DL209" s="228">
        <v>33.01</v>
      </c>
      <c r="DM209" s="228">
        <v>34.01</v>
      </c>
      <c r="DN209" s="228">
        <v>-1</v>
      </c>
      <c r="DO209" s="228">
        <v>-1</v>
      </c>
      <c r="DP209" s="228">
        <v>0.45</v>
      </c>
      <c r="DQ209" s="228">
        <v>0.45</v>
      </c>
      <c r="DR209" s="228">
        <v>0</v>
      </c>
      <c r="DS209" s="229">
        <v>0</v>
      </c>
      <c r="DT209" s="231">
        <v>1300</v>
      </c>
      <c r="DU209" s="231">
        <v>1200</v>
      </c>
      <c r="DV209" s="228">
        <v>0.33</v>
      </c>
      <c r="DW209" s="228">
        <v>0.39</v>
      </c>
      <c r="DX209" s="228">
        <v>-0.06</v>
      </c>
      <c r="DY209" s="229">
        <v>-0.15379999999999999</v>
      </c>
      <c r="DZ209" s="229">
        <v>0.108</v>
      </c>
      <c r="EA209" s="230">
        <v>342100</v>
      </c>
      <c r="EB209" s="229">
        <v>-1.6000000000000001E-3</v>
      </c>
      <c r="EC209" s="229">
        <v>0.108</v>
      </c>
      <c r="ED209" s="228">
        <v>-2.35</v>
      </c>
      <c r="EE209" s="229">
        <v>-1.9E-3</v>
      </c>
      <c r="EF209" s="230">
        <v>617317</v>
      </c>
      <c r="EG209" s="230">
        <v>668441</v>
      </c>
      <c r="EH209" s="229">
        <v>-7.6499999999999999E-2</v>
      </c>
      <c r="EI209" s="229">
        <v>0.52910000000000001</v>
      </c>
      <c r="EJ209" s="231">
        <v>59025.22</v>
      </c>
      <c r="EK209" s="231">
        <v>17843.93</v>
      </c>
      <c r="EL209" s="231">
        <v>18671.72</v>
      </c>
      <c r="EM209" s="231">
        <v>3193</v>
      </c>
      <c r="EN209" s="231">
        <v>95540.87</v>
      </c>
      <c r="EO209" s="231">
        <v>95730.32</v>
      </c>
      <c r="EP209" s="228">
        <v>-189.45</v>
      </c>
      <c r="EQ209" s="229">
        <v>-2E-3</v>
      </c>
      <c r="ER209" s="231">
        <v>46258</v>
      </c>
      <c r="ES209" s="231">
        <v>19256</v>
      </c>
      <c r="ET209" s="231">
        <v>45052</v>
      </c>
      <c r="EU209" s="231">
        <v>22813802</v>
      </c>
      <c r="EV209" s="231">
        <v>110565</v>
      </c>
      <c r="EW209" s="231">
        <v>117145</v>
      </c>
      <c r="EX209" s="231">
        <v>-6580</v>
      </c>
      <c r="EY209" s="229">
        <v>-5.62E-2</v>
      </c>
      <c r="EZ209" s="229">
        <v>0.38200000000000001</v>
      </c>
      <c r="FA209" s="227" t="s">
        <v>556</v>
      </c>
      <c r="FB209" s="161">
        <f t="shared" si="5"/>
        <v>0</v>
      </c>
    </row>
    <row r="210" spans="1:158" ht="17.25" thickBot="1" x14ac:dyDescent="0.3">
      <c r="A210" s="226">
        <v>45946</v>
      </c>
      <c r="B210" s="227" t="s">
        <v>498</v>
      </c>
      <c r="C210" s="227" t="s">
        <v>303</v>
      </c>
      <c r="D210" s="228">
        <v>1355</v>
      </c>
      <c r="E210" s="228">
        <v>681.5</v>
      </c>
      <c r="F210" s="228">
        <v>678.9</v>
      </c>
      <c r="G210" s="228">
        <v>2.6</v>
      </c>
      <c r="H210" s="229">
        <v>3.8E-3</v>
      </c>
      <c r="I210" s="228">
        <v>680.4</v>
      </c>
      <c r="J210" s="228">
        <v>677.65</v>
      </c>
      <c r="K210" s="228">
        <v>2.75</v>
      </c>
      <c r="L210" s="229">
        <v>4.1000000000000003E-3</v>
      </c>
      <c r="M210" s="228">
        <v>681.5</v>
      </c>
      <c r="N210" s="228">
        <v>678.9</v>
      </c>
      <c r="O210" s="228">
        <v>2.6</v>
      </c>
      <c r="P210" s="229">
        <v>3.8E-3</v>
      </c>
      <c r="Q210" s="228">
        <v>685.5</v>
      </c>
      <c r="R210" s="228">
        <v>682.5</v>
      </c>
      <c r="S210" s="228">
        <v>3</v>
      </c>
      <c r="T210" s="229">
        <v>4.4000000000000003E-3</v>
      </c>
      <c r="U210" s="228">
        <v>689</v>
      </c>
      <c r="V210" s="228">
        <v>686.6</v>
      </c>
      <c r="W210" s="228">
        <v>2.4</v>
      </c>
      <c r="X210" s="229">
        <v>3.5000000000000001E-3</v>
      </c>
      <c r="Y210" s="228">
        <v>1.1000000000000001</v>
      </c>
      <c r="Z210" s="228">
        <v>1.25</v>
      </c>
      <c r="AA210" s="228">
        <v>-0.15</v>
      </c>
      <c r="AB210" s="229">
        <v>1.6000000000000001E-3</v>
      </c>
      <c r="AC210" s="228">
        <v>1.1000000000000001</v>
      </c>
      <c r="AD210" s="228">
        <v>1.25</v>
      </c>
      <c r="AE210" s="228">
        <v>-0.15</v>
      </c>
      <c r="AF210" s="229">
        <v>1.6000000000000001E-3</v>
      </c>
      <c r="AG210" s="228">
        <v>5.0999999999999996</v>
      </c>
      <c r="AH210" s="228">
        <v>4.8499999999999996</v>
      </c>
      <c r="AI210" s="228">
        <v>0.25</v>
      </c>
      <c r="AJ210" s="229">
        <v>7.4999999999999997E-3</v>
      </c>
      <c r="AK210" s="228">
        <v>8.6</v>
      </c>
      <c r="AL210" s="228">
        <v>8.9499999999999993</v>
      </c>
      <c r="AM210" s="228">
        <v>-0.35</v>
      </c>
      <c r="AN210" s="229">
        <v>1.26E-2</v>
      </c>
      <c r="AO210" s="228">
        <v>683.24</v>
      </c>
      <c r="AP210" s="228">
        <v>686.8</v>
      </c>
      <c r="AQ210" s="228">
        <v>0</v>
      </c>
      <c r="AR210" s="230">
        <v>3758770</v>
      </c>
      <c r="AS210" s="230">
        <v>2799430</v>
      </c>
      <c r="AT210" s="230">
        <v>959340</v>
      </c>
      <c r="AU210" s="229">
        <v>0.3427</v>
      </c>
      <c r="AV210" s="230">
        <v>3346850</v>
      </c>
      <c r="AW210" s="230">
        <v>2390220</v>
      </c>
      <c r="AX210" s="230">
        <v>956630</v>
      </c>
      <c r="AY210" s="229">
        <v>0.4002</v>
      </c>
      <c r="AZ210" s="230">
        <v>391595</v>
      </c>
      <c r="BA210" s="230">
        <v>407855</v>
      </c>
      <c r="BB210" s="230">
        <v>-16260</v>
      </c>
      <c r="BC210" s="229">
        <v>-3.9899999999999998E-2</v>
      </c>
      <c r="BD210" s="230">
        <v>20325</v>
      </c>
      <c r="BE210" s="230">
        <v>1355</v>
      </c>
      <c r="BF210" s="230">
        <v>18970</v>
      </c>
      <c r="BG210" s="229">
        <v>14</v>
      </c>
      <c r="BH210" s="230">
        <v>7593420</v>
      </c>
      <c r="BI210" s="230">
        <v>6901015</v>
      </c>
      <c r="BJ210" s="230">
        <v>692405</v>
      </c>
      <c r="BK210" s="229">
        <v>0.1003</v>
      </c>
      <c r="BL210" s="230">
        <v>4392910</v>
      </c>
      <c r="BM210" s="230">
        <v>3105660</v>
      </c>
      <c r="BN210" s="230">
        <v>1287250</v>
      </c>
      <c r="BO210" s="229">
        <v>0.41449999999999998</v>
      </c>
      <c r="BP210" s="230">
        <v>15745100</v>
      </c>
      <c r="BQ210" s="230">
        <v>12806105</v>
      </c>
      <c r="BR210" s="230">
        <v>2938995</v>
      </c>
      <c r="BS210" s="229">
        <v>0.22950000000000001</v>
      </c>
      <c r="BT210" s="230">
        <v>1297126</v>
      </c>
      <c r="BU210" s="230">
        <v>1762218</v>
      </c>
      <c r="BV210" s="230">
        <v>-465092</v>
      </c>
      <c r="BW210" s="229">
        <v>-0.26390000000000002</v>
      </c>
      <c r="BX210" s="230">
        <v>33765245</v>
      </c>
      <c r="BY210" s="230">
        <v>33988820</v>
      </c>
      <c r="BZ210" s="230">
        <v>-223575</v>
      </c>
      <c r="CA210" s="229">
        <v>-6.6E-3</v>
      </c>
      <c r="CB210" s="230">
        <v>32632465</v>
      </c>
      <c r="CC210" s="230">
        <v>32931920</v>
      </c>
      <c r="CD210" s="230">
        <v>-299455</v>
      </c>
      <c r="CE210" s="229">
        <v>-9.1000000000000004E-3</v>
      </c>
      <c r="CF210" s="230">
        <v>1077225</v>
      </c>
      <c r="CG210" s="230">
        <v>990505</v>
      </c>
      <c r="CH210" s="230">
        <v>86720</v>
      </c>
      <c r="CI210" s="229">
        <v>8.7599999999999997E-2</v>
      </c>
      <c r="CJ210" s="230">
        <v>55555</v>
      </c>
      <c r="CK210" s="230">
        <v>66395</v>
      </c>
      <c r="CL210" s="230">
        <v>-10840</v>
      </c>
      <c r="CM210" s="229">
        <v>-0.1633</v>
      </c>
      <c r="CN210" s="230">
        <v>8956550</v>
      </c>
      <c r="CO210" s="230">
        <v>9008040</v>
      </c>
      <c r="CP210" s="230">
        <v>-51490</v>
      </c>
      <c r="CQ210" s="229">
        <v>-5.7000000000000002E-3</v>
      </c>
      <c r="CR210" s="230">
        <v>5574470</v>
      </c>
      <c r="CS210" s="230">
        <v>5251980</v>
      </c>
      <c r="CT210" s="230">
        <v>322490</v>
      </c>
      <c r="CU210" s="229">
        <v>6.1400000000000003E-2</v>
      </c>
      <c r="CV210" s="230">
        <v>48296265</v>
      </c>
      <c r="CW210" s="230">
        <v>48248840</v>
      </c>
      <c r="CX210" s="230">
        <v>47425</v>
      </c>
      <c r="CY210" s="229">
        <v>1E-3</v>
      </c>
      <c r="CZ210" s="228">
        <v>23.64</v>
      </c>
      <c r="DA210" s="228">
        <v>23.49</v>
      </c>
      <c r="DB210" s="228">
        <v>0.15</v>
      </c>
      <c r="DC210" s="228">
        <v>0.15</v>
      </c>
      <c r="DD210" s="228">
        <v>33.85</v>
      </c>
      <c r="DE210" s="228">
        <v>33.93</v>
      </c>
      <c r="DF210" s="228">
        <v>-10.210000000000001</v>
      </c>
      <c r="DG210" s="228">
        <v>-0.08</v>
      </c>
      <c r="DH210" s="228">
        <v>23.65</v>
      </c>
      <c r="DI210" s="228">
        <v>23.47</v>
      </c>
      <c r="DJ210" s="228">
        <v>0.18</v>
      </c>
      <c r="DK210" s="228">
        <v>0.18</v>
      </c>
      <c r="DL210" s="228">
        <v>23.63</v>
      </c>
      <c r="DM210" s="228">
        <v>23.54</v>
      </c>
      <c r="DN210" s="228">
        <v>0.09</v>
      </c>
      <c r="DO210" s="228">
        <v>0.09</v>
      </c>
      <c r="DP210" s="228">
        <v>0.62</v>
      </c>
      <c r="DQ210" s="228">
        <v>0.57999999999999996</v>
      </c>
      <c r="DR210" s="228">
        <v>0.04</v>
      </c>
      <c r="DS210" s="229">
        <v>6.9000000000000006E-2</v>
      </c>
      <c r="DT210" s="228">
        <v>700</v>
      </c>
      <c r="DU210" s="228">
        <v>680</v>
      </c>
      <c r="DV210" s="228">
        <v>0.57999999999999996</v>
      </c>
      <c r="DW210" s="228">
        <v>0.45</v>
      </c>
      <c r="DX210" s="228">
        <v>0.13</v>
      </c>
      <c r="DY210" s="229">
        <v>0.28889999999999999</v>
      </c>
      <c r="DZ210" s="229">
        <v>3.3500000000000002E-2</v>
      </c>
      <c r="EA210" s="230">
        <v>1056900</v>
      </c>
      <c r="EB210" s="229">
        <v>5.8999999999999999E-3</v>
      </c>
      <c r="EC210" s="229">
        <v>3.3500000000000002E-2</v>
      </c>
      <c r="ED210" s="228">
        <v>3.56</v>
      </c>
      <c r="EE210" s="229">
        <v>5.1999999999999998E-3</v>
      </c>
      <c r="EF210" s="230">
        <v>831567</v>
      </c>
      <c r="EG210" s="230">
        <v>1162913</v>
      </c>
      <c r="EH210" s="229">
        <v>-0.28489999999999999</v>
      </c>
      <c r="EI210" s="229">
        <v>0.6411</v>
      </c>
      <c r="EJ210" s="231">
        <v>53520.86</v>
      </c>
      <c r="EK210" s="231">
        <v>29654.39</v>
      </c>
      <c r="EL210" s="231">
        <v>25696.720000000001</v>
      </c>
      <c r="EM210" s="231">
        <v>1856</v>
      </c>
      <c r="EN210" s="231">
        <v>108871.97</v>
      </c>
      <c r="EO210" s="231">
        <v>88169.07</v>
      </c>
      <c r="EP210" s="231">
        <v>20702.900000000001</v>
      </c>
      <c r="EQ210" s="229">
        <v>0.23480000000000001</v>
      </c>
      <c r="ER210" s="231">
        <v>63041</v>
      </c>
      <c r="ES210" s="231">
        <v>36782</v>
      </c>
      <c r="ET210" s="231">
        <v>230157</v>
      </c>
      <c r="EU210" s="231">
        <v>82588393</v>
      </c>
      <c r="EV210" s="231">
        <v>329980</v>
      </c>
      <c r="EW210" s="231">
        <v>328763</v>
      </c>
      <c r="EX210" s="231">
        <v>1217</v>
      </c>
      <c r="EY210" s="229">
        <v>3.7000000000000002E-3</v>
      </c>
      <c r="EZ210" s="229">
        <v>0.58479999999999999</v>
      </c>
      <c r="FA210" s="227" t="s">
        <v>556</v>
      </c>
      <c r="FB210" s="161">
        <f t="shared" si="5"/>
        <v>0</v>
      </c>
    </row>
    <row r="211" spans="1:158" ht="17.25" thickBot="1" x14ac:dyDescent="0.3">
      <c r="A211" s="226">
        <v>45946</v>
      </c>
      <c r="B211" s="227" t="s">
        <v>168</v>
      </c>
      <c r="C211" s="227" t="s">
        <v>586</v>
      </c>
      <c r="D211" s="228">
        <v>1025</v>
      </c>
      <c r="E211" s="228">
        <v>461.85</v>
      </c>
      <c r="F211" s="228">
        <v>446.05</v>
      </c>
      <c r="G211" s="228">
        <v>15.8</v>
      </c>
      <c r="H211" s="229">
        <v>3.5400000000000001E-2</v>
      </c>
      <c r="I211" s="228">
        <v>461.3</v>
      </c>
      <c r="J211" s="228">
        <v>445.35</v>
      </c>
      <c r="K211" s="228">
        <v>15.95</v>
      </c>
      <c r="L211" s="229">
        <v>3.5799999999999998E-2</v>
      </c>
      <c r="M211" s="228">
        <v>461.85</v>
      </c>
      <c r="N211" s="228">
        <v>446.05</v>
      </c>
      <c r="O211" s="228">
        <v>15.8</v>
      </c>
      <c r="P211" s="229">
        <v>3.5400000000000001E-2</v>
      </c>
      <c r="Q211" s="228">
        <v>464.45</v>
      </c>
      <c r="R211" s="228">
        <v>448.45</v>
      </c>
      <c r="S211" s="228">
        <v>16</v>
      </c>
      <c r="T211" s="229">
        <v>3.5700000000000003E-2</v>
      </c>
      <c r="U211" s="228">
        <v>467.05</v>
      </c>
      <c r="V211" s="228">
        <v>450.5</v>
      </c>
      <c r="W211" s="228">
        <v>16.55</v>
      </c>
      <c r="X211" s="229">
        <v>3.6700000000000003E-2</v>
      </c>
      <c r="Y211" s="228">
        <v>0.55000000000000004</v>
      </c>
      <c r="Z211" s="228">
        <v>0.7</v>
      </c>
      <c r="AA211" s="228">
        <v>-0.15</v>
      </c>
      <c r="AB211" s="229">
        <v>1.1999999999999999E-3</v>
      </c>
      <c r="AC211" s="228">
        <v>0.55000000000000004</v>
      </c>
      <c r="AD211" s="228">
        <v>0.7</v>
      </c>
      <c r="AE211" s="228">
        <v>-0.15</v>
      </c>
      <c r="AF211" s="229">
        <v>1.1999999999999999E-3</v>
      </c>
      <c r="AG211" s="228">
        <v>3.15</v>
      </c>
      <c r="AH211" s="228">
        <v>3.1</v>
      </c>
      <c r="AI211" s="228">
        <v>0.05</v>
      </c>
      <c r="AJ211" s="229">
        <v>6.7999999999999996E-3</v>
      </c>
      <c r="AK211" s="228">
        <v>5.75</v>
      </c>
      <c r="AL211" s="228">
        <v>5.15</v>
      </c>
      <c r="AM211" s="228">
        <v>0.6</v>
      </c>
      <c r="AN211" s="229">
        <v>1.2500000000000001E-2</v>
      </c>
      <c r="AO211" s="228">
        <v>458.4</v>
      </c>
      <c r="AP211" s="228">
        <v>461.3</v>
      </c>
      <c r="AQ211" s="228">
        <v>0</v>
      </c>
      <c r="AR211" s="230">
        <v>12051950</v>
      </c>
      <c r="AS211" s="230">
        <v>2467175</v>
      </c>
      <c r="AT211" s="230">
        <v>9584775</v>
      </c>
      <c r="AU211" s="229">
        <v>3.8849</v>
      </c>
      <c r="AV211" s="230">
        <v>10170050</v>
      </c>
      <c r="AW211" s="230">
        <v>2247825</v>
      </c>
      <c r="AX211" s="230">
        <v>7922225</v>
      </c>
      <c r="AY211" s="229">
        <v>3.5244</v>
      </c>
      <c r="AZ211" s="230">
        <v>1782475</v>
      </c>
      <c r="BA211" s="230">
        <v>202950</v>
      </c>
      <c r="BB211" s="230">
        <v>1579525</v>
      </c>
      <c r="BC211" s="229">
        <v>7.7827999999999999</v>
      </c>
      <c r="BD211" s="230">
        <v>99425</v>
      </c>
      <c r="BE211" s="230">
        <v>16400</v>
      </c>
      <c r="BF211" s="230">
        <v>83025</v>
      </c>
      <c r="BG211" s="229">
        <v>5.0625</v>
      </c>
      <c r="BH211" s="230">
        <v>44716650</v>
      </c>
      <c r="BI211" s="230">
        <v>6212525</v>
      </c>
      <c r="BJ211" s="230">
        <v>38504125</v>
      </c>
      <c r="BK211" s="229">
        <v>6.1978</v>
      </c>
      <c r="BL211" s="230">
        <v>17951850</v>
      </c>
      <c r="BM211" s="230">
        <v>2317525</v>
      </c>
      <c r="BN211" s="230">
        <v>15634325</v>
      </c>
      <c r="BO211" s="229">
        <v>6.7461000000000002</v>
      </c>
      <c r="BP211" s="230">
        <v>74720450</v>
      </c>
      <c r="BQ211" s="230">
        <v>10997225</v>
      </c>
      <c r="BR211" s="230">
        <v>63723225</v>
      </c>
      <c r="BS211" s="229">
        <v>5.7945000000000002</v>
      </c>
      <c r="BT211" s="230">
        <v>8749680</v>
      </c>
      <c r="BU211" s="230">
        <v>2120725</v>
      </c>
      <c r="BV211" s="230">
        <v>6628955</v>
      </c>
      <c r="BW211" s="229">
        <v>3.1257999999999999</v>
      </c>
      <c r="BX211" s="230">
        <v>41138375</v>
      </c>
      <c r="BY211" s="230">
        <v>42422700</v>
      </c>
      <c r="BZ211" s="230">
        <v>-1284325</v>
      </c>
      <c r="CA211" s="229">
        <v>-3.0300000000000001E-2</v>
      </c>
      <c r="CB211" s="230">
        <v>38894650</v>
      </c>
      <c r="CC211" s="230">
        <v>40757075</v>
      </c>
      <c r="CD211" s="230">
        <v>-1862425</v>
      </c>
      <c r="CE211" s="229">
        <v>-4.5699999999999998E-2</v>
      </c>
      <c r="CF211" s="230">
        <v>2073575</v>
      </c>
      <c r="CG211" s="230">
        <v>1486250</v>
      </c>
      <c r="CH211" s="230">
        <v>587325</v>
      </c>
      <c r="CI211" s="229">
        <v>0.3952</v>
      </c>
      <c r="CJ211" s="230">
        <v>170150</v>
      </c>
      <c r="CK211" s="230">
        <v>179375</v>
      </c>
      <c r="CL211" s="230">
        <v>-9225</v>
      </c>
      <c r="CM211" s="229">
        <v>-5.1400000000000001E-2</v>
      </c>
      <c r="CN211" s="230">
        <v>11908450</v>
      </c>
      <c r="CO211" s="230">
        <v>12438375</v>
      </c>
      <c r="CP211" s="230">
        <v>-529925</v>
      </c>
      <c r="CQ211" s="229">
        <v>-4.2599999999999999E-2</v>
      </c>
      <c r="CR211" s="230">
        <v>7150400</v>
      </c>
      <c r="CS211" s="230">
        <v>6538475</v>
      </c>
      <c r="CT211" s="230">
        <v>611925</v>
      </c>
      <c r="CU211" s="229">
        <v>9.3600000000000003E-2</v>
      </c>
      <c r="CV211" s="230">
        <v>60197225</v>
      </c>
      <c r="CW211" s="230">
        <v>61399550</v>
      </c>
      <c r="CX211" s="230">
        <v>-1202325</v>
      </c>
      <c r="CY211" s="229">
        <v>-1.9599999999999999E-2</v>
      </c>
      <c r="CZ211" s="228">
        <v>27.84</v>
      </c>
      <c r="DA211" s="228">
        <v>29.63</v>
      </c>
      <c r="DB211" s="228">
        <v>-1.79</v>
      </c>
      <c r="DC211" s="228">
        <v>-1.79</v>
      </c>
      <c r="DD211" s="228">
        <v>38.42</v>
      </c>
      <c r="DE211" s="228">
        <v>38.22</v>
      </c>
      <c r="DF211" s="228">
        <v>-10.58</v>
      </c>
      <c r="DG211" s="228">
        <v>0.2</v>
      </c>
      <c r="DH211" s="228">
        <v>27.71</v>
      </c>
      <c r="DI211" s="228">
        <v>29.86</v>
      </c>
      <c r="DJ211" s="228">
        <v>-2.15</v>
      </c>
      <c r="DK211" s="228">
        <v>-2.15</v>
      </c>
      <c r="DL211" s="228">
        <v>28.14</v>
      </c>
      <c r="DM211" s="228">
        <v>29.02</v>
      </c>
      <c r="DN211" s="228">
        <v>-0.88</v>
      </c>
      <c r="DO211" s="228">
        <v>-0.88</v>
      </c>
      <c r="DP211" s="228">
        <v>0.6</v>
      </c>
      <c r="DQ211" s="228">
        <v>0.53</v>
      </c>
      <c r="DR211" s="228">
        <v>7.0000000000000007E-2</v>
      </c>
      <c r="DS211" s="229">
        <v>0.1321</v>
      </c>
      <c r="DT211" s="228">
        <v>500</v>
      </c>
      <c r="DU211" s="228">
        <v>450</v>
      </c>
      <c r="DV211" s="228">
        <v>0.4</v>
      </c>
      <c r="DW211" s="228">
        <v>0.37</v>
      </c>
      <c r="DX211" s="228">
        <v>0.03</v>
      </c>
      <c r="DY211" s="229">
        <v>8.1100000000000005E-2</v>
      </c>
      <c r="DZ211" s="229">
        <v>5.45E-2</v>
      </c>
      <c r="EA211" s="230">
        <v>1665625</v>
      </c>
      <c r="EB211" s="229">
        <v>5.5999999999999999E-3</v>
      </c>
      <c r="EC211" s="229">
        <v>5.45E-2</v>
      </c>
      <c r="ED211" s="228">
        <v>2.9</v>
      </c>
      <c r="EE211" s="229">
        <v>6.3E-3</v>
      </c>
      <c r="EF211" s="230">
        <v>3691474</v>
      </c>
      <c r="EG211" s="230">
        <v>1210271</v>
      </c>
      <c r="EH211" s="229">
        <v>2.0501</v>
      </c>
      <c r="EI211" s="229">
        <v>0.4219</v>
      </c>
      <c r="EJ211" s="231">
        <v>211804.69</v>
      </c>
      <c r="EK211" s="231">
        <v>81284.600000000006</v>
      </c>
      <c r="EL211" s="231">
        <v>55302.21</v>
      </c>
      <c r="EM211" s="231">
        <v>3525</v>
      </c>
      <c r="EN211" s="231">
        <v>348391.5</v>
      </c>
      <c r="EO211" s="231">
        <v>50308.08</v>
      </c>
      <c r="EP211" s="231">
        <v>298083.42</v>
      </c>
      <c r="EQ211" s="229">
        <v>5.9252000000000002</v>
      </c>
      <c r="ER211" s="231">
        <v>56952</v>
      </c>
      <c r="ES211" s="231">
        <v>31468</v>
      </c>
      <c r="ET211" s="231">
        <v>190060</v>
      </c>
      <c r="EU211" s="231">
        <v>203804339</v>
      </c>
      <c r="EV211" s="231">
        <v>278481</v>
      </c>
      <c r="EW211" s="231">
        <v>277097</v>
      </c>
      <c r="EX211" s="231">
        <v>1384</v>
      </c>
      <c r="EY211" s="229">
        <v>5.0000000000000001E-3</v>
      </c>
      <c r="EZ211" s="229">
        <v>0.2954</v>
      </c>
      <c r="FA211" s="227" t="s">
        <v>556</v>
      </c>
      <c r="FB211" s="161">
        <f t="shared" si="5"/>
        <v>0</v>
      </c>
    </row>
    <row r="212" spans="1:158" ht="17.25" thickBot="1" x14ac:dyDescent="0.3">
      <c r="A212" s="226">
        <v>45946</v>
      </c>
      <c r="B212" s="227" t="s">
        <v>227</v>
      </c>
      <c r="C212" s="227" t="s">
        <v>304</v>
      </c>
      <c r="D212" s="228">
        <v>1150</v>
      </c>
      <c r="E212" s="228">
        <v>480.25</v>
      </c>
      <c r="F212" s="228">
        <v>483.5</v>
      </c>
      <c r="G212" s="228">
        <v>-3.25</v>
      </c>
      <c r="H212" s="229">
        <v>-6.7000000000000002E-3</v>
      </c>
      <c r="I212" s="228">
        <v>479.1</v>
      </c>
      <c r="J212" s="228">
        <v>483.05</v>
      </c>
      <c r="K212" s="228">
        <v>-3.95</v>
      </c>
      <c r="L212" s="229">
        <v>-8.2000000000000007E-3</v>
      </c>
      <c r="M212" s="228">
        <v>480.25</v>
      </c>
      <c r="N212" s="228">
        <v>483.5</v>
      </c>
      <c r="O212" s="228">
        <v>-3.25</v>
      </c>
      <c r="P212" s="229">
        <v>-6.7000000000000002E-3</v>
      </c>
      <c r="Q212" s="228">
        <v>482.75</v>
      </c>
      <c r="R212" s="228">
        <v>486.05</v>
      </c>
      <c r="S212" s="228">
        <v>-3.3</v>
      </c>
      <c r="T212" s="229">
        <v>-6.7999999999999996E-3</v>
      </c>
      <c r="U212" s="228">
        <v>484.85</v>
      </c>
      <c r="V212" s="228">
        <v>487.65</v>
      </c>
      <c r="W212" s="228">
        <v>-2.8</v>
      </c>
      <c r="X212" s="229">
        <v>-5.7000000000000002E-3</v>
      </c>
      <c r="Y212" s="228">
        <v>1.1499999999999999</v>
      </c>
      <c r="Z212" s="228">
        <v>0.45</v>
      </c>
      <c r="AA212" s="228">
        <v>0.7</v>
      </c>
      <c r="AB212" s="229">
        <v>2.3999999999999998E-3</v>
      </c>
      <c r="AC212" s="228">
        <v>1.1499999999999999</v>
      </c>
      <c r="AD212" s="228">
        <v>0.45</v>
      </c>
      <c r="AE212" s="228">
        <v>0.7</v>
      </c>
      <c r="AF212" s="229">
        <v>2.3999999999999998E-3</v>
      </c>
      <c r="AG212" s="228">
        <v>3.65</v>
      </c>
      <c r="AH212" s="228">
        <v>3</v>
      </c>
      <c r="AI212" s="228">
        <v>0.65</v>
      </c>
      <c r="AJ212" s="229">
        <v>7.6E-3</v>
      </c>
      <c r="AK212" s="228">
        <v>5.75</v>
      </c>
      <c r="AL212" s="228">
        <v>4.5999999999999996</v>
      </c>
      <c r="AM212" s="228">
        <v>1.1499999999999999</v>
      </c>
      <c r="AN212" s="229">
        <v>1.2E-2</v>
      </c>
      <c r="AO212" s="228">
        <v>479.3</v>
      </c>
      <c r="AP212" s="228">
        <v>481.74</v>
      </c>
      <c r="AQ212" s="228">
        <v>0</v>
      </c>
      <c r="AR212" s="230">
        <v>11961150</v>
      </c>
      <c r="AS212" s="230">
        <v>11617300</v>
      </c>
      <c r="AT212" s="230">
        <v>343850</v>
      </c>
      <c r="AU212" s="229">
        <v>2.9600000000000001E-2</v>
      </c>
      <c r="AV212" s="230">
        <v>10582300</v>
      </c>
      <c r="AW212" s="230">
        <v>10266050</v>
      </c>
      <c r="AX212" s="230">
        <v>316250</v>
      </c>
      <c r="AY212" s="229">
        <v>3.0800000000000001E-2</v>
      </c>
      <c r="AZ212" s="230">
        <v>1281100</v>
      </c>
      <c r="BA212" s="230">
        <v>1098250</v>
      </c>
      <c r="BB212" s="230">
        <v>182850</v>
      </c>
      <c r="BC212" s="229">
        <v>0.16650000000000001</v>
      </c>
      <c r="BD212" s="230">
        <v>97750</v>
      </c>
      <c r="BE212" s="230">
        <v>253000</v>
      </c>
      <c r="BF212" s="230">
        <v>-155250</v>
      </c>
      <c r="BG212" s="229">
        <v>-0.61360000000000003</v>
      </c>
      <c r="BH212" s="230">
        <v>33323550</v>
      </c>
      <c r="BI212" s="230">
        <v>37223200</v>
      </c>
      <c r="BJ212" s="230">
        <v>-3899650</v>
      </c>
      <c r="BK212" s="229">
        <v>-0.1048</v>
      </c>
      <c r="BL212" s="230">
        <v>16017200</v>
      </c>
      <c r="BM212" s="230">
        <v>24491550</v>
      </c>
      <c r="BN212" s="230">
        <v>-8474350</v>
      </c>
      <c r="BO212" s="229">
        <v>-0.34599999999999997</v>
      </c>
      <c r="BP212" s="230">
        <v>61301900</v>
      </c>
      <c r="BQ212" s="230">
        <v>73332050</v>
      </c>
      <c r="BR212" s="230">
        <v>-12030150</v>
      </c>
      <c r="BS212" s="229">
        <v>-0.1641</v>
      </c>
      <c r="BT212" s="230">
        <v>5421608</v>
      </c>
      <c r="BU212" s="230">
        <v>8162631</v>
      </c>
      <c r="BV212" s="230">
        <v>-2741023</v>
      </c>
      <c r="BW212" s="229">
        <v>-0.33579999999999999</v>
      </c>
      <c r="BX212" s="230">
        <v>99172550</v>
      </c>
      <c r="BY212" s="230">
        <v>99855650</v>
      </c>
      <c r="BZ212" s="230">
        <v>-683100</v>
      </c>
      <c r="CA212" s="229">
        <v>-6.7999999999999996E-3</v>
      </c>
      <c r="CB212" s="230">
        <v>94968150</v>
      </c>
      <c r="CC212" s="230">
        <v>96190600</v>
      </c>
      <c r="CD212" s="230">
        <v>-1222450</v>
      </c>
      <c r="CE212" s="229">
        <v>-1.2699999999999999E-2</v>
      </c>
      <c r="CF212" s="230">
        <v>3552350</v>
      </c>
      <c r="CG212" s="230">
        <v>3029100</v>
      </c>
      <c r="CH212" s="230">
        <v>523250</v>
      </c>
      <c r="CI212" s="229">
        <v>0.17269999999999999</v>
      </c>
      <c r="CJ212" s="230">
        <v>652050</v>
      </c>
      <c r="CK212" s="230">
        <v>635950</v>
      </c>
      <c r="CL212" s="230">
        <v>16100</v>
      </c>
      <c r="CM212" s="229">
        <v>2.53E-2</v>
      </c>
      <c r="CN212" s="230">
        <v>30319750</v>
      </c>
      <c r="CO212" s="230">
        <v>28985750</v>
      </c>
      <c r="CP212" s="230">
        <v>1334000</v>
      </c>
      <c r="CQ212" s="229">
        <v>4.5999999999999999E-2</v>
      </c>
      <c r="CR212" s="230">
        <v>24014300</v>
      </c>
      <c r="CS212" s="230">
        <v>24025800</v>
      </c>
      <c r="CT212" s="230">
        <v>-11500</v>
      </c>
      <c r="CU212" s="229">
        <v>-5.0000000000000001E-4</v>
      </c>
      <c r="CV212" s="230">
        <v>153506600</v>
      </c>
      <c r="CW212" s="230">
        <v>152867200</v>
      </c>
      <c r="CX212" s="230">
        <v>639400</v>
      </c>
      <c r="CY212" s="229">
        <v>4.1999999999999997E-3</v>
      </c>
      <c r="CZ212" s="228">
        <v>27.92</v>
      </c>
      <c r="DA212" s="228">
        <v>29.65</v>
      </c>
      <c r="DB212" s="228">
        <v>-1.73</v>
      </c>
      <c r="DC212" s="228">
        <v>-1.73</v>
      </c>
      <c r="DD212" s="228">
        <v>38.25</v>
      </c>
      <c r="DE212" s="228">
        <v>38.33</v>
      </c>
      <c r="DF212" s="228">
        <v>-10.33</v>
      </c>
      <c r="DG212" s="228">
        <v>-0.08</v>
      </c>
      <c r="DH212" s="228">
        <v>27.63</v>
      </c>
      <c r="DI212" s="228">
        <v>28.99</v>
      </c>
      <c r="DJ212" s="228">
        <v>-1.36</v>
      </c>
      <c r="DK212" s="228">
        <v>-1.36</v>
      </c>
      <c r="DL212" s="228">
        <v>28.53</v>
      </c>
      <c r="DM212" s="228">
        <v>30.66</v>
      </c>
      <c r="DN212" s="228">
        <v>-2.13</v>
      </c>
      <c r="DO212" s="228">
        <v>-2.13</v>
      </c>
      <c r="DP212" s="228">
        <v>0.79</v>
      </c>
      <c r="DQ212" s="228">
        <v>0.83</v>
      </c>
      <c r="DR212" s="228">
        <v>-0.04</v>
      </c>
      <c r="DS212" s="229">
        <v>-4.82E-2</v>
      </c>
      <c r="DT212" s="228">
        <v>500</v>
      </c>
      <c r="DU212" s="228">
        <v>480</v>
      </c>
      <c r="DV212" s="228">
        <v>0.48</v>
      </c>
      <c r="DW212" s="228">
        <v>0.66</v>
      </c>
      <c r="DX212" s="228">
        <v>-0.18</v>
      </c>
      <c r="DY212" s="229">
        <v>-0.2727</v>
      </c>
      <c r="DZ212" s="229">
        <v>4.24E-2</v>
      </c>
      <c r="EA212" s="230">
        <v>3665050</v>
      </c>
      <c r="EB212" s="229">
        <v>5.1999999999999998E-3</v>
      </c>
      <c r="EC212" s="229">
        <v>4.24E-2</v>
      </c>
      <c r="ED212" s="228">
        <v>2.44</v>
      </c>
      <c r="EE212" s="229">
        <v>5.1000000000000004E-3</v>
      </c>
      <c r="EF212" s="230">
        <v>1958392</v>
      </c>
      <c r="EG212" s="230">
        <v>4240005</v>
      </c>
      <c r="EH212" s="229">
        <v>-0.53810000000000002</v>
      </c>
      <c r="EI212" s="229">
        <v>0.36120000000000002</v>
      </c>
      <c r="EJ212" s="231">
        <v>166300.13</v>
      </c>
      <c r="EK212" s="231">
        <v>76029.710000000006</v>
      </c>
      <c r="EL212" s="231">
        <v>57365.63</v>
      </c>
      <c r="EM212" s="231">
        <v>14517</v>
      </c>
      <c r="EN212" s="231">
        <v>299695.46999999997</v>
      </c>
      <c r="EO212" s="231">
        <v>359122.62</v>
      </c>
      <c r="EP212" s="231">
        <v>-59427.15</v>
      </c>
      <c r="EQ212" s="229">
        <v>-0.16550000000000001</v>
      </c>
      <c r="ER212" s="231">
        <v>149428</v>
      </c>
      <c r="ES212" s="231">
        <v>108596</v>
      </c>
      <c r="ET212" s="231">
        <v>476395</v>
      </c>
      <c r="EU212" s="231">
        <v>255091106</v>
      </c>
      <c r="EV212" s="231">
        <v>734419</v>
      </c>
      <c r="EW212" s="231">
        <v>734333</v>
      </c>
      <c r="EX212" s="228">
        <v>86</v>
      </c>
      <c r="EY212" s="229">
        <v>1E-4</v>
      </c>
      <c r="EZ212" s="229">
        <v>0.6018</v>
      </c>
      <c r="FA212" s="227" t="s">
        <v>568</v>
      </c>
      <c r="FB212" s="161">
        <f t="shared" si="5"/>
        <v>0</v>
      </c>
    </row>
    <row r="213" spans="1:158" ht="17.25" thickBot="1" x14ac:dyDescent="0.3">
      <c r="A213" s="226">
        <v>45946</v>
      </c>
      <c r="B213" s="227" t="s">
        <v>184</v>
      </c>
      <c r="C213" s="227" t="s">
        <v>305</v>
      </c>
      <c r="D213" s="228">
        <v>375</v>
      </c>
      <c r="E213" s="231">
        <v>1406.6</v>
      </c>
      <c r="F213" s="231">
        <v>1398.2</v>
      </c>
      <c r="G213" s="228">
        <v>8.4</v>
      </c>
      <c r="H213" s="229">
        <v>6.0000000000000001E-3</v>
      </c>
      <c r="I213" s="231">
        <v>1415.6</v>
      </c>
      <c r="J213" s="231">
        <v>1412.1</v>
      </c>
      <c r="K213" s="228">
        <v>3.5</v>
      </c>
      <c r="L213" s="229">
        <v>2.5000000000000001E-3</v>
      </c>
      <c r="M213" s="231">
        <v>1406.6</v>
      </c>
      <c r="N213" s="231">
        <v>1398.2</v>
      </c>
      <c r="O213" s="228">
        <v>8.4</v>
      </c>
      <c r="P213" s="229">
        <v>6.0000000000000001E-3</v>
      </c>
      <c r="Q213" s="231">
        <v>1386.3</v>
      </c>
      <c r="R213" s="231">
        <v>1379.6</v>
      </c>
      <c r="S213" s="228">
        <v>6.7</v>
      </c>
      <c r="T213" s="229">
        <v>4.8999999999999998E-3</v>
      </c>
      <c r="U213" s="231">
        <v>1373</v>
      </c>
      <c r="V213" s="231">
        <v>1368.4</v>
      </c>
      <c r="W213" s="228">
        <v>4.5999999999999996</v>
      </c>
      <c r="X213" s="229">
        <v>3.3999999999999998E-3</v>
      </c>
      <c r="Y213" s="228">
        <v>-9</v>
      </c>
      <c r="Z213" s="228">
        <v>-13.9</v>
      </c>
      <c r="AA213" s="228">
        <v>4.9000000000000004</v>
      </c>
      <c r="AB213" s="229">
        <v>-6.4000000000000003E-3</v>
      </c>
      <c r="AC213" s="228">
        <v>-9</v>
      </c>
      <c r="AD213" s="228">
        <v>-13.9</v>
      </c>
      <c r="AE213" s="228">
        <v>4.9000000000000004</v>
      </c>
      <c r="AF213" s="229">
        <v>-6.4000000000000003E-3</v>
      </c>
      <c r="AG213" s="228">
        <v>-29.3</v>
      </c>
      <c r="AH213" s="228">
        <v>-32.5</v>
      </c>
      <c r="AI213" s="228">
        <v>3.2</v>
      </c>
      <c r="AJ213" s="229">
        <v>-2.07E-2</v>
      </c>
      <c r="AK213" s="228">
        <v>-42.6</v>
      </c>
      <c r="AL213" s="228">
        <v>-43.7</v>
      </c>
      <c r="AM213" s="228">
        <v>1.1000000000000001</v>
      </c>
      <c r="AN213" s="229">
        <v>-3.0099999999999998E-2</v>
      </c>
      <c r="AO213" s="231">
        <v>1405.08</v>
      </c>
      <c r="AP213" s="231">
        <v>1383.88</v>
      </c>
      <c r="AQ213" s="228">
        <v>0</v>
      </c>
      <c r="AR213" s="230">
        <v>2183625</v>
      </c>
      <c r="AS213" s="230">
        <v>2047875</v>
      </c>
      <c r="AT213" s="230">
        <v>135750</v>
      </c>
      <c r="AU213" s="229">
        <v>6.6299999999999998E-2</v>
      </c>
      <c r="AV213" s="230">
        <v>1473375</v>
      </c>
      <c r="AW213" s="230">
        <v>1547625</v>
      </c>
      <c r="AX213" s="230">
        <v>-74250</v>
      </c>
      <c r="AY213" s="229">
        <v>-4.8000000000000001E-2</v>
      </c>
      <c r="AZ213" s="230">
        <v>705750</v>
      </c>
      <c r="BA213" s="230">
        <v>492750</v>
      </c>
      <c r="BB213" s="230">
        <v>213000</v>
      </c>
      <c r="BC213" s="229">
        <v>0.43230000000000002</v>
      </c>
      <c r="BD213" s="230">
        <v>4500</v>
      </c>
      <c r="BE213" s="230">
        <v>7500</v>
      </c>
      <c r="BF213" s="230">
        <v>-3000</v>
      </c>
      <c r="BG213" s="229">
        <v>-0.4</v>
      </c>
      <c r="BH213" s="230">
        <v>3528000</v>
      </c>
      <c r="BI213" s="230">
        <v>6489000</v>
      </c>
      <c r="BJ213" s="230">
        <v>-2961000</v>
      </c>
      <c r="BK213" s="229">
        <v>-0.45629999999999998</v>
      </c>
      <c r="BL213" s="230">
        <v>1843125</v>
      </c>
      <c r="BM213" s="230">
        <v>2199750</v>
      </c>
      <c r="BN213" s="230">
        <v>-356625</v>
      </c>
      <c r="BO213" s="229">
        <v>-0.16209999999999999</v>
      </c>
      <c r="BP213" s="230">
        <v>7554750</v>
      </c>
      <c r="BQ213" s="230">
        <v>10736625</v>
      </c>
      <c r="BR213" s="230">
        <v>-3181875</v>
      </c>
      <c r="BS213" s="229">
        <v>-0.2964</v>
      </c>
      <c r="BT213" s="230">
        <v>928917</v>
      </c>
      <c r="BU213" s="230">
        <v>1058117</v>
      </c>
      <c r="BV213" s="230">
        <v>-129200</v>
      </c>
      <c r="BW213" s="229">
        <v>-0.1221</v>
      </c>
      <c r="BX213" s="230">
        <v>14043750</v>
      </c>
      <c r="BY213" s="230">
        <v>13683000</v>
      </c>
      <c r="BZ213" s="230">
        <v>360750</v>
      </c>
      <c r="CA213" s="229">
        <v>2.64E-2</v>
      </c>
      <c r="CB213" s="230">
        <v>12251625</v>
      </c>
      <c r="CC213" s="230">
        <v>12292125</v>
      </c>
      <c r="CD213" s="230">
        <v>-40500</v>
      </c>
      <c r="CE213" s="229">
        <v>-3.3E-3</v>
      </c>
      <c r="CF213" s="230">
        <v>1734375</v>
      </c>
      <c r="CG213" s="230">
        <v>1333875</v>
      </c>
      <c r="CH213" s="230">
        <v>400500</v>
      </c>
      <c r="CI213" s="229">
        <v>0.30030000000000001</v>
      </c>
      <c r="CJ213" s="230">
        <v>57750</v>
      </c>
      <c r="CK213" s="230">
        <v>57000</v>
      </c>
      <c r="CL213" s="228">
        <v>750</v>
      </c>
      <c r="CM213" s="229">
        <v>1.32E-2</v>
      </c>
      <c r="CN213" s="230">
        <v>2988375</v>
      </c>
      <c r="CO213" s="230">
        <v>3273375</v>
      </c>
      <c r="CP213" s="230">
        <v>-285000</v>
      </c>
      <c r="CQ213" s="229">
        <v>-8.7099999999999997E-2</v>
      </c>
      <c r="CR213" s="230">
        <v>2623500</v>
      </c>
      <c r="CS213" s="230">
        <v>2714250</v>
      </c>
      <c r="CT213" s="230">
        <v>-90750</v>
      </c>
      <c r="CU213" s="229">
        <v>-3.3399999999999999E-2</v>
      </c>
      <c r="CV213" s="230">
        <v>19655625</v>
      </c>
      <c r="CW213" s="230">
        <v>19670625</v>
      </c>
      <c r="CX213" s="230">
        <v>-15000</v>
      </c>
      <c r="CY213" s="229">
        <v>-8.0000000000000004E-4</v>
      </c>
      <c r="CZ213" s="228">
        <v>24.29</v>
      </c>
      <c r="DA213" s="228">
        <v>27</v>
      </c>
      <c r="DB213" s="228">
        <v>-2.71</v>
      </c>
      <c r="DC213" s="228">
        <v>-2.71</v>
      </c>
      <c r="DD213" s="228">
        <v>38.03</v>
      </c>
      <c r="DE213" s="228">
        <v>38.119999999999997</v>
      </c>
      <c r="DF213" s="228">
        <v>-13.74</v>
      </c>
      <c r="DG213" s="228">
        <v>-0.09</v>
      </c>
      <c r="DH213" s="228">
        <v>23.72</v>
      </c>
      <c r="DI213" s="228">
        <v>26.89</v>
      </c>
      <c r="DJ213" s="228">
        <v>-3.17</v>
      </c>
      <c r="DK213" s="228">
        <v>-3.17</v>
      </c>
      <c r="DL213" s="228">
        <v>25.39</v>
      </c>
      <c r="DM213" s="228">
        <v>27.34</v>
      </c>
      <c r="DN213" s="228">
        <v>-1.95</v>
      </c>
      <c r="DO213" s="228">
        <v>-1.95</v>
      </c>
      <c r="DP213" s="228">
        <v>0.88</v>
      </c>
      <c r="DQ213" s="228">
        <v>0.83</v>
      </c>
      <c r="DR213" s="228">
        <v>0.05</v>
      </c>
      <c r="DS213" s="229">
        <v>6.0199999999999997E-2</v>
      </c>
      <c r="DT213" s="231">
        <v>1400</v>
      </c>
      <c r="DU213" s="231">
        <v>1300</v>
      </c>
      <c r="DV213" s="228">
        <v>0.52</v>
      </c>
      <c r="DW213" s="228">
        <v>0.34</v>
      </c>
      <c r="DX213" s="228">
        <v>0.18</v>
      </c>
      <c r="DY213" s="229">
        <v>0.52939999999999998</v>
      </c>
      <c r="DZ213" s="229">
        <v>0.12759999999999999</v>
      </c>
      <c r="EA213" s="230">
        <v>1390875</v>
      </c>
      <c r="EB213" s="229">
        <v>-1.44E-2</v>
      </c>
      <c r="EC213" s="229">
        <v>0.12759999999999999</v>
      </c>
      <c r="ED213" s="228">
        <v>-21.2</v>
      </c>
      <c r="EE213" s="229">
        <v>-1.5100000000000001E-2</v>
      </c>
      <c r="EF213" s="230">
        <v>604595</v>
      </c>
      <c r="EG213" s="230">
        <v>586824</v>
      </c>
      <c r="EH213" s="229">
        <v>3.0300000000000001E-2</v>
      </c>
      <c r="EI213" s="229">
        <v>0.65090000000000003</v>
      </c>
      <c r="EJ213" s="231">
        <v>51194.27</v>
      </c>
      <c r="EK213" s="231">
        <v>25495.14</v>
      </c>
      <c r="EL213" s="231">
        <v>30530.67</v>
      </c>
      <c r="EM213" s="231">
        <v>7143</v>
      </c>
      <c r="EN213" s="231">
        <v>107220.08</v>
      </c>
      <c r="EO213" s="231">
        <v>152834.71</v>
      </c>
      <c r="EP213" s="231">
        <v>-45614.63</v>
      </c>
      <c r="EQ213" s="229">
        <v>-0.29849999999999999</v>
      </c>
      <c r="ER213" s="231">
        <v>42994</v>
      </c>
      <c r="ES213" s="231">
        <v>34975</v>
      </c>
      <c r="ET213" s="231">
        <v>197168</v>
      </c>
      <c r="EU213" s="231">
        <v>34594689</v>
      </c>
      <c r="EV213" s="231">
        <v>275137</v>
      </c>
      <c r="EW213" s="231">
        <v>274260</v>
      </c>
      <c r="EX213" s="228">
        <v>877</v>
      </c>
      <c r="EY213" s="229">
        <v>3.2000000000000002E-3</v>
      </c>
      <c r="EZ213" s="229">
        <v>0.56820000000000004</v>
      </c>
      <c r="FA213" s="227" t="s">
        <v>555</v>
      </c>
      <c r="FB213" s="161">
        <f t="shared" si="5"/>
        <v>0</v>
      </c>
    </row>
    <row r="214" spans="1:158" ht="17.25" thickBot="1" x14ac:dyDescent="0.3">
      <c r="A214" s="226">
        <v>45946</v>
      </c>
      <c r="B214" s="227" t="s">
        <v>221</v>
      </c>
      <c r="C214" s="227" t="s">
        <v>306</v>
      </c>
      <c r="D214" s="228">
        <v>3000</v>
      </c>
      <c r="E214" s="228">
        <v>254.52</v>
      </c>
      <c r="F214" s="228">
        <v>250.13</v>
      </c>
      <c r="G214" s="228">
        <v>4.3899999999999997</v>
      </c>
      <c r="H214" s="229">
        <v>1.7600000000000001E-2</v>
      </c>
      <c r="I214" s="228">
        <v>253.81</v>
      </c>
      <c r="J214" s="228">
        <v>250.21</v>
      </c>
      <c r="K214" s="228">
        <v>3.6</v>
      </c>
      <c r="L214" s="229">
        <v>1.44E-2</v>
      </c>
      <c r="M214" s="228">
        <v>254.52</v>
      </c>
      <c r="N214" s="228">
        <v>250.13</v>
      </c>
      <c r="O214" s="228">
        <v>4.3899999999999997</v>
      </c>
      <c r="P214" s="229">
        <v>1.7600000000000001E-2</v>
      </c>
      <c r="Q214" s="228">
        <v>253.58</v>
      </c>
      <c r="R214" s="228">
        <v>249.09</v>
      </c>
      <c r="S214" s="228">
        <v>4.49</v>
      </c>
      <c r="T214" s="229">
        <v>1.7999999999999999E-2</v>
      </c>
      <c r="U214" s="228">
        <v>252.89</v>
      </c>
      <c r="V214" s="228">
        <v>248.57</v>
      </c>
      <c r="W214" s="228">
        <v>4.32</v>
      </c>
      <c r="X214" s="229">
        <v>1.7399999999999999E-2</v>
      </c>
      <c r="Y214" s="228">
        <v>0.71</v>
      </c>
      <c r="Z214" s="228">
        <v>-0.08</v>
      </c>
      <c r="AA214" s="228">
        <v>0.79</v>
      </c>
      <c r="AB214" s="229">
        <v>2.8E-3</v>
      </c>
      <c r="AC214" s="228">
        <v>0.71</v>
      </c>
      <c r="AD214" s="228">
        <v>-0.08</v>
      </c>
      <c r="AE214" s="228">
        <v>0.79</v>
      </c>
      <c r="AF214" s="229">
        <v>2.8E-3</v>
      </c>
      <c r="AG214" s="228">
        <v>-0.23</v>
      </c>
      <c r="AH214" s="228">
        <v>-1.1200000000000001</v>
      </c>
      <c r="AI214" s="228">
        <v>0.89</v>
      </c>
      <c r="AJ214" s="229">
        <v>-8.9999999999999998E-4</v>
      </c>
      <c r="AK214" s="228">
        <v>-0.92</v>
      </c>
      <c r="AL214" s="228">
        <v>-1.64</v>
      </c>
      <c r="AM214" s="228">
        <v>0.72</v>
      </c>
      <c r="AN214" s="229">
        <v>-3.5999999999999999E-3</v>
      </c>
      <c r="AO214" s="228">
        <v>252.83</v>
      </c>
      <c r="AP214" s="228">
        <v>252.09</v>
      </c>
      <c r="AQ214" s="228">
        <v>0</v>
      </c>
      <c r="AR214" s="230">
        <v>34338000</v>
      </c>
      <c r="AS214" s="230">
        <v>33879000</v>
      </c>
      <c r="AT214" s="230">
        <v>459000</v>
      </c>
      <c r="AU214" s="229">
        <v>1.35E-2</v>
      </c>
      <c r="AV214" s="230">
        <v>28476000</v>
      </c>
      <c r="AW214" s="230">
        <v>27945000</v>
      </c>
      <c r="AX214" s="230">
        <v>531000</v>
      </c>
      <c r="AY214" s="229">
        <v>1.9E-2</v>
      </c>
      <c r="AZ214" s="230">
        <v>5421000</v>
      </c>
      <c r="BA214" s="230">
        <v>5685000</v>
      </c>
      <c r="BB214" s="230">
        <v>-264000</v>
      </c>
      <c r="BC214" s="229">
        <v>-4.6399999999999997E-2</v>
      </c>
      <c r="BD214" s="230">
        <v>441000</v>
      </c>
      <c r="BE214" s="230">
        <v>249000</v>
      </c>
      <c r="BF214" s="230">
        <v>192000</v>
      </c>
      <c r="BG214" s="229">
        <v>0.77110000000000001</v>
      </c>
      <c r="BH214" s="230">
        <v>122622000</v>
      </c>
      <c r="BI214" s="230">
        <v>62229000</v>
      </c>
      <c r="BJ214" s="230">
        <v>60393000</v>
      </c>
      <c r="BK214" s="229">
        <v>0.97050000000000003</v>
      </c>
      <c r="BL214" s="230">
        <v>78081000</v>
      </c>
      <c r="BM214" s="230">
        <v>43866000</v>
      </c>
      <c r="BN214" s="230">
        <v>34215000</v>
      </c>
      <c r="BO214" s="229">
        <v>0.78</v>
      </c>
      <c r="BP214" s="230">
        <v>235041000</v>
      </c>
      <c r="BQ214" s="230">
        <v>139974000</v>
      </c>
      <c r="BR214" s="230">
        <v>95067000</v>
      </c>
      <c r="BS214" s="229">
        <v>0.67920000000000003</v>
      </c>
      <c r="BT214" s="230">
        <v>10941116</v>
      </c>
      <c r="BU214" s="230">
        <v>13760010</v>
      </c>
      <c r="BV214" s="230">
        <v>-2818894</v>
      </c>
      <c r="BW214" s="229">
        <v>-0.2049</v>
      </c>
      <c r="BX214" s="230">
        <v>158364000</v>
      </c>
      <c r="BY214" s="230">
        <v>155340000</v>
      </c>
      <c r="BZ214" s="230">
        <v>3024000</v>
      </c>
      <c r="CA214" s="229">
        <v>1.95E-2</v>
      </c>
      <c r="CB214" s="230">
        <v>135543000</v>
      </c>
      <c r="CC214" s="230">
        <v>134352000</v>
      </c>
      <c r="CD214" s="230">
        <v>1191000</v>
      </c>
      <c r="CE214" s="229">
        <v>8.8999999999999999E-3</v>
      </c>
      <c r="CF214" s="230">
        <v>21861000</v>
      </c>
      <c r="CG214" s="230">
        <v>20076000</v>
      </c>
      <c r="CH214" s="230">
        <v>1785000</v>
      </c>
      <c r="CI214" s="229">
        <v>8.8900000000000007E-2</v>
      </c>
      <c r="CJ214" s="230">
        <v>960000</v>
      </c>
      <c r="CK214" s="230">
        <v>912000</v>
      </c>
      <c r="CL214" s="230">
        <v>48000</v>
      </c>
      <c r="CM214" s="229">
        <v>5.2600000000000001E-2</v>
      </c>
      <c r="CN214" s="230">
        <v>48984000</v>
      </c>
      <c r="CO214" s="230">
        <v>40128000</v>
      </c>
      <c r="CP214" s="230">
        <v>8856000</v>
      </c>
      <c r="CQ214" s="229">
        <v>0.22070000000000001</v>
      </c>
      <c r="CR214" s="230">
        <v>44238000</v>
      </c>
      <c r="CS214" s="230">
        <v>35568000</v>
      </c>
      <c r="CT214" s="230">
        <v>8670000</v>
      </c>
      <c r="CU214" s="229">
        <v>0.24379999999999999</v>
      </c>
      <c r="CV214" s="230">
        <v>251586000</v>
      </c>
      <c r="CW214" s="230">
        <v>231036000</v>
      </c>
      <c r="CX214" s="230">
        <v>20550000</v>
      </c>
      <c r="CY214" s="229">
        <v>8.8900000000000007E-2</v>
      </c>
      <c r="CZ214" s="228">
        <v>32.549999999999997</v>
      </c>
      <c r="DA214" s="228">
        <v>32.32</v>
      </c>
      <c r="DB214" s="228">
        <v>0.23</v>
      </c>
      <c r="DC214" s="228">
        <v>0.23</v>
      </c>
      <c r="DD214" s="228">
        <v>30.56</v>
      </c>
      <c r="DE214" s="228">
        <v>30.54</v>
      </c>
      <c r="DF214" s="228">
        <v>1.99</v>
      </c>
      <c r="DG214" s="228">
        <v>0.02</v>
      </c>
      <c r="DH214" s="228">
        <v>31.9</v>
      </c>
      <c r="DI214" s="228">
        <v>32.06</v>
      </c>
      <c r="DJ214" s="228">
        <v>-0.16</v>
      </c>
      <c r="DK214" s="228">
        <v>-0.16</v>
      </c>
      <c r="DL214" s="228">
        <v>33.57</v>
      </c>
      <c r="DM214" s="228">
        <v>32.69</v>
      </c>
      <c r="DN214" s="228">
        <v>0.88</v>
      </c>
      <c r="DO214" s="228">
        <v>0.88</v>
      </c>
      <c r="DP214" s="228">
        <v>0.9</v>
      </c>
      <c r="DQ214" s="228">
        <v>0.89</v>
      </c>
      <c r="DR214" s="228">
        <v>0.01</v>
      </c>
      <c r="DS214" s="229">
        <v>1.12E-2</v>
      </c>
      <c r="DT214" s="228">
        <v>260</v>
      </c>
      <c r="DU214" s="228">
        <v>245</v>
      </c>
      <c r="DV214" s="228">
        <v>0.64</v>
      </c>
      <c r="DW214" s="228">
        <v>0.7</v>
      </c>
      <c r="DX214" s="228">
        <v>-0.06</v>
      </c>
      <c r="DY214" s="229">
        <v>-8.5699999999999998E-2</v>
      </c>
      <c r="DZ214" s="229">
        <v>0.14410000000000001</v>
      </c>
      <c r="EA214" s="230">
        <v>20988000</v>
      </c>
      <c r="EB214" s="229">
        <v>-3.7000000000000002E-3</v>
      </c>
      <c r="EC214" s="229">
        <v>0.14410000000000001</v>
      </c>
      <c r="ED214" s="228">
        <v>-0.74</v>
      </c>
      <c r="EE214" s="229">
        <v>-2.8999999999999998E-3</v>
      </c>
      <c r="EF214" s="230">
        <v>5551772</v>
      </c>
      <c r="EG214" s="230">
        <v>7053511</v>
      </c>
      <c r="EH214" s="229">
        <v>-0.21290000000000001</v>
      </c>
      <c r="EI214" s="229">
        <v>0.50739999999999996</v>
      </c>
      <c r="EJ214" s="231">
        <v>322411.03000000003</v>
      </c>
      <c r="EK214" s="231">
        <v>193331.52</v>
      </c>
      <c r="EL214" s="231">
        <v>86766.88</v>
      </c>
      <c r="EM214" s="231">
        <v>9721</v>
      </c>
      <c r="EN214" s="231">
        <v>602509.43000000005</v>
      </c>
      <c r="EO214" s="231">
        <v>355054.26</v>
      </c>
      <c r="EP214" s="231">
        <v>247455.17</v>
      </c>
      <c r="EQ214" s="229">
        <v>0.69699999999999995</v>
      </c>
      <c r="ER214" s="231">
        <v>127089</v>
      </c>
      <c r="ES214" s="231">
        <v>106184</v>
      </c>
      <c r="ET214" s="231">
        <v>402847</v>
      </c>
      <c r="EU214" s="231">
        <v>292948819</v>
      </c>
      <c r="EV214" s="231">
        <v>636121</v>
      </c>
      <c r="EW214" s="231">
        <v>576156</v>
      </c>
      <c r="EX214" s="231">
        <v>59965</v>
      </c>
      <c r="EY214" s="229">
        <v>0.1041</v>
      </c>
      <c r="EZ214" s="229">
        <v>0.85880000000000001</v>
      </c>
      <c r="FA214" s="227" t="s">
        <v>555</v>
      </c>
      <c r="FB214" s="161">
        <f t="shared" si="5"/>
        <v>0</v>
      </c>
    </row>
    <row r="215" spans="1:158" ht="17.25" thickBot="1" x14ac:dyDescent="0.3">
      <c r="A215" s="226">
        <v>45946</v>
      </c>
      <c r="B215" s="227" t="s">
        <v>172</v>
      </c>
      <c r="C215" s="227" t="s">
        <v>590</v>
      </c>
      <c r="D215" s="228">
        <v>31100</v>
      </c>
      <c r="E215" s="228">
        <v>23.21</v>
      </c>
      <c r="F215" s="228">
        <v>23.41</v>
      </c>
      <c r="G215" s="228">
        <v>-0.2</v>
      </c>
      <c r="H215" s="229">
        <v>-8.5000000000000006E-3</v>
      </c>
      <c r="I215" s="228">
        <v>23.12</v>
      </c>
      <c r="J215" s="228">
        <v>23.32</v>
      </c>
      <c r="K215" s="228">
        <v>-0.2</v>
      </c>
      <c r="L215" s="229">
        <v>-8.6E-3</v>
      </c>
      <c r="M215" s="228">
        <v>23.21</v>
      </c>
      <c r="N215" s="228">
        <v>23.41</v>
      </c>
      <c r="O215" s="228">
        <v>-0.2</v>
      </c>
      <c r="P215" s="229">
        <v>-8.5000000000000006E-3</v>
      </c>
      <c r="Q215" s="228">
        <v>23.34</v>
      </c>
      <c r="R215" s="228">
        <v>23.55</v>
      </c>
      <c r="S215" s="228">
        <v>-0.21</v>
      </c>
      <c r="T215" s="229">
        <v>-8.8999999999999999E-3</v>
      </c>
      <c r="U215" s="228">
        <v>23.49</v>
      </c>
      <c r="V215" s="228">
        <v>23.67</v>
      </c>
      <c r="W215" s="228">
        <v>-0.18</v>
      </c>
      <c r="X215" s="229">
        <v>-7.6E-3</v>
      </c>
      <c r="Y215" s="228">
        <v>0.09</v>
      </c>
      <c r="Z215" s="228">
        <v>0.09</v>
      </c>
      <c r="AA215" s="228">
        <v>0</v>
      </c>
      <c r="AB215" s="229">
        <v>3.8999999999999998E-3</v>
      </c>
      <c r="AC215" s="228">
        <v>0.09</v>
      </c>
      <c r="AD215" s="228">
        <v>0.09</v>
      </c>
      <c r="AE215" s="228">
        <v>0</v>
      </c>
      <c r="AF215" s="229">
        <v>3.8999999999999998E-3</v>
      </c>
      <c r="AG215" s="228">
        <v>0.22</v>
      </c>
      <c r="AH215" s="228">
        <v>0.23</v>
      </c>
      <c r="AI215" s="228">
        <v>-0.01</v>
      </c>
      <c r="AJ215" s="229">
        <v>9.4999999999999998E-3</v>
      </c>
      <c r="AK215" s="228">
        <v>0.37</v>
      </c>
      <c r="AL215" s="228">
        <v>0.35</v>
      </c>
      <c r="AM215" s="228">
        <v>0.02</v>
      </c>
      <c r="AN215" s="229">
        <v>1.6E-2</v>
      </c>
      <c r="AO215" s="228">
        <v>23.28</v>
      </c>
      <c r="AP215" s="228">
        <v>23.41</v>
      </c>
      <c r="AQ215" s="228">
        <v>0</v>
      </c>
      <c r="AR215" s="230">
        <v>107885900</v>
      </c>
      <c r="AS215" s="230">
        <v>109720800</v>
      </c>
      <c r="AT215" s="230">
        <v>-1834900</v>
      </c>
      <c r="AU215" s="229">
        <v>-1.67E-2</v>
      </c>
      <c r="AV215" s="230">
        <v>75946200</v>
      </c>
      <c r="AW215" s="230">
        <v>82663800</v>
      </c>
      <c r="AX215" s="230">
        <v>-6717600</v>
      </c>
      <c r="AY215" s="229">
        <v>-8.1299999999999997E-2</v>
      </c>
      <c r="AZ215" s="230">
        <v>27274700</v>
      </c>
      <c r="BA215" s="230">
        <v>23604900</v>
      </c>
      <c r="BB215" s="230">
        <v>3669800</v>
      </c>
      <c r="BC215" s="229">
        <v>0.1555</v>
      </c>
      <c r="BD215" s="230">
        <v>4665000</v>
      </c>
      <c r="BE215" s="230">
        <v>3452100</v>
      </c>
      <c r="BF215" s="230">
        <v>1212900</v>
      </c>
      <c r="BG215" s="229">
        <v>0.35139999999999999</v>
      </c>
      <c r="BH215" s="230">
        <v>145703500</v>
      </c>
      <c r="BI215" s="230">
        <v>246934000</v>
      </c>
      <c r="BJ215" s="230">
        <v>-101230500</v>
      </c>
      <c r="BK215" s="229">
        <v>-0.40989999999999999</v>
      </c>
      <c r="BL215" s="230">
        <v>53803000</v>
      </c>
      <c r="BM215" s="230">
        <v>63599500</v>
      </c>
      <c r="BN215" s="230">
        <v>-9796500</v>
      </c>
      <c r="BO215" s="229">
        <v>-0.154</v>
      </c>
      <c r="BP215" s="230">
        <v>307392400</v>
      </c>
      <c r="BQ215" s="230">
        <v>420254300</v>
      </c>
      <c r="BR215" s="230">
        <v>-112861900</v>
      </c>
      <c r="BS215" s="229">
        <v>-0.26860000000000001</v>
      </c>
      <c r="BT215" s="230">
        <v>91119072</v>
      </c>
      <c r="BU215" s="230">
        <v>99610117</v>
      </c>
      <c r="BV215" s="230">
        <v>-8491045</v>
      </c>
      <c r="BW215" s="229">
        <v>-8.5199999999999998E-2</v>
      </c>
      <c r="BX215" s="230">
        <v>1002570700</v>
      </c>
      <c r="BY215" s="230">
        <v>1003721400</v>
      </c>
      <c r="BZ215" s="230">
        <v>-1150700</v>
      </c>
      <c r="CA215" s="229">
        <v>-1.1000000000000001E-3</v>
      </c>
      <c r="CB215" s="230">
        <v>863647000</v>
      </c>
      <c r="CC215" s="230">
        <v>880378800</v>
      </c>
      <c r="CD215" s="230">
        <v>-16731800</v>
      </c>
      <c r="CE215" s="229">
        <v>-1.9E-2</v>
      </c>
      <c r="CF215" s="230">
        <v>121756500</v>
      </c>
      <c r="CG215" s="230">
        <v>108507900</v>
      </c>
      <c r="CH215" s="230">
        <v>13248600</v>
      </c>
      <c r="CI215" s="229">
        <v>0.1221</v>
      </c>
      <c r="CJ215" s="230">
        <v>17167200</v>
      </c>
      <c r="CK215" s="230">
        <v>14834700</v>
      </c>
      <c r="CL215" s="230">
        <v>2332500</v>
      </c>
      <c r="CM215" s="229">
        <v>0.15720000000000001</v>
      </c>
      <c r="CN215" s="230">
        <v>327420800</v>
      </c>
      <c r="CO215" s="230">
        <v>318432900</v>
      </c>
      <c r="CP215" s="230">
        <v>8987900</v>
      </c>
      <c r="CQ215" s="229">
        <v>2.8199999999999999E-2</v>
      </c>
      <c r="CR215" s="230">
        <v>185200500</v>
      </c>
      <c r="CS215" s="230">
        <v>185511500</v>
      </c>
      <c r="CT215" s="230">
        <v>-311000</v>
      </c>
      <c r="CU215" s="229">
        <v>-1.6999999999999999E-3</v>
      </c>
      <c r="CV215" s="230">
        <v>1515192000</v>
      </c>
      <c r="CW215" s="230">
        <v>1507665800</v>
      </c>
      <c r="CX215" s="230">
        <v>7526200</v>
      </c>
      <c r="CY215" s="229">
        <v>5.0000000000000001E-3</v>
      </c>
      <c r="CZ215" s="228">
        <v>39.65</v>
      </c>
      <c r="DA215" s="228">
        <v>37.630000000000003</v>
      </c>
      <c r="DB215" s="228">
        <v>2.02</v>
      </c>
      <c r="DC215" s="228">
        <v>2.02</v>
      </c>
      <c r="DD215" s="228">
        <v>41.87</v>
      </c>
      <c r="DE215" s="228">
        <v>41.96</v>
      </c>
      <c r="DF215" s="228">
        <v>-2.2200000000000002</v>
      </c>
      <c r="DG215" s="228">
        <v>-0.09</v>
      </c>
      <c r="DH215" s="228">
        <v>41.39</v>
      </c>
      <c r="DI215" s="228">
        <v>38.33</v>
      </c>
      <c r="DJ215" s="228">
        <v>3.06</v>
      </c>
      <c r="DK215" s="228">
        <v>3.06</v>
      </c>
      <c r="DL215" s="228">
        <v>34.909999999999997</v>
      </c>
      <c r="DM215" s="228">
        <v>34.89</v>
      </c>
      <c r="DN215" s="228">
        <v>0.02</v>
      </c>
      <c r="DO215" s="228">
        <v>0.02</v>
      </c>
      <c r="DP215" s="228">
        <v>0.56999999999999995</v>
      </c>
      <c r="DQ215" s="228">
        <v>0.57999999999999996</v>
      </c>
      <c r="DR215" s="228">
        <v>-0.01</v>
      </c>
      <c r="DS215" s="229">
        <v>-1.72E-2</v>
      </c>
      <c r="DT215" s="228">
        <v>24</v>
      </c>
      <c r="DU215" s="228">
        <v>23</v>
      </c>
      <c r="DV215" s="228">
        <v>0.37</v>
      </c>
      <c r="DW215" s="228">
        <v>0.26</v>
      </c>
      <c r="DX215" s="228">
        <v>0.11</v>
      </c>
      <c r="DY215" s="229">
        <v>0.42309999999999998</v>
      </c>
      <c r="DZ215" s="229">
        <v>0.1386</v>
      </c>
      <c r="EA215" s="230">
        <v>123342600</v>
      </c>
      <c r="EB215" s="229">
        <v>5.5999999999999999E-3</v>
      </c>
      <c r="EC215" s="229">
        <v>0.1386</v>
      </c>
      <c r="ED215" s="228">
        <v>0.13</v>
      </c>
      <c r="EE215" s="229">
        <v>5.5999999999999999E-3</v>
      </c>
      <c r="EF215" s="230">
        <v>45511676</v>
      </c>
      <c r="EG215" s="230">
        <v>35877083</v>
      </c>
      <c r="EH215" s="229">
        <v>0.26850000000000002</v>
      </c>
      <c r="EI215" s="229">
        <v>0.4995</v>
      </c>
      <c r="EJ215" s="231">
        <v>36268.19</v>
      </c>
      <c r="EK215" s="231">
        <v>12365.3</v>
      </c>
      <c r="EL215" s="231">
        <v>25167.35</v>
      </c>
      <c r="EM215" s="231">
        <v>6716</v>
      </c>
      <c r="EN215" s="231">
        <v>73800.84</v>
      </c>
      <c r="EO215" s="231">
        <v>101926.17</v>
      </c>
      <c r="EP215" s="231">
        <v>-28125.33</v>
      </c>
      <c r="EQ215" s="229">
        <v>-0.27589999999999998</v>
      </c>
      <c r="ER215" s="231">
        <v>79675</v>
      </c>
      <c r="ES215" s="231">
        <v>40664</v>
      </c>
      <c r="ET215" s="231">
        <v>232903</v>
      </c>
      <c r="EU215" s="231">
        <v>3136562346</v>
      </c>
      <c r="EV215" s="231">
        <v>353242</v>
      </c>
      <c r="EW215" s="231">
        <v>353252</v>
      </c>
      <c r="EX215" s="228">
        <v>-10</v>
      </c>
      <c r="EY215" s="229">
        <v>0</v>
      </c>
      <c r="EZ215" s="229">
        <v>0.48309999999999997</v>
      </c>
      <c r="FA215" s="227" t="s">
        <v>568</v>
      </c>
      <c r="FB215" s="161">
        <f t="shared" si="5"/>
        <v>0</v>
      </c>
    </row>
    <row r="216" spans="1:158" ht="17.25" thickBot="1" x14ac:dyDescent="0.3">
      <c r="A216" s="226">
        <v>45946</v>
      </c>
      <c r="B216" s="227" t="s">
        <v>170</v>
      </c>
      <c r="C216" s="227" t="s">
        <v>557</v>
      </c>
      <c r="D216" s="228">
        <v>900</v>
      </c>
      <c r="E216" s="228">
        <v>985.75</v>
      </c>
      <c r="F216" s="228">
        <v>980.2</v>
      </c>
      <c r="G216" s="228">
        <v>5.55</v>
      </c>
      <c r="H216" s="229">
        <v>5.7000000000000002E-3</v>
      </c>
      <c r="I216" s="228">
        <v>984.6</v>
      </c>
      <c r="J216" s="228">
        <v>977.3</v>
      </c>
      <c r="K216" s="228">
        <v>7.3</v>
      </c>
      <c r="L216" s="229">
        <v>7.4999999999999997E-3</v>
      </c>
      <c r="M216" s="228">
        <v>985.75</v>
      </c>
      <c r="N216" s="228">
        <v>980.2</v>
      </c>
      <c r="O216" s="228">
        <v>5.55</v>
      </c>
      <c r="P216" s="229">
        <v>5.7000000000000002E-3</v>
      </c>
      <c r="Q216" s="228">
        <v>990.65</v>
      </c>
      <c r="R216" s="228">
        <v>985.75</v>
      </c>
      <c r="S216" s="228">
        <v>4.9000000000000004</v>
      </c>
      <c r="T216" s="229">
        <v>5.0000000000000001E-3</v>
      </c>
      <c r="U216" s="228">
        <v>994</v>
      </c>
      <c r="V216" s="228">
        <v>991.2</v>
      </c>
      <c r="W216" s="228">
        <v>2.8</v>
      </c>
      <c r="X216" s="229">
        <v>2.8E-3</v>
      </c>
      <c r="Y216" s="228">
        <v>1.1499999999999999</v>
      </c>
      <c r="Z216" s="228">
        <v>2.9</v>
      </c>
      <c r="AA216" s="228">
        <v>-1.75</v>
      </c>
      <c r="AB216" s="229">
        <v>1.1999999999999999E-3</v>
      </c>
      <c r="AC216" s="228">
        <v>1.1499999999999999</v>
      </c>
      <c r="AD216" s="228">
        <v>2.9</v>
      </c>
      <c r="AE216" s="228">
        <v>-1.75</v>
      </c>
      <c r="AF216" s="229">
        <v>1.1999999999999999E-3</v>
      </c>
      <c r="AG216" s="228">
        <v>6.05</v>
      </c>
      <c r="AH216" s="228">
        <v>8.4499999999999993</v>
      </c>
      <c r="AI216" s="228">
        <v>-2.4</v>
      </c>
      <c r="AJ216" s="229">
        <v>6.1000000000000004E-3</v>
      </c>
      <c r="AK216" s="228">
        <v>9.4</v>
      </c>
      <c r="AL216" s="228">
        <v>13.9</v>
      </c>
      <c r="AM216" s="228">
        <v>-4.5</v>
      </c>
      <c r="AN216" s="229">
        <v>9.4999999999999998E-3</v>
      </c>
      <c r="AO216" s="228">
        <v>984.44</v>
      </c>
      <c r="AP216" s="228">
        <v>988.71</v>
      </c>
      <c r="AQ216" s="228">
        <v>0</v>
      </c>
      <c r="AR216" s="230">
        <v>1314000</v>
      </c>
      <c r="AS216" s="230">
        <v>1785600</v>
      </c>
      <c r="AT216" s="230">
        <v>-471600</v>
      </c>
      <c r="AU216" s="229">
        <v>-0.2641</v>
      </c>
      <c r="AV216" s="230">
        <v>1167300</v>
      </c>
      <c r="AW216" s="230">
        <v>1411200</v>
      </c>
      <c r="AX216" s="230">
        <v>-243900</v>
      </c>
      <c r="AY216" s="229">
        <v>-0.17280000000000001</v>
      </c>
      <c r="AZ216" s="230">
        <v>140400</v>
      </c>
      <c r="BA216" s="230">
        <v>370800</v>
      </c>
      <c r="BB216" s="230">
        <v>-230400</v>
      </c>
      <c r="BC216" s="229">
        <v>-0.62139999999999995</v>
      </c>
      <c r="BD216" s="230">
        <v>6300</v>
      </c>
      <c r="BE216" s="230">
        <v>3600</v>
      </c>
      <c r="BF216" s="230">
        <v>2700</v>
      </c>
      <c r="BG216" s="229">
        <v>0.75</v>
      </c>
      <c r="BH216" s="230">
        <v>2502900</v>
      </c>
      <c r="BI216" s="230">
        <v>1821600</v>
      </c>
      <c r="BJ216" s="230">
        <v>681300</v>
      </c>
      <c r="BK216" s="229">
        <v>0.374</v>
      </c>
      <c r="BL216" s="230">
        <v>1148400</v>
      </c>
      <c r="BM216" s="230">
        <v>581400</v>
      </c>
      <c r="BN216" s="230">
        <v>567000</v>
      </c>
      <c r="BO216" s="229">
        <v>0.97519999999999996</v>
      </c>
      <c r="BP216" s="230">
        <v>4965300</v>
      </c>
      <c r="BQ216" s="230">
        <v>4188600</v>
      </c>
      <c r="BR216" s="230">
        <v>776700</v>
      </c>
      <c r="BS216" s="229">
        <v>0.18540000000000001</v>
      </c>
      <c r="BT216" s="230">
        <v>846821</v>
      </c>
      <c r="BU216" s="230">
        <v>567627</v>
      </c>
      <c r="BV216" s="230">
        <v>279194</v>
      </c>
      <c r="BW216" s="229">
        <v>0.4919</v>
      </c>
      <c r="BX216" s="230">
        <v>8824500</v>
      </c>
      <c r="BY216" s="230">
        <v>8924400</v>
      </c>
      <c r="BZ216" s="230">
        <v>-99900</v>
      </c>
      <c r="CA216" s="229">
        <v>-1.12E-2</v>
      </c>
      <c r="CB216" s="230">
        <v>7603200</v>
      </c>
      <c r="CC216" s="230">
        <v>7737300</v>
      </c>
      <c r="CD216" s="230">
        <v>-134100</v>
      </c>
      <c r="CE216" s="229">
        <v>-1.7299999999999999E-2</v>
      </c>
      <c r="CF216" s="230">
        <v>1199700</v>
      </c>
      <c r="CG216" s="230">
        <v>1167300</v>
      </c>
      <c r="CH216" s="230">
        <v>32400</v>
      </c>
      <c r="CI216" s="229">
        <v>2.7799999999999998E-2</v>
      </c>
      <c r="CJ216" s="230">
        <v>21600</v>
      </c>
      <c r="CK216" s="230">
        <v>19800</v>
      </c>
      <c r="CL216" s="230">
        <v>1800</v>
      </c>
      <c r="CM216" s="229">
        <v>9.0899999999999995E-2</v>
      </c>
      <c r="CN216" s="230">
        <v>3590100</v>
      </c>
      <c r="CO216" s="230">
        <v>3863700</v>
      </c>
      <c r="CP216" s="230">
        <v>-273600</v>
      </c>
      <c r="CQ216" s="229">
        <v>-7.0800000000000002E-2</v>
      </c>
      <c r="CR216" s="230">
        <v>2021400</v>
      </c>
      <c r="CS216" s="230">
        <v>2046600</v>
      </c>
      <c r="CT216" s="230">
        <v>-25200</v>
      </c>
      <c r="CU216" s="229">
        <v>-1.23E-2</v>
      </c>
      <c r="CV216" s="230">
        <v>14436000</v>
      </c>
      <c r="CW216" s="230">
        <v>14834700</v>
      </c>
      <c r="CX216" s="230">
        <v>-398700</v>
      </c>
      <c r="CY216" s="229">
        <v>-2.69E-2</v>
      </c>
      <c r="CZ216" s="228">
        <v>23.88</v>
      </c>
      <c r="DA216" s="228">
        <v>26.02</v>
      </c>
      <c r="DB216" s="228">
        <v>-2.14</v>
      </c>
      <c r="DC216" s="228">
        <v>-2.14</v>
      </c>
      <c r="DD216" s="228">
        <v>29.91</v>
      </c>
      <c r="DE216" s="228">
        <v>29.98</v>
      </c>
      <c r="DF216" s="228">
        <v>-6.03</v>
      </c>
      <c r="DG216" s="228">
        <v>-7.0000000000000007E-2</v>
      </c>
      <c r="DH216" s="228">
        <v>24.09</v>
      </c>
      <c r="DI216" s="228">
        <v>26.29</v>
      </c>
      <c r="DJ216" s="228">
        <v>-2.2000000000000002</v>
      </c>
      <c r="DK216" s="228">
        <v>-2.2000000000000002</v>
      </c>
      <c r="DL216" s="228">
        <v>23.41</v>
      </c>
      <c r="DM216" s="228">
        <v>25.18</v>
      </c>
      <c r="DN216" s="228">
        <v>-1.77</v>
      </c>
      <c r="DO216" s="228">
        <v>-1.77</v>
      </c>
      <c r="DP216" s="228">
        <v>0.56000000000000005</v>
      </c>
      <c r="DQ216" s="228">
        <v>0.53</v>
      </c>
      <c r="DR216" s="228">
        <v>0.03</v>
      </c>
      <c r="DS216" s="229">
        <v>5.6599999999999998E-2</v>
      </c>
      <c r="DT216" s="231">
        <v>1100</v>
      </c>
      <c r="DU216" s="231">
        <v>1000</v>
      </c>
      <c r="DV216" s="228">
        <v>0.46</v>
      </c>
      <c r="DW216" s="228">
        <v>0.32</v>
      </c>
      <c r="DX216" s="228">
        <v>0.14000000000000001</v>
      </c>
      <c r="DY216" s="229">
        <v>0.4375</v>
      </c>
      <c r="DZ216" s="229">
        <v>0.1384</v>
      </c>
      <c r="EA216" s="230">
        <v>1187100</v>
      </c>
      <c r="EB216" s="229">
        <v>5.0000000000000001E-3</v>
      </c>
      <c r="EC216" s="229">
        <v>0.1384</v>
      </c>
      <c r="ED216" s="228">
        <v>4.2699999999999996</v>
      </c>
      <c r="EE216" s="229">
        <v>4.3E-3</v>
      </c>
      <c r="EF216" s="230">
        <v>515618</v>
      </c>
      <c r="EG216" s="230">
        <v>357461</v>
      </c>
      <c r="EH216" s="229">
        <v>0.44240000000000002</v>
      </c>
      <c r="EI216" s="229">
        <v>0.6089</v>
      </c>
      <c r="EJ216" s="231">
        <v>25723.96</v>
      </c>
      <c r="EK216" s="231">
        <v>11302.18</v>
      </c>
      <c r="EL216" s="231">
        <v>12942.07</v>
      </c>
      <c r="EM216" s="231">
        <v>2521</v>
      </c>
      <c r="EN216" s="231">
        <v>49968.21</v>
      </c>
      <c r="EO216" s="231">
        <v>42140.49</v>
      </c>
      <c r="EP216" s="231">
        <v>7827.72</v>
      </c>
      <c r="EQ216" s="229">
        <v>0.18579999999999999</v>
      </c>
      <c r="ER216" s="231">
        <v>37667</v>
      </c>
      <c r="ES216" s="231">
        <v>19611</v>
      </c>
      <c r="ET216" s="231">
        <v>87048</v>
      </c>
      <c r="EU216" s="231">
        <v>32617803</v>
      </c>
      <c r="EV216" s="231">
        <v>144326</v>
      </c>
      <c r="EW216" s="231">
        <v>147926</v>
      </c>
      <c r="EX216" s="231">
        <v>-3600</v>
      </c>
      <c r="EY216" s="229">
        <v>-2.4299999999999999E-2</v>
      </c>
      <c r="EZ216" s="229">
        <v>0.44259999999999999</v>
      </c>
      <c r="FA216" s="227" t="s">
        <v>556</v>
      </c>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BX326-CB326</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EJ1" zoomScale="87" zoomScaleNormal="87" workbookViewId="0">
      <selection activeCell="EP8" sqref="EP8"/>
    </sheetView>
  </sheetViews>
  <sheetFormatPr defaultRowHeight="15" x14ac:dyDescent="0.25"/>
  <cols>
    <col min="1" max="1" width="12"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4" bestFit="1" customWidth="1"/>
    <col min="82" max="82" width="11.42578125" bestFit="1" customWidth="1"/>
    <col min="83" max="83" width="13.140625" bestFit="1" customWidth="1"/>
    <col min="84" max="84" width="14.42578125" bestFit="1" customWidth="1"/>
    <col min="85" max="85" width="13.5703125" bestFit="1" customWidth="1"/>
    <col min="86" max="87" width="11.42578125" bestFit="1" customWidth="1"/>
    <col min="88" max="88" width="12.85546875" bestFit="1" customWidth="1"/>
    <col min="89" max="89" width="11.5703125" bestFit="1" customWidth="1"/>
    <col min="90" max="90" width="10.140625" bestFit="1" customWidth="1"/>
    <col min="91" max="92" width="14.28515625" bestFit="1" customWidth="1"/>
    <col min="93" max="93" width="13.140625" bestFit="1" customWidth="1"/>
    <col min="94" max="94" width="10.42578125" bestFit="1" customWidth="1"/>
    <col min="95" max="95" width="13.140625" bestFit="1" customWidth="1"/>
    <col min="96" max="96" width="13.28515625" bestFit="1" customWidth="1"/>
    <col min="97" max="97" width="13.140625" bestFit="1" customWidth="1"/>
    <col min="98" max="98" width="10.425781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45946</v>
      </c>
      <c r="B2" s="227" t="s">
        <v>215</v>
      </c>
      <c r="C2" s="227" t="s">
        <v>159</v>
      </c>
      <c r="D2" s="231">
        <v>2567.6999999999998</v>
      </c>
      <c r="E2" s="231">
        <v>2544.6</v>
      </c>
      <c r="F2" s="228">
        <v>23.1</v>
      </c>
      <c r="G2" s="229">
        <v>9.1000000000000004E-3</v>
      </c>
      <c r="H2" s="231">
        <v>2557.6</v>
      </c>
      <c r="I2" s="231">
        <v>2532.8000000000002</v>
      </c>
      <c r="J2" s="228">
        <v>24.8</v>
      </c>
      <c r="K2" s="229">
        <v>9.7999999999999997E-3</v>
      </c>
      <c r="L2" s="231">
        <v>2567.6999999999998</v>
      </c>
      <c r="M2" s="231">
        <v>2544.6</v>
      </c>
      <c r="N2" s="228">
        <v>23.1</v>
      </c>
      <c r="O2" s="229">
        <v>9.1000000000000004E-3</v>
      </c>
      <c r="P2" s="231">
        <v>2581.5</v>
      </c>
      <c r="Q2" s="231">
        <v>2557</v>
      </c>
      <c r="R2" s="228">
        <v>24.5</v>
      </c>
      <c r="S2" s="229">
        <v>9.5999999999999992E-3</v>
      </c>
      <c r="T2" s="231">
        <v>2595.8000000000002</v>
      </c>
      <c r="U2" s="231">
        <v>2574.4</v>
      </c>
      <c r="V2" s="228">
        <v>21.4</v>
      </c>
      <c r="W2" s="229">
        <v>8.3000000000000001E-3</v>
      </c>
      <c r="X2" s="228">
        <v>10.1</v>
      </c>
      <c r="Y2" s="228">
        <v>11.8</v>
      </c>
      <c r="Z2" s="228">
        <v>-1.7</v>
      </c>
      <c r="AA2" s="229">
        <v>3.8999999999999998E-3</v>
      </c>
      <c r="AB2" s="228">
        <v>10.1</v>
      </c>
      <c r="AC2" s="228">
        <v>11.8</v>
      </c>
      <c r="AD2" s="228">
        <v>-1.7</v>
      </c>
      <c r="AE2" s="229">
        <v>3.8999999999999998E-3</v>
      </c>
      <c r="AF2" s="228">
        <v>23.9</v>
      </c>
      <c r="AG2" s="228">
        <v>24.2</v>
      </c>
      <c r="AH2" s="228">
        <v>-0.3</v>
      </c>
      <c r="AI2" s="229">
        <v>9.2999999999999992E-3</v>
      </c>
      <c r="AJ2" s="228">
        <v>38.200000000000003</v>
      </c>
      <c r="AK2" s="228">
        <v>41.6</v>
      </c>
      <c r="AL2" s="228">
        <v>-3.4</v>
      </c>
      <c r="AM2" s="229">
        <v>1.49E-2</v>
      </c>
      <c r="AN2" s="231">
        <v>2573.25</v>
      </c>
      <c r="AO2" s="231">
        <v>2586.21</v>
      </c>
      <c r="AP2" s="228">
        <v>0</v>
      </c>
      <c r="AQ2" s="230">
        <v>6712</v>
      </c>
      <c r="AR2" s="230">
        <v>5736</v>
      </c>
      <c r="AS2" s="228">
        <v>976</v>
      </c>
      <c r="AT2" s="229">
        <v>0.17019999999999999</v>
      </c>
      <c r="AU2" s="230">
        <v>5540</v>
      </c>
      <c r="AV2" s="230">
        <v>5097</v>
      </c>
      <c r="AW2" s="228">
        <v>443</v>
      </c>
      <c r="AX2" s="229">
        <v>8.6900000000000005E-2</v>
      </c>
      <c r="AY2" s="230">
        <v>1136</v>
      </c>
      <c r="AZ2" s="228">
        <v>603</v>
      </c>
      <c r="BA2" s="228">
        <v>533</v>
      </c>
      <c r="BB2" s="229">
        <v>0.88390000000000002</v>
      </c>
      <c r="BC2" s="228">
        <v>36</v>
      </c>
      <c r="BD2" s="228">
        <v>36</v>
      </c>
      <c r="BE2" s="228">
        <v>0</v>
      </c>
      <c r="BF2" s="229">
        <v>0</v>
      </c>
      <c r="BG2" s="230">
        <v>34800</v>
      </c>
      <c r="BH2" s="230">
        <v>31443</v>
      </c>
      <c r="BI2" s="230">
        <v>3357</v>
      </c>
      <c r="BJ2" s="229">
        <v>0.10680000000000001</v>
      </c>
      <c r="BK2" s="230">
        <v>11381</v>
      </c>
      <c r="BL2" s="230">
        <v>10760</v>
      </c>
      <c r="BM2" s="228">
        <v>621</v>
      </c>
      <c r="BN2" s="229">
        <v>5.7700000000000001E-2</v>
      </c>
      <c r="BO2" s="230">
        <v>52893</v>
      </c>
      <c r="BP2" s="230">
        <v>47939</v>
      </c>
      <c r="BQ2" s="230">
        <v>4954</v>
      </c>
      <c r="BR2" s="229">
        <v>0.1033</v>
      </c>
      <c r="BS2" s="230">
        <v>1102855</v>
      </c>
      <c r="BT2" s="230">
        <v>784639</v>
      </c>
      <c r="BU2" s="230">
        <v>318216</v>
      </c>
      <c r="BV2" s="229">
        <v>0.40560000000000002</v>
      </c>
      <c r="BW2" s="230">
        <v>14263500</v>
      </c>
      <c r="BX2" s="230">
        <v>14125500</v>
      </c>
      <c r="BY2" s="230">
        <v>138000</v>
      </c>
      <c r="BZ2" s="229">
        <v>9.7999999999999997E-3</v>
      </c>
      <c r="CA2" s="230">
        <v>13535400</v>
      </c>
      <c r="CB2" s="230">
        <v>13598100</v>
      </c>
      <c r="CC2" s="230">
        <v>-62700</v>
      </c>
      <c r="CD2" s="229">
        <v>-4.5999999999999999E-3</v>
      </c>
      <c r="CE2" s="230">
        <v>686400</v>
      </c>
      <c r="CF2" s="230">
        <v>489900</v>
      </c>
      <c r="CG2" s="230">
        <v>196500</v>
      </c>
      <c r="CH2" s="229">
        <v>0.40110000000000001</v>
      </c>
      <c r="CI2" s="230">
        <v>41700</v>
      </c>
      <c r="CJ2" s="230">
        <v>37500</v>
      </c>
      <c r="CK2" s="230">
        <v>4200</v>
      </c>
      <c r="CL2" s="229">
        <v>0.112</v>
      </c>
      <c r="CM2" s="230">
        <v>8590800</v>
      </c>
      <c r="CN2" s="230">
        <v>8584200</v>
      </c>
      <c r="CO2" s="230">
        <v>6600</v>
      </c>
      <c r="CP2" s="229">
        <v>8.0000000000000004E-4</v>
      </c>
      <c r="CQ2" s="230">
        <v>4750500</v>
      </c>
      <c r="CR2" s="230">
        <v>4774500</v>
      </c>
      <c r="CS2" s="230">
        <v>-24000</v>
      </c>
      <c r="CT2" s="229">
        <v>-5.0000000000000001E-3</v>
      </c>
      <c r="CU2" s="230">
        <v>27604800</v>
      </c>
      <c r="CV2" s="230">
        <v>27484200</v>
      </c>
      <c r="CW2" s="230">
        <v>120600</v>
      </c>
      <c r="CX2" s="229">
        <v>4.4000000000000003E-3</v>
      </c>
      <c r="CY2" s="228">
        <v>30.02</v>
      </c>
      <c r="CZ2" s="228">
        <v>31.45</v>
      </c>
      <c r="DA2" s="228">
        <v>-1.43</v>
      </c>
      <c r="DB2" s="228">
        <v>-1.43</v>
      </c>
      <c r="DC2" s="228">
        <v>49.3</v>
      </c>
      <c r="DD2" s="228">
        <v>49.41</v>
      </c>
      <c r="DE2" s="228">
        <v>-19.28</v>
      </c>
      <c r="DF2" s="228">
        <v>-0.11</v>
      </c>
      <c r="DG2" s="228">
        <v>30</v>
      </c>
      <c r="DH2" s="228">
        <v>31.68</v>
      </c>
      <c r="DI2" s="228">
        <v>-1.68</v>
      </c>
      <c r="DJ2" s="228">
        <v>-1.68</v>
      </c>
      <c r="DK2" s="228">
        <v>30.09</v>
      </c>
      <c r="DL2" s="228">
        <v>30.75</v>
      </c>
      <c r="DM2" s="228">
        <v>-0.66</v>
      </c>
      <c r="DN2" s="228">
        <v>-0.66</v>
      </c>
      <c r="DO2" s="228">
        <v>0.55000000000000004</v>
      </c>
      <c r="DP2" s="228">
        <v>0.56000000000000005</v>
      </c>
      <c r="DQ2" s="228">
        <v>-0.01</v>
      </c>
      <c r="DR2" s="229">
        <v>-1.7899999999999999E-2</v>
      </c>
      <c r="DS2" s="231">
        <v>2600</v>
      </c>
      <c r="DT2" s="231">
        <v>2500</v>
      </c>
      <c r="DU2" s="228">
        <v>0.33</v>
      </c>
      <c r="DV2" s="228">
        <v>0.34</v>
      </c>
      <c r="DW2" s="228">
        <v>-0.01</v>
      </c>
      <c r="DX2" s="229">
        <v>-2.9399999999999999E-2</v>
      </c>
      <c r="DY2" s="229">
        <v>5.0999999999999997E-2</v>
      </c>
      <c r="DZ2" s="230">
        <v>527400</v>
      </c>
      <c r="EA2" s="229">
        <v>5.4000000000000003E-3</v>
      </c>
      <c r="EB2" s="229">
        <v>5.0999999999999997E-2</v>
      </c>
      <c r="EC2" s="228">
        <v>12.96</v>
      </c>
      <c r="ED2" s="229">
        <v>5.0000000000000001E-3</v>
      </c>
      <c r="EE2" s="230">
        <v>457848</v>
      </c>
      <c r="EF2" s="230">
        <v>333820</v>
      </c>
      <c r="EG2" s="229">
        <v>0.3715</v>
      </c>
      <c r="EH2" s="229">
        <v>0.41510000000000002</v>
      </c>
      <c r="EI2" s="231">
        <v>278570.21000000002</v>
      </c>
      <c r="EJ2" s="231">
        <v>87728.26</v>
      </c>
      <c r="EK2" s="231">
        <v>51862.37</v>
      </c>
      <c r="EL2" s="231">
        <v>5084</v>
      </c>
      <c r="EM2" s="231">
        <v>418160.84</v>
      </c>
      <c r="EN2" s="231">
        <v>377182.38</v>
      </c>
      <c r="EO2" s="231">
        <v>40978.46</v>
      </c>
      <c r="EP2" s="229">
        <v>0.1086</v>
      </c>
      <c r="EQ2" s="231">
        <v>230045</v>
      </c>
      <c r="ER2" s="231">
        <v>118823</v>
      </c>
      <c r="ES2" s="231">
        <v>366350</v>
      </c>
      <c r="ET2" s="231">
        <v>30040977</v>
      </c>
      <c r="EU2" s="231">
        <v>715218</v>
      </c>
      <c r="EV2" s="231">
        <v>708588</v>
      </c>
      <c r="EW2" s="231">
        <v>6630</v>
      </c>
      <c r="EX2" s="229">
        <v>9.4000000000000004E-3</v>
      </c>
      <c r="EY2" s="229">
        <v>0.91890000000000005</v>
      </c>
    </row>
    <row r="3" spans="1:155" ht="17.25" thickBot="1" x14ac:dyDescent="0.3">
      <c r="A3" s="226">
        <v>45946</v>
      </c>
      <c r="B3" s="227" t="s">
        <v>215</v>
      </c>
      <c r="C3" s="227" t="s">
        <v>160</v>
      </c>
      <c r="D3" s="231">
        <v>1481.7</v>
      </c>
      <c r="E3" s="231">
        <v>1457.3</v>
      </c>
      <c r="F3" s="228">
        <v>24.4</v>
      </c>
      <c r="G3" s="229">
        <v>1.67E-2</v>
      </c>
      <c r="H3" s="231">
        <v>1479.5</v>
      </c>
      <c r="I3" s="231">
        <v>1450.7</v>
      </c>
      <c r="J3" s="228">
        <v>28.8</v>
      </c>
      <c r="K3" s="229">
        <v>1.9900000000000001E-2</v>
      </c>
      <c r="L3" s="231">
        <v>1481.7</v>
      </c>
      <c r="M3" s="231">
        <v>1457.3</v>
      </c>
      <c r="N3" s="228">
        <v>24.4</v>
      </c>
      <c r="O3" s="229">
        <v>1.67E-2</v>
      </c>
      <c r="P3" s="231">
        <v>1490</v>
      </c>
      <c r="Q3" s="231">
        <v>1465.1</v>
      </c>
      <c r="R3" s="228">
        <v>24.9</v>
      </c>
      <c r="S3" s="229">
        <v>1.7000000000000001E-2</v>
      </c>
      <c r="T3" s="231">
        <v>1498.8</v>
      </c>
      <c r="U3" s="231">
        <v>1472.8</v>
      </c>
      <c r="V3" s="228">
        <v>26</v>
      </c>
      <c r="W3" s="229">
        <v>1.77E-2</v>
      </c>
      <c r="X3" s="228">
        <v>2.2000000000000002</v>
      </c>
      <c r="Y3" s="228">
        <v>6.6</v>
      </c>
      <c r="Z3" s="228">
        <v>-4.4000000000000004</v>
      </c>
      <c r="AA3" s="229">
        <v>1.5E-3</v>
      </c>
      <c r="AB3" s="228">
        <v>2.2000000000000002</v>
      </c>
      <c r="AC3" s="228">
        <v>6.6</v>
      </c>
      <c r="AD3" s="228">
        <v>-4.4000000000000004</v>
      </c>
      <c r="AE3" s="229">
        <v>1.5E-3</v>
      </c>
      <c r="AF3" s="228">
        <v>10.5</v>
      </c>
      <c r="AG3" s="228">
        <v>14.4</v>
      </c>
      <c r="AH3" s="228">
        <v>-3.9</v>
      </c>
      <c r="AI3" s="229">
        <v>7.1000000000000004E-3</v>
      </c>
      <c r="AJ3" s="228">
        <v>19.3</v>
      </c>
      <c r="AK3" s="228">
        <v>22.1</v>
      </c>
      <c r="AL3" s="228">
        <v>-2.8</v>
      </c>
      <c r="AM3" s="229">
        <v>1.2999999999999999E-2</v>
      </c>
      <c r="AN3" s="231">
        <v>1481.07</v>
      </c>
      <c r="AO3" s="231">
        <v>1489.91</v>
      </c>
      <c r="AP3" s="228">
        <v>0</v>
      </c>
      <c r="AQ3" s="230">
        <v>10845</v>
      </c>
      <c r="AR3" s="230">
        <v>7477</v>
      </c>
      <c r="AS3" s="230">
        <v>3368</v>
      </c>
      <c r="AT3" s="229">
        <v>0.45040000000000002</v>
      </c>
      <c r="AU3" s="230">
        <v>9416</v>
      </c>
      <c r="AV3" s="230">
        <v>6792</v>
      </c>
      <c r="AW3" s="230">
        <v>2624</v>
      </c>
      <c r="AX3" s="229">
        <v>0.38629999999999998</v>
      </c>
      <c r="AY3" s="230">
        <v>1341</v>
      </c>
      <c r="AZ3" s="228">
        <v>633</v>
      </c>
      <c r="BA3" s="228">
        <v>708</v>
      </c>
      <c r="BB3" s="229">
        <v>1.1185</v>
      </c>
      <c r="BC3" s="228">
        <v>88</v>
      </c>
      <c r="BD3" s="228">
        <v>52</v>
      </c>
      <c r="BE3" s="228">
        <v>36</v>
      </c>
      <c r="BF3" s="229">
        <v>0.69230000000000003</v>
      </c>
      <c r="BG3" s="230">
        <v>58903</v>
      </c>
      <c r="BH3" s="230">
        <v>32769</v>
      </c>
      <c r="BI3" s="230">
        <v>26134</v>
      </c>
      <c r="BJ3" s="229">
        <v>0.79749999999999999</v>
      </c>
      <c r="BK3" s="230">
        <v>22885</v>
      </c>
      <c r="BL3" s="230">
        <v>13000</v>
      </c>
      <c r="BM3" s="230">
        <v>9885</v>
      </c>
      <c r="BN3" s="229">
        <v>0.76039999999999996</v>
      </c>
      <c r="BO3" s="230">
        <v>92633</v>
      </c>
      <c r="BP3" s="230">
        <v>53246</v>
      </c>
      <c r="BQ3" s="230">
        <v>39387</v>
      </c>
      <c r="BR3" s="229">
        <v>0.73970000000000002</v>
      </c>
      <c r="BS3" s="230">
        <v>7823340</v>
      </c>
      <c r="BT3" s="230">
        <v>2792924</v>
      </c>
      <c r="BU3" s="230">
        <v>5030416</v>
      </c>
      <c r="BV3" s="229">
        <v>1.8010999999999999</v>
      </c>
      <c r="BW3" s="230">
        <v>23011375</v>
      </c>
      <c r="BX3" s="230">
        <v>22561550</v>
      </c>
      <c r="BY3" s="230">
        <v>449825</v>
      </c>
      <c r="BZ3" s="229">
        <v>1.9900000000000001E-2</v>
      </c>
      <c r="CA3" s="230">
        <v>21939775</v>
      </c>
      <c r="CB3" s="230">
        <v>21674250</v>
      </c>
      <c r="CC3" s="230">
        <v>265525</v>
      </c>
      <c r="CD3" s="229">
        <v>1.23E-2</v>
      </c>
      <c r="CE3" s="230">
        <v>975175</v>
      </c>
      <c r="CF3" s="230">
        <v>801325</v>
      </c>
      <c r="CG3" s="230">
        <v>173850</v>
      </c>
      <c r="CH3" s="229">
        <v>0.217</v>
      </c>
      <c r="CI3" s="230">
        <v>96425</v>
      </c>
      <c r="CJ3" s="230">
        <v>85975</v>
      </c>
      <c r="CK3" s="230">
        <v>10450</v>
      </c>
      <c r="CL3" s="229">
        <v>0.1215</v>
      </c>
      <c r="CM3" s="230">
        <v>7066575</v>
      </c>
      <c r="CN3" s="230">
        <v>7299325</v>
      </c>
      <c r="CO3" s="230">
        <v>-232750</v>
      </c>
      <c r="CP3" s="229">
        <v>-3.1899999999999998E-2</v>
      </c>
      <c r="CQ3" s="230">
        <v>5174175</v>
      </c>
      <c r="CR3" s="230">
        <v>4980375</v>
      </c>
      <c r="CS3" s="230">
        <v>193800</v>
      </c>
      <c r="CT3" s="229">
        <v>3.8899999999999997E-2</v>
      </c>
      <c r="CU3" s="230">
        <v>35252125</v>
      </c>
      <c r="CV3" s="230">
        <v>34841250</v>
      </c>
      <c r="CW3" s="230">
        <v>410875</v>
      </c>
      <c r="CX3" s="229">
        <v>1.18E-2</v>
      </c>
      <c r="CY3" s="228">
        <v>23.08</v>
      </c>
      <c r="CZ3" s="228">
        <v>24.09</v>
      </c>
      <c r="DA3" s="228">
        <v>-1.01</v>
      </c>
      <c r="DB3" s="228">
        <v>-1.01</v>
      </c>
      <c r="DC3" s="228">
        <v>39.06</v>
      </c>
      <c r="DD3" s="228">
        <v>39.07</v>
      </c>
      <c r="DE3" s="228">
        <v>-15.98</v>
      </c>
      <c r="DF3" s="228">
        <v>-0.01</v>
      </c>
      <c r="DG3" s="228">
        <v>22.83</v>
      </c>
      <c r="DH3" s="228">
        <v>23.89</v>
      </c>
      <c r="DI3" s="228">
        <v>-1.06</v>
      </c>
      <c r="DJ3" s="228">
        <v>-1.06</v>
      </c>
      <c r="DK3" s="228">
        <v>23.72</v>
      </c>
      <c r="DL3" s="228">
        <v>24.61</v>
      </c>
      <c r="DM3" s="228">
        <v>-0.89</v>
      </c>
      <c r="DN3" s="228">
        <v>-0.89</v>
      </c>
      <c r="DO3" s="228">
        <v>0.73</v>
      </c>
      <c r="DP3" s="228">
        <v>0.68</v>
      </c>
      <c r="DQ3" s="228">
        <v>0.05</v>
      </c>
      <c r="DR3" s="229">
        <v>7.3499999999999996E-2</v>
      </c>
      <c r="DS3" s="231">
        <v>1500</v>
      </c>
      <c r="DT3" s="231">
        <v>1400</v>
      </c>
      <c r="DU3" s="228">
        <v>0.39</v>
      </c>
      <c r="DV3" s="228">
        <v>0.4</v>
      </c>
      <c r="DW3" s="228">
        <v>-0.01</v>
      </c>
      <c r="DX3" s="229">
        <v>-2.5000000000000001E-2</v>
      </c>
      <c r="DY3" s="229">
        <v>4.6600000000000003E-2</v>
      </c>
      <c r="DZ3" s="230">
        <v>887300</v>
      </c>
      <c r="EA3" s="229">
        <v>5.5999999999999999E-3</v>
      </c>
      <c r="EB3" s="229">
        <v>4.6600000000000003E-2</v>
      </c>
      <c r="EC3" s="228">
        <v>8.84</v>
      </c>
      <c r="ED3" s="229">
        <v>6.0000000000000001E-3</v>
      </c>
      <c r="EE3" s="230">
        <v>5263819</v>
      </c>
      <c r="EF3" s="230">
        <v>1788639</v>
      </c>
      <c r="EG3" s="229">
        <v>1.9429000000000001</v>
      </c>
      <c r="EH3" s="229">
        <v>0.67279999999999995</v>
      </c>
      <c r="EI3" s="231">
        <v>424711.91</v>
      </c>
      <c r="EJ3" s="231">
        <v>157810.42000000001</v>
      </c>
      <c r="EK3" s="231">
        <v>76358.61</v>
      </c>
      <c r="EL3" s="231">
        <v>5489</v>
      </c>
      <c r="EM3" s="231">
        <v>658880.93999999994</v>
      </c>
      <c r="EN3" s="231">
        <v>372044.87</v>
      </c>
      <c r="EO3" s="231">
        <v>286836.07</v>
      </c>
      <c r="EP3" s="229">
        <v>0.77100000000000002</v>
      </c>
      <c r="EQ3" s="231">
        <v>105150</v>
      </c>
      <c r="ER3" s="231">
        <v>72542</v>
      </c>
      <c r="ES3" s="231">
        <v>341057</v>
      </c>
      <c r="ET3" s="231">
        <v>73799006</v>
      </c>
      <c r="EU3" s="231">
        <v>518749</v>
      </c>
      <c r="EV3" s="231">
        <v>505708</v>
      </c>
      <c r="EW3" s="231">
        <v>13041</v>
      </c>
      <c r="EX3" s="229">
        <v>2.58E-2</v>
      </c>
      <c r="EY3" s="229">
        <v>0.47770000000000001</v>
      </c>
    </row>
    <row r="4" spans="1:155" ht="17.25" thickBot="1" x14ac:dyDescent="0.3">
      <c r="A4" s="226">
        <v>45946</v>
      </c>
      <c r="B4" s="227" t="s">
        <v>170</v>
      </c>
      <c r="C4" s="227" t="s">
        <v>165</v>
      </c>
      <c r="D4" s="231">
        <v>7860.5</v>
      </c>
      <c r="E4" s="231">
        <v>7838</v>
      </c>
      <c r="F4" s="228">
        <v>22.5</v>
      </c>
      <c r="G4" s="229">
        <v>2.8999999999999998E-3</v>
      </c>
      <c r="H4" s="231">
        <v>7833.5</v>
      </c>
      <c r="I4" s="231">
        <v>7826</v>
      </c>
      <c r="J4" s="228">
        <v>7.5</v>
      </c>
      <c r="K4" s="229">
        <v>1E-3</v>
      </c>
      <c r="L4" s="231">
        <v>7860.5</v>
      </c>
      <c r="M4" s="231">
        <v>7838</v>
      </c>
      <c r="N4" s="228">
        <v>22.5</v>
      </c>
      <c r="O4" s="229">
        <v>2.8999999999999998E-3</v>
      </c>
      <c r="P4" s="231">
        <v>7902</v>
      </c>
      <c r="Q4" s="231">
        <v>7882</v>
      </c>
      <c r="R4" s="228">
        <v>20</v>
      </c>
      <c r="S4" s="229">
        <v>2.5000000000000001E-3</v>
      </c>
      <c r="T4" s="231">
        <v>7942</v>
      </c>
      <c r="U4" s="231">
        <v>7927.5</v>
      </c>
      <c r="V4" s="228">
        <v>14.5</v>
      </c>
      <c r="W4" s="229">
        <v>1.8E-3</v>
      </c>
      <c r="X4" s="228">
        <v>27</v>
      </c>
      <c r="Y4" s="228">
        <v>12</v>
      </c>
      <c r="Z4" s="228">
        <v>15</v>
      </c>
      <c r="AA4" s="229">
        <v>3.3999999999999998E-3</v>
      </c>
      <c r="AB4" s="228">
        <v>27</v>
      </c>
      <c r="AC4" s="228">
        <v>12</v>
      </c>
      <c r="AD4" s="228">
        <v>15</v>
      </c>
      <c r="AE4" s="229">
        <v>3.3999999999999998E-3</v>
      </c>
      <c r="AF4" s="228">
        <v>68.5</v>
      </c>
      <c r="AG4" s="228">
        <v>56</v>
      </c>
      <c r="AH4" s="228">
        <v>12.5</v>
      </c>
      <c r="AI4" s="229">
        <v>8.6999999999999994E-3</v>
      </c>
      <c r="AJ4" s="228">
        <v>108.5</v>
      </c>
      <c r="AK4" s="228">
        <v>101.5</v>
      </c>
      <c r="AL4" s="228">
        <v>7</v>
      </c>
      <c r="AM4" s="229">
        <v>1.3899999999999999E-2</v>
      </c>
      <c r="AN4" s="231">
        <v>7862.21</v>
      </c>
      <c r="AO4" s="231">
        <v>7906.18</v>
      </c>
      <c r="AP4" s="228">
        <v>0</v>
      </c>
      <c r="AQ4" s="230">
        <v>1779</v>
      </c>
      <c r="AR4" s="230">
        <v>2214</v>
      </c>
      <c r="AS4" s="228">
        <v>-435</v>
      </c>
      <c r="AT4" s="229">
        <v>-0.19650000000000001</v>
      </c>
      <c r="AU4" s="230">
        <v>1638</v>
      </c>
      <c r="AV4" s="230">
        <v>1975</v>
      </c>
      <c r="AW4" s="228">
        <v>-337</v>
      </c>
      <c r="AX4" s="229">
        <v>-0.1706</v>
      </c>
      <c r="AY4" s="228">
        <v>132</v>
      </c>
      <c r="AZ4" s="228">
        <v>225</v>
      </c>
      <c r="BA4" s="228">
        <v>-93</v>
      </c>
      <c r="BB4" s="229">
        <v>-0.4133</v>
      </c>
      <c r="BC4" s="228">
        <v>9</v>
      </c>
      <c r="BD4" s="228">
        <v>14</v>
      </c>
      <c r="BE4" s="228">
        <v>-5</v>
      </c>
      <c r="BF4" s="229">
        <v>-0.35709999999999997</v>
      </c>
      <c r="BG4" s="230">
        <v>7534</v>
      </c>
      <c r="BH4" s="230">
        <v>13791</v>
      </c>
      <c r="BI4" s="230">
        <v>-6257</v>
      </c>
      <c r="BJ4" s="229">
        <v>-0.45369999999999999</v>
      </c>
      <c r="BK4" s="230">
        <v>4624</v>
      </c>
      <c r="BL4" s="230">
        <v>8747</v>
      </c>
      <c r="BM4" s="230">
        <v>-4123</v>
      </c>
      <c r="BN4" s="229">
        <v>-0.47139999999999999</v>
      </c>
      <c r="BO4" s="230">
        <v>13937</v>
      </c>
      <c r="BP4" s="230">
        <v>24752</v>
      </c>
      <c r="BQ4" s="230">
        <v>-10815</v>
      </c>
      <c r="BR4" s="229">
        <v>-0.43690000000000001</v>
      </c>
      <c r="BS4" s="230">
        <v>179699</v>
      </c>
      <c r="BT4" s="230">
        <v>215702</v>
      </c>
      <c r="BU4" s="230">
        <v>-36003</v>
      </c>
      <c r="BV4" s="229">
        <v>-0.16689999999999999</v>
      </c>
      <c r="BW4" s="230">
        <v>2804375</v>
      </c>
      <c r="BX4" s="230">
        <v>2801375</v>
      </c>
      <c r="BY4" s="230">
        <v>3000</v>
      </c>
      <c r="BZ4" s="229">
        <v>1.1000000000000001E-3</v>
      </c>
      <c r="CA4" s="230">
        <v>2743375</v>
      </c>
      <c r="CB4" s="230">
        <v>2746000</v>
      </c>
      <c r="CC4" s="230">
        <v>-2625</v>
      </c>
      <c r="CD4" s="229">
        <v>-1E-3</v>
      </c>
      <c r="CE4" s="230">
        <v>53625</v>
      </c>
      <c r="CF4" s="230">
        <v>47875</v>
      </c>
      <c r="CG4" s="230">
        <v>5750</v>
      </c>
      <c r="CH4" s="229">
        <v>0.1201</v>
      </c>
      <c r="CI4" s="230">
        <v>7375</v>
      </c>
      <c r="CJ4" s="230">
        <v>7500</v>
      </c>
      <c r="CK4" s="228">
        <v>-125</v>
      </c>
      <c r="CL4" s="229">
        <v>-1.67E-2</v>
      </c>
      <c r="CM4" s="230">
        <v>603000</v>
      </c>
      <c r="CN4" s="230">
        <v>642750</v>
      </c>
      <c r="CO4" s="230">
        <v>-39750</v>
      </c>
      <c r="CP4" s="229">
        <v>-6.1800000000000001E-2</v>
      </c>
      <c r="CQ4" s="230">
        <v>524875</v>
      </c>
      <c r="CR4" s="230">
        <v>520250</v>
      </c>
      <c r="CS4" s="230">
        <v>4625</v>
      </c>
      <c r="CT4" s="229">
        <v>8.8999999999999999E-3</v>
      </c>
      <c r="CU4" s="230">
        <v>3932250</v>
      </c>
      <c r="CV4" s="230">
        <v>3964375</v>
      </c>
      <c r="CW4" s="230">
        <v>-32125</v>
      </c>
      <c r="CX4" s="229">
        <v>-8.0999999999999996E-3</v>
      </c>
      <c r="CY4" s="228">
        <v>16.34</v>
      </c>
      <c r="CZ4" s="228">
        <v>16.89</v>
      </c>
      <c r="DA4" s="228">
        <v>-0.55000000000000004</v>
      </c>
      <c r="DB4" s="228">
        <v>-0.55000000000000004</v>
      </c>
      <c r="DC4" s="228">
        <v>26.45</v>
      </c>
      <c r="DD4" s="228">
        <v>26.52</v>
      </c>
      <c r="DE4" s="228">
        <v>-10.11</v>
      </c>
      <c r="DF4" s="228">
        <v>-7.0000000000000007E-2</v>
      </c>
      <c r="DG4" s="228">
        <v>16.07</v>
      </c>
      <c r="DH4" s="228">
        <v>16.36</v>
      </c>
      <c r="DI4" s="228">
        <v>-0.28999999999999998</v>
      </c>
      <c r="DJ4" s="228">
        <v>-0.28999999999999998</v>
      </c>
      <c r="DK4" s="228">
        <v>16.77</v>
      </c>
      <c r="DL4" s="228">
        <v>17.73</v>
      </c>
      <c r="DM4" s="228">
        <v>-0.96</v>
      </c>
      <c r="DN4" s="228">
        <v>-0.96</v>
      </c>
      <c r="DO4" s="228">
        <v>0.87</v>
      </c>
      <c r="DP4" s="228">
        <v>0.81</v>
      </c>
      <c r="DQ4" s="228">
        <v>0.06</v>
      </c>
      <c r="DR4" s="229">
        <v>7.4099999999999999E-2</v>
      </c>
      <c r="DS4" s="231">
        <v>8000</v>
      </c>
      <c r="DT4" s="231">
        <v>7700</v>
      </c>
      <c r="DU4" s="228">
        <v>0.61</v>
      </c>
      <c r="DV4" s="228">
        <v>0.63</v>
      </c>
      <c r="DW4" s="228">
        <v>-0.02</v>
      </c>
      <c r="DX4" s="229">
        <v>-3.1699999999999999E-2</v>
      </c>
      <c r="DY4" s="229">
        <v>2.18E-2</v>
      </c>
      <c r="DZ4" s="230">
        <v>55375</v>
      </c>
      <c r="EA4" s="229">
        <v>5.3E-3</v>
      </c>
      <c r="EB4" s="229">
        <v>2.18E-2</v>
      </c>
      <c r="EC4" s="228">
        <v>43.97</v>
      </c>
      <c r="ED4" s="229">
        <v>5.5999999999999999E-3</v>
      </c>
      <c r="EE4" s="230">
        <v>119854</v>
      </c>
      <c r="EF4" s="230">
        <v>127087</v>
      </c>
      <c r="EG4" s="229">
        <v>-5.6899999999999999E-2</v>
      </c>
      <c r="EH4" s="229">
        <v>0.66700000000000004</v>
      </c>
      <c r="EI4" s="231">
        <v>75446.69</v>
      </c>
      <c r="EJ4" s="231">
        <v>44816.75</v>
      </c>
      <c r="EK4" s="231">
        <v>17491.77</v>
      </c>
      <c r="EL4" s="231">
        <v>2177</v>
      </c>
      <c r="EM4" s="231">
        <v>137755.21</v>
      </c>
      <c r="EN4" s="231">
        <v>243260.33</v>
      </c>
      <c r="EO4" s="231">
        <v>-105505.12</v>
      </c>
      <c r="EP4" s="229">
        <v>-0.43369999999999997</v>
      </c>
      <c r="EQ4" s="231">
        <v>47745</v>
      </c>
      <c r="ER4" s="231">
        <v>39397</v>
      </c>
      <c r="ES4" s="231">
        <v>220466</v>
      </c>
      <c r="ET4" s="231">
        <v>15240043</v>
      </c>
      <c r="EU4" s="231">
        <v>307608</v>
      </c>
      <c r="EV4" s="231">
        <v>309462</v>
      </c>
      <c r="EW4" s="231">
        <v>-1854</v>
      </c>
      <c r="EX4" s="229">
        <v>-6.0000000000000001E-3</v>
      </c>
      <c r="EY4" s="229">
        <v>0.25800000000000001</v>
      </c>
    </row>
    <row r="5" spans="1:155" ht="17.25" thickBot="1" x14ac:dyDescent="0.3">
      <c r="A5" s="226">
        <v>45946</v>
      </c>
      <c r="B5" s="227" t="s">
        <v>168</v>
      </c>
      <c r="C5" s="227" t="s">
        <v>169</v>
      </c>
      <c r="D5" s="231">
        <v>2417.9</v>
      </c>
      <c r="E5" s="231">
        <v>2384.9</v>
      </c>
      <c r="F5" s="228">
        <v>33</v>
      </c>
      <c r="G5" s="229">
        <v>1.38E-2</v>
      </c>
      <c r="H5" s="231">
        <v>2409.6999999999998</v>
      </c>
      <c r="I5" s="231">
        <v>2375.1</v>
      </c>
      <c r="J5" s="228">
        <v>34.6</v>
      </c>
      <c r="K5" s="229">
        <v>1.46E-2</v>
      </c>
      <c r="L5" s="231">
        <v>2417.9</v>
      </c>
      <c r="M5" s="231">
        <v>2384.9</v>
      </c>
      <c r="N5" s="228">
        <v>33</v>
      </c>
      <c r="O5" s="229">
        <v>1.38E-2</v>
      </c>
      <c r="P5" s="231">
        <v>2425.6</v>
      </c>
      <c r="Q5" s="231">
        <v>2392.6999999999998</v>
      </c>
      <c r="R5" s="228">
        <v>32.9</v>
      </c>
      <c r="S5" s="229">
        <v>1.38E-2</v>
      </c>
      <c r="T5" s="231">
        <v>2441.8000000000002</v>
      </c>
      <c r="U5" s="231">
        <v>2407.1</v>
      </c>
      <c r="V5" s="228">
        <v>34.700000000000003</v>
      </c>
      <c r="W5" s="229">
        <v>1.44E-2</v>
      </c>
      <c r="X5" s="228">
        <v>8.1999999999999993</v>
      </c>
      <c r="Y5" s="228">
        <v>9.8000000000000007</v>
      </c>
      <c r="Z5" s="228">
        <v>-1.6</v>
      </c>
      <c r="AA5" s="229">
        <v>3.3999999999999998E-3</v>
      </c>
      <c r="AB5" s="228">
        <v>8.1999999999999993</v>
      </c>
      <c r="AC5" s="228">
        <v>9.8000000000000007</v>
      </c>
      <c r="AD5" s="228">
        <v>-1.6</v>
      </c>
      <c r="AE5" s="229">
        <v>3.3999999999999998E-3</v>
      </c>
      <c r="AF5" s="228">
        <v>15.9</v>
      </c>
      <c r="AG5" s="228">
        <v>17.600000000000001</v>
      </c>
      <c r="AH5" s="228">
        <v>-1.7</v>
      </c>
      <c r="AI5" s="229">
        <v>6.6E-3</v>
      </c>
      <c r="AJ5" s="228">
        <v>32.1</v>
      </c>
      <c r="AK5" s="228">
        <v>32</v>
      </c>
      <c r="AL5" s="228">
        <v>0.1</v>
      </c>
      <c r="AM5" s="229">
        <v>1.3299999999999999E-2</v>
      </c>
      <c r="AN5" s="231">
        <v>2404.4899999999998</v>
      </c>
      <c r="AO5" s="231">
        <v>2413.1799999999998</v>
      </c>
      <c r="AP5" s="228">
        <v>0</v>
      </c>
      <c r="AQ5" s="230">
        <v>8797</v>
      </c>
      <c r="AR5" s="230">
        <v>9940</v>
      </c>
      <c r="AS5" s="230">
        <v>-1143</v>
      </c>
      <c r="AT5" s="229">
        <v>-0.115</v>
      </c>
      <c r="AU5" s="230">
        <v>7008</v>
      </c>
      <c r="AV5" s="230">
        <v>8121</v>
      </c>
      <c r="AW5" s="230">
        <v>-1113</v>
      </c>
      <c r="AX5" s="229">
        <v>-0.1371</v>
      </c>
      <c r="AY5" s="230">
        <v>1665</v>
      </c>
      <c r="AZ5" s="230">
        <v>1698</v>
      </c>
      <c r="BA5" s="228">
        <v>-33</v>
      </c>
      <c r="BB5" s="229">
        <v>-1.9400000000000001E-2</v>
      </c>
      <c r="BC5" s="228">
        <v>124</v>
      </c>
      <c r="BD5" s="228">
        <v>121</v>
      </c>
      <c r="BE5" s="228">
        <v>3</v>
      </c>
      <c r="BF5" s="229">
        <v>2.4799999999999999E-2</v>
      </c>
      <c r="BG5" s="230">
        <v>43772</v>
      </c>
      <c r="BH5" s="230">
        <v>53098</v>
      </c>
      <c r="BI5" s="230">
        <v>-9326</v>
      </c>
      <c r="BJ5" s="229">
        <v>-0.17560000000000001</v>
      </c>
      <c r="BK5" s="230">
        <v>21030</v>
      </c>
      <c r="BL5" s="230">
        <v>22905</v>
      </c>
      <c r="BM5" s="230">
        <v>-1875</v>
      </c>
      <c r="BN5" s="229">
        <v>-8.1900000000000001E-2</v>
      </c>
      <c r="BO5" s="230">
        <v>73599</v>
      </c>
      <c r="BP5" s="230">
        <v>85943</v>
      </c>
      <c r="BQ5" s="230">
        <v>-12344</v>
      </c>
      <c r="BR5" s="229">
        <v>-0.14360000000000001</v>
      </c>
      <c r="BS5" s="230">
        <v>736968</v>
      </c>
      <c r="BT5" s="230">
        <v>784901</v>
      </c>
      <c r="BU5" s="230">
        <v>-47933</v>
      </c>
      <c r="BV5" s="229">
        <v>-6.1100000000000002E-2</v>
      </c>
      <c r="BW5" s="230">
        <v>13501250</v>
      </c>
      <c r="BX5" s="230">
        <v>13561250</v>
      </c>
      <c r="BY5" s="230">
        <v>-60000</v>
      </c>
      <c r="BZ5" s="229">
        <v>-4.4000000000000003E-3</v>
      </c>
      <c r="CA5" s="230">
        <v>12585000</v>
      </c>
      <c r="CB5" s="230">
        <v>12697000</v>
      </c>
      <c r="CC5" s="230">
        <v>-112000</v>
      </c>
      <c r="CD5" s="229">
        <v>-8.8000000000000005E-3</v>
      </c>
      <c r="CE5" s="230">
        <v>858000</v>
      </c>
      <c r="CF5" s="230">
        <v>801000</v>
      </c>
      <c r="CG5" s="230">
        <v>57000</v>
      </c>
      <c r="CH5" s="229">
        <v>7.1199999999999999E-2</v>
      </c>
      <c r="CI5" s="230">
        <v>58250</v>
      </c>
      <c r="CJ5" s="230">
        <v>63250</v>
      </c>
      <c r="CK5" s="230">
        <v>-5000</v>
      </c>
      <c r="CL5" s="229">
        <v>-7.9100000000000004E-2</v>
      </c>
      <c r="CM5" s="230">
        <v>5833000</v>
      </c>
      <c r="CN5" s="230">
        <v>5791250</v>
      </c>
      <c r="CO5" s="230">
        <v>41750</v>
      </c>
      <c r="CP5" s="229">
        <v>7.1999999999999998E-3</v>
      </c>
      <c r="CQ5" s="230">
        <v>3665250</v>
      </c>
      <c r="CR5" s="230">
        <v>3734250</v>
      </c>
      <c r="CS5" s="230">
        <v>-69000</v>
      </c>
      <c r="CT5" s="229">
        <v>-1.8499999999999999E-2</v>
      </c>
      <c r="CU5" s="230">
        <v>22999500</v>
      </c>
      <c r="CV5" s="230">
        <v>23086750</v>
      </c>
      <c r="CW5" s="230">
        <v>-87250</v>
      </c>
      <c r="CX5" s="229">
        <v>-3.8E-3</v>
      </c>
      <c r="CY5" s="228">
        <v>20.48</v>
      </c>
      <c r="CZ5" s="228">
        <v>19.579999999999998</v>
      </c>
      <c r="DA5" s="228">
        <v>0.9</v>
      </c>
      <c r="DB5" s="228">
        <v>0.9</v>
      </c>
      <c r="DC5" s="228">
        <v>23.57</v>
      </c>
      <c r="DD5" s="228">
        <v>23.55</v>
      </c>
      <c r="DE5" s="228">
        <v>-3.09</v>
      </c>
      <c r="DF5" s="228">
        <v>0.02</v>
      </c>
      <c r="DG5" s="228">
        <v>20.239999999999998</v>
      </c>
      <c r="DH5" s="228">
        <v>19.260000000000002</v>
      </c>
      <c r="DI5" s="228">
        <v>0.98</v>
      </c>
      <c r="DJ5" s="228">
        <v>0.98</v>
      </c>
      <c r="DK5" s="228">
        <v>20.99</v>
      </c>
      <c r="DL5" s="228">
        <v>20.3</v>
      </c>
      <c r="DM5" s="228">
        <v>0.69</v>
      </c>
      <c r="DN5" s="228">
        <v>0.69</v>
      </c>
      <c r="DO5" s="228">
        <v>0.63</v>
      </c>
      <c r="DP5" s="228">
        <v>0.64</v>
      </c>
      <c r="DQ5" s="228">
        <v>-0.01</v>
      </c>
      <c r="DR5" s="229">
        <v>-1.5599999999999999E-2</v>
      </c>
      <c r="DS5" s="231">
        <v>2500</v>
      </c>
      <c r="DT5" s="231">
        <v>2300</v>
      </c>
      <c r="DU5" s="228">
        <v>0.48</v>
      </c>
      <c r="DV5" s="228">
        <v>0.43</v>
      </c>
      <c r="DW5" s="228">
        <v>0.05</v>
      </c>
      <c r="DX5" s="229">
        <v>0.1163</v>
      </c>
      <c r="DY5" s="229">
        <v>6.7900000000000002E-2</v>
      </c>
      <c r="DZ5" s="230">
        <v>864250</v>
      </c>
      <c r="EA5" s="229">
        <v>3.2000000000000002E-3</v>
      </c>
      <c r="EB5" s="229">
        <v>6.7900000000000002E-2</v>
      </c>
      <c r="EC5" s="228">
        <v>8.69</v>
      </c>
      <c r="ED5" s="229">
        <v>3.5999999999999999E-3</v>
      </c>
      <c r="EE5" s="230">
        <v>383454</v>
      </c>
      <c r="EF5" s="230">
        <v>344100</v>
      </c>
      <c r="EG5" s="229">
        <v>0.1144</v>
      </c>
      <c r="EH5" s="229">
        <v>0.52029999999999998</v>
      </c>
      <c r="EI5" s="231">
        <v>270410.37</v>
      </c>
      <c r="EJ5" s="231">
        <v>123925.02</v>
      </c>
      <c r="EK5" s="231">
        <v>52925.11</v>
      </c>
      <c r="EL5" s="231">
        <v>6012</v>
      </c>
      <c r="EM5" s="231">
        <v>447260.5</v>
      </c>
      <c r="EN5" s="231">
        <v>516130.77</v>
      </c>
      <c r="EO5" s="231">
        <v>-68870.27</v>
      </c>
      <c r="EP5" s="229">
        <v>-0.13339999999999999</v>
      </c>
      <c r="EQ5" s="231">
        <v>145158</v>
      </c>
      <c r="ER5" s="231">
        <v>84732</v>
      </c>
      <c r="ES5" s="231">
        <v>326527</v>
      </c>
      <c r="ET5" s="231">
        <v>52357280</v>
      </c>
      <c r="EU5" s="231">
        <v>556416</v>
      </c>
      <c r="EV5" s="231">
        <v>553313</v>
      </c>
      <c r="EW5" s="231">
        <v>3103</v>
      </c>
      <c r="EX5" s="229">
        <v>5.5999999999999999E-3</v>
      </c>
      <c r="EY5" s="229">
        <v>0.43930000000000002</v>
      </c>
    </row>
    <row r="6" spans="1:155" ht="17.25" thickBot="1" x14ac:dyDescent="0.3">
      <c r="A6" s="226">
        <v>45946</v>
      </c>
      <c r="B6" s="227" t="s">
        <v>172</v>
      </c>
      <c r="C6" s="227" t="s">
        <v>173</v>
      </c>
      <c r="D6" s="231">
        <v>1197.5999999999999</v>
      </c>
      <c r="E6" s="231">
        <v>1174.5999999999999</v>
      </c>
      <c r="F6" s="228">
        <v>23</v>
      </c>
      <c r="G6" s="229">
        <v>1.9599999999999999E-2</v>
      </c>
      <c r="H6" s="231">
        <v>1196.3</v>
      </c>
      <c r="I6" s="231">
        <v>1169.5999999999999</v>
      </c>
      <c r="J6" s="228">
        <v>26.7</v>
      </c>
      <c r="K6" s="229">
        <v>2.2800000000000001E-2</v>
      </c>
      <c r="L6" s="231">
        <v>1197.5999999999999</v>
      </c>
      <c r="M6" s="231">
        <v>1174.5999999999999</v>
      </c>
      <c r="N6" s="228">
        <v>23</v>
      </c>
      <c r="O6" s="229">
        <v>1.9599999999999999E-2</v>
      </c>
      <c r="P6" s="231">
        <v>1204.3</v>
      </c>
      <c r="Q6" s="231">
        <v>1180.7</v>
      </c>
      <c r="R6" s="228">
        <v>23.6</v>
      </c>
      <c r="S6" s="229">
        <v>0.02</v>
      </c>
      <c r="T6" s="231">
        <v>1211.2</v>
      </c>
      <c r="U6" s="231">
        <v>1188.5999999999999</v>
      </c>
      <c r="V6" s="228">
        <v>22.6</v>
      </c>
      <c r="W6" s="229">
        <v>1.9E-2</v>
      </c>
      <c r="X6" s="228">
        <v>1.3</v>
      </c>
      <c r="Y6" s="228">
        <v>5</v>
      </c>
      <c r="Z6" s="228">
        <v>-3.7</v>
      </c>
      <c r="AA6" s="229">
        <v>1.1000000000000001E-3</v>
      </c>
      <c r="AB6" s="228">
        <v>1.3</v>
      </c>
      <c r="AC6" s="228">
        <v>5</v>
      </c>
      <c r="AD6" s="228">
        <v>-3.7</v>
      </c>
      <c r="AE6" s="229">
        <v>1.1000000000000001E-3</v>
      </c>
      <c r="AF6" s="228">
        <v>8</v>
      </c>
      <c r="AG6" s="228">
        <v>11.1</v>
      </c>
      <c r="AH6" s="228">
        <v>-3.1</v>
      </c>
      <c r="AI6" s="229">
        <v>6.7000000000000002E-3</v>
      </c>
      <c r="AJ6" s="228">
        <v>14.9</v>
      </c>
      <c r="AK6" s="228">
        <v>19</v>
      </c>
      <c r="AL6" s="228">
        <v>-4.0999999999999996</v>
      </c>
      <c r="AM6" s="229">
        <v>1.2500000000000001E-2</v>
      </c>
      <c r="AN6" s="231">
        <v>1200.3499999999999</v>
      </c>
      <c r="AO6" s="231">
        <v>1206.1400000000001</v>
      </c>
      <c r="AP6" s="228">
        <v>0</v>
      </c>
      <c r="AQ6" s="230">
        <v>45244</v>
      </c>
      <c r="AR6" s="230">
        <v>26765</v>
      </c>
      <c r="AS6" s="230">
        <v>18479</v>
      </c>
      <c r="AT6" s="229">
        <v>0.69040000000000001</v>
      </c>
      <c r="AU6" s="230">
        <v>41068</v>
      </c>
      <c r="AV6" s="230">
        <v>24520</v>
      </c>
      <c r="AW6" s="230">
        <v>16548</v>
      </c>
      <c r="AX6" s="229">
        <v>0.67490000000000006</v>
      </c>
      <c r="AY6" s="230">
        <v>3992</v>
      </c>
      <c r="AZ6" s="230">
        <v>2173</v>
      </c>
      <c r="BA6" s="230">
        <v>1819</v>
      </c>
      <c r="BB6" s="229">
        <v>0.83709999999999996</v>
      </c>
      <c r="BC6" s="228">
        <v>184</v>
      </c>
      <c r="BD6" s="228">
        <v>72</v>
      </c>
      <c r="BE6" s="228">
        <v>112</v>
      </c>
      <c r="BF6" s="229">
        <v>1.5556000000000001</v>
      </c>
      <c r="BG6" s="230">
        <v>198119</v>
      </c>
      <c r="BH6" s="230">
        <v>79594</v>
      </c>
      <c r="BI6" s="230">
        <v>118525</v>
      </c>
      <c r="BJ6" s="229">
        <v>1.4891000000000001</v>
      </c>
      <c r="BK6" s="230">
        <v>143064</v>
      </c>
      <c r="BL6" s="230">
        <v>59860</v>
      </c>
      <c r="BM6" s="230">
        <v>83204</v>
      </c>
      <c r="BN6" s="229">
        <v>1.39</v>
      </c>
      <c r="BO6" s="230">
        <v>386427</v>
      </c>
      <c r="BP6" s="230">
        <v>166219</v>
      </c>
      <c r="BQ6" s="230">
        <v>220208</v>
      </c>
      <c r="BR6" s="229">
        <v>1.3248</v>
      </c>
      <c r="BS6" s="230">
        <v>18646244</v>
      </c>
      <c r="BT6" s="230">
        <v>6532725</v>
      </c>
      <c r="BU6" s="230">
        <v>12113519</v>
      </c>
      <c r="BV6" s="229">
        <v>1.8543000000000001</v>
      </c>
      <c r="BW6" s="230">
        <v>76499375</v>
      </c>
      <c r="BX6" s="230">
        <v>79362500</v>
      </c>
      <c r="BY6" s="230">
        <v>-2863125</v>
      </c>
      <c r="BZ6" s="229">
        <v>-3.61E-2</v>
      </c>
      <c r="CA6" s="230">
        <v>73357500</v>
      </c>
      <c r="CB6" s="230">
        <v>76843750</v>
      </c>
      <c r="CC6" s="230">
        <v>-3486250</v>
      </c>
      <c r="CD6" s="229">
        <v>-4.5400000000000003E-2</v>
      </c>
      <c r="CE6" s="230">
        <v>2936250</v>
      </c>
      <c r="CF6" s="230">
        <v>2331875</v>
      </c>
      <c r="CG6" s="230">
        <v>604375</v>
      </c>
      <c r="CH6" s="229">
        <v>0.25919999999999999</v>
      </c>
      <c r="CI6" s="230">
        <v>205625</v>
      </c>
      <c r="CJ6" s="230">
        <v>186875</v>
      </c>
      <c r="CK6" s="230">
        <v>18750</v>
      </c>
      <c r="CL6" s="229">
        <v>0.1003</v>
      </c>
      <c r="CM6" s="230">
        <v>32700000</v>
      </c>
      <c r="CN6" s="230">
        <v>32116250</v>
      </c>
      <c r="CO6" s="230">
        <v>583750</v>
      </c>
      <c r="CP6" s="229">
        <v>1.8200000000000001E-2</v>
      </c>
      <c r="CQ6" s="230">
        <v>18995000</v>
      </c>
      <c r="CR6" s="230">
        <v>19630625</v>
      </c>
      <c r="CS6" s="230">
        <v>-635625</v>
      </c>
      <c r="CT6" s="229">
        <v>-3.2399999999999998E-2</v>
      </c>
      <c r="CU6" s="230">
        <v>128194375</v>
      </c>
      <c r="CV6" s="230">
        <v>131109375</v>
      </c>
      <c r="CW6" s="230">
        <v>-2915000</v>
      </c>
      <c r="CX6" s="229">
        <v>-2.2200000000000001E-2</v>
      </c>
      <c r="CY6" s="228">
        <v>19.309999999999999</v>
      </c>
      <c r="CZ6" s="228">
        <v>28.3</v>
      </c>
      <c r="DA6" s="228">
        <v>-8.99</v>
      </c>
      <c r="DB6" s="228">
        <v>-8.99</v>
      </c>
      <c r="DC6" s="228">
        <v>26.99</v>
      </c>
      <c r="DD6" s="228">
        <v>26.88</v>
      </c>
      <c r="DE6" s="228">
        <v>-7.68</v>
      </c>
      <c r="DF6" s="228">
        <v>0.11</v>
      </c>
      <c r="DG6" s="228">
        <v>18.38</v>
      </c>
      <c r="DH6" s="228">
        <v>27.37</v>
      </c>
      <c r="DI6" s="228">
        <v>-8.99</v>
      </c>
      <c r="DJ6" s="228">
        <v>-8.99</v>
      </c>
      <c r="DK6" s="228">
        <v>20.6</v>
      </c>
      <c r="DL6" s="228">
        <v>29.53</v>
      </c>
      <c r="DM6" s="228">
        <v>-8.93</v>
      </c>
      <c r="DN6" s="228">
        <v>-8.93</v>
      </c>
      <c r="DO6" s="228">
        <v>0.57999999999999996</v>
      </c>
      <c r="DP6" s="228">
        <v>0.61</v>
      </c>
      <c r="DQ6" s="228">
        <v>-0.03</v>
      </c>
      <c r="DR6" s="229">
        <v>-4.9200000000000001E-2</v>
      </c>
      <c r="DS6" s="231">
        <v>1200</v>
      </c>
      <c r="DT6" s="231">
        <v>1200</v>
      </c>
      <c r="DU6" s="228">
        <v>0.72</v>
      </c>
      <c r="DV6" s="228">
        <v>0.75</v>
      </c>
      <c r="DW6" s="228">
        <v>-0.03</v>
      </c>
      <c r="DX6" s="229">
        <v>-0.04</v>
      </c>
      <c r="DY6" s="229">
        <v>4.1099999999999998E-2</v>
      </c>
      <c r="DZ6" s="230">
        <v>2518750</v>
      </c>
      <c r="EA6" s="229">
        <v>5.5999999999999999E-3</v>
      </c>
      <c r="EB6" s="229">
        <v>4.1099999999999998E-2</v>
      </c>
      <c r="EC6" s="228">
        <v>5.79</v>
      </c>
      <c r="ED6" s="229">
        <v>4.7999999999999996E-3</v>
      </c>
      <c r="EE6" s="230">
        <v>11057192</v>
      </c>
      <c r="EF6" s="230">
        <v>4217733</v>
      </c>
      <c r="EG6" s="229">
        <v>1.6215999999999999</v>
      </c>
      <c r="EH6" s="229">
        <v>0.59299999999999997</v>
      </c>
      <c r="EI6" s="231">
        <v>1523422.61</v>
      </c>
      <c r="EJ6" s="231">
        <v>1050616.57</v>
      </c>
      <c r="EK6" s="231">
        <v>339588.3</v>
      </c>
      <c r="EL6" s="231">
        <v>21128</v>
      </c>
      <c r="EM6" s="231">
        <v>2913627.48</v>
      </c>
      <c r="EN6" s="231">
        <v>1235428.43</v>
      </c>
      <c r="EO6" s="231">
        <v>1678199.05</v>
      </c>
      <c r="EP6" s="229">
        <v>1.3584000000000001</v>
      </c>
      <c r="EQ6" s="231">
        <v>395954</v>
      </c>
      <c r="ER6" s="231">
        <v>218000</v>
      </c>
      <c r="ES6" s="231">
        <v>916381</v>
      </c>
      <c r="ET6" s="231">
        <v>316147681</v>
      </c>
      <c r="EU6" s="231">
        <v>1530335</v>
      </c>
      <c r="EV6" s="231">
        <v>1542904</v>
      </c>
      <c r="EW6" s="231">
        <v>-12569</v>
      </c>
      <c r="EX6" s="229">
        <v>-8.0999999999999996E-3</v>
      </c>
      <c r="EY6" s="229">
        <v>0.40550000000000003</v>
      </c>
    </row>
    <row r="7" spans="1:155" ht="17.25" thickBot="1" x14ac:dyDescent="0.3">
      <c r="A7" s="226">
        <v>45946</v>
      </c>
      <c r="B7" s="227" t="s">
        <v>162</v>
      </c>
      <c r="C7" s="227" t="s">
        <v>174</v>
      </c>
      <c r="D7" s="231">
        <v>9158</v>
      </c>
      <c r="E7" s="231">
        <v>9036.5</v>
      </c>
      <c r="F7" s="228">
        <v>121.5</v>
      </c>
      <c r="G7" s="229">
        <v>1.34E-2</v>
      </c>
      <c r="H7" s="231">
        <v>9151.5</v>
      </c>
      <c r="I7" s="231">
        <v>8998</v>
      </c>
      <c r="J7" s="228">
        <v>153.5</v>
      </c>
      <c r="K7" s="229">
        <v>1.7100000000000001E-2</v>
      </c>
      <c r="L7" s="231">
        <v>9158</v>
      </c>
      <c r="M7" s="231">
        <v>9036.5</v>
      </c>
      <c r="N7" s="228">
        <v>121.5</v>
      </c>
      <c r="O7" s="229">
        <v>1.34E-2</v>
      </c>
      <c r="P7" s="231">
        <v>9184</v>
      </c>
      <c r="Q7" s="231">
        <v>9067.5</v>
      </c>
      <c r="R7" s="228">
        <v>116.5</v>
      </c>
      <c r="S7" s="229">
        <v>1.2800000000000001E-2</v>
      </c>
      <c r="T7" s="231">
        <v>9219.5</v>
      </c>
      <c r="U7" s="231">
        <v>9104.5</v>
      </c>
      <c r="V7" s="228">
        <v>115</v>
      </c>
      <c r="W7" s="229">
        <v>1.26E-2</v>
      </c>
      <c r="X7" s="228">
        <v>6.5</v>
      </c>
      <c r="Y7" s="228">
        <v>38.5</v>
      </c>
      <c r="Z7" s="228">
        <v>-32</v>
      </c>
      <c r="AA7" s="229">
        <v>6.9999999999999999E-4</v>
      </c>
      <c r="AB7" s="228">
        <v>6.5</v>
      </c>
      <c r="AC7" s="228">
        <v>38.5</v>
      </c>
      <c r="AD7" s="228">
        <v>-32</v>
      </c>
      <c r="AE7" s="229">
        <v>6.9999999999999999E-4</v>
      </c>
      <c r="AF7" s="228">
        <v>32.5</v>
      </c>
      <c r="AG7" s="228">
        <v>69.5</v>
      </c>
      <c r="AH7" s="228">
        <v>-37</v>
      </c>
      <c r="AI7" s="229">
        <v>3.5999999999999999E-3</v>
      </c>
      <c r="AJ7" s="228">
        <v>68</v>
      </c>
      <c r="AK7" s="228">
        <v>106.5</v>
      </c>
      <c r="AL7" s="228">
        <v>-38.5</v>
      </c>
      <c r="AM7" s="229">
        <v>7.4000000000000003E-3</v>
      </c>
      <c r="AN7" s="231">
        <v>9158.2999999999993</v>
      </c>
      <c r="AO7" s="231">
        <v>9178.58</v>
      </c>
      <c r="AP7" s="228">
        <v>0</v>
      </c>
      <c r="AQ7" s="230">
        <v>8464</v>
      </c>
      <c r="AR7" s="230">
        <v>10578</v>
      </c>
      <c r="AS7" s="230">
        <v>-2114</v>
      </c>
      <c r="AT7" s="229">
        <v>-0.19980000000000001</v>
      </c>
      <c r="AU7" s="230">
        <v>7331</v>
      </c>
      <c r="AV7" s="230">
        <v>9056</v>
      </c>
      <c r="AW7" s="230">
        <v>-1725</v>
      </c>
      <c r="AX7" s="229">
        <v>-0.1905</v>
      </c>
      <c r="AY7" s="230">
        <v>1032</v>
      </c>
      <c r="AZ7" s="230">
        <v>1432</v>
      </c>
      <c r="BA7" s="228">
        <v>-400</v>
      </c>
      <c r="BB7" s="229">
        <v>-0.27929999999999999</v>
      </c>
      <c r="BC7" s="228">
        <v>101</v>
      </c>
      <c r="BD7" s="228">
        <v>90</v>
      </c>
      <c r="BE7" s="228">
        <v>11</v>
      </c>
      <c r="BF7" s="229">
        <v>0.1222</v>
      </c>
      <c r="BG7" s="230">
        <v>46213</v>
      </c>
      <c r="BH7" s="230">
        <v>57345</v>
      </c>
      <c r="BI7" s="230">
        <v>-11132</v>
      </c>
      <c r="BJ7" s="229">
        <v>-0.19409999999999999</v>
      </c>
      <c r="BK7" s="230">
        <v>19270</v>
      </c>
      <c r="BL7" s="230">
        <v>33133</v>
      </c>
      <c r="BM7" s="230">
        <v>-13863</v>
      </c>
      <c r="BN7" s="229">
        <v>-0.41839999999999999</v>
      </c>
      <c r="BO7" s="230">
        <v>73947</v>
      </c>
      <c r="BP7" s="230">
        <v>101056</v>
      </c>
      <c r="BQ7" s="230">
        <v>-27109</v>
      </c>
      <c r="BR7" s="229">
        <v>-0.26829999999999998</v>
      </c>
      <c r="BS7" s="230">
        <v>356188</v>
      </c>
      <c r="BT7" s="230">
        <v>311090</v>
      </c>
      <c r="BU7" s="230">
        <v>45098</v>
      </c>
      <c r="BV7" s="229">
        <v>0.14499999999999999</v>
      </c>
      <c r="BW7" s="230">
        <v>3056325</v>
      </c>
      <c r="BX7" s="230">
        <v>3063150</v>
      </c>
      <c r="BY7" s="230">
        <v>-6825</v>
      </c>
      <c r="BZ7" s="229">
        <v>-2.2000000000000001E-3</v>
      </c>
      <c r="CA7" s="230">
        <v>2882325</v>
      </c>
      <c r="CB7" s="230">
        <v>2906400</v>
      </c>
      <c r="CC7" s="230">
        <v>-24075</v>
      </c>
      <c r="CD7" s="229">
        <v>-8.3000000000000001E-3</v>
      </c>
      <c r="CE7" s="230">
        <v>155775</v>
      </c>
      <c r="CF7" s="230">
        <v>140400</v>
      </c>
      <c r="CG7" s="230">
        <v>15375</v>
      </c>
      <c r="CH7" s="229">
        <v>0.1095</v>
      </c>
      <c r="CI7" s="230">
        <v>18225</v>
      </c>
      <c r="CJ7" s="230">
        <v>16350</v>
      </c>
      <c r="CK7" s="230">
        <v>1875</v>
      </c>
      <c r="CL7" s="229">
        <v>0.1147</v>
      </c>
      <c r="CM7" s="230">
        <v>1574475</v>
      </c>
      <c r="CN7" s="230">
        <v>1792200</v>
      </c>
      <c r="CO7" s="230">
        <v>-217725</v>
      </c>
      <c r="CP7" s="229">
        <v>-0.1215</v>
      </c>
      <c r="CQ7" s="230">
        <v>1057200</v>
      </c>
      <c r="CR7" s="230">
        <v>1090275</v>
      </c>
      <c r="CS7" s="230">
        <v>-33075</v>
      </c>
      <c r="CT7" s="229">
        <v>-3.0300000000000001E-2</v>
      </c>
      <c r="CU7" s="230">
        <v>5688000</v>
      </c>
      <c r="CV7" s="230">
        <v>5945625</v>
      </c>
      <c r="CW7" s="230">
        <v>-257625</v>
      </c>
      <c r="CX7" s="229">
        <v>-4.3299999999999998E-2</v>
      </c>
      <c r="CY7" s="228">
        <v>21.52</v>
      </c>
      <c r="CZ7" s="228">
        <v>23.41</v>
      </c>
      <c r="DA7" s="228">
        <v>-1.89</v>
      </c>
      <c r="DB7" s="228">
        <v>-1.89</v>
      </c>
      <c r="DC7" s="228">
        <v>30.52</v>
      </c>
      <c r="DD7" s="228">
        <v>30.51</v>
      </c>
      <c r="DE7" s="228">
        <v>-9</v>
      </c>
      <c r="DF7" s="228">
        <v>0.01</v>
      </c>
      <c r="DG7" s="228">
        <v>21.37</v>
      </c>
      <c r="DH7" s="228">
        <v>23.47</v>
      </c>
      <c r="DI7" s="228">
        <v>-2.1</v>
      </c>
      <c r="DJ7" s="228">
        <v>-2.1</v>
      </c>
      <c r="DK7" s="228">
        <v>21.88</v>
      </c>
      <c r="DL7" s="228">
        <v>23.31</v>
      </c>
      <c r="DM7" s="228">
        <v>-1.43</v>
      </c>
      <c r="DN7" s="228">
        <v>-1.43</v>
      </c>
      <c r="DO7" s="228">
        <v>0.67</v>
      </c>
      <c r="DP7" s="228">
        <v>0.61</v>
      </c>
      <c r="DQ7" s="228">
        <v>0.06</v>
      </c>
      <c r="DR7" s="229">
        <v>9.8400000000000001E-2</v>
      </c>
      <c r="DS7" s="231">
        <v>10000</v>
      </c>
      <c r="DT7" s="231">
        <v>8800</v>
      </c>
      <c r="DU7" s="228">
        <v>0.42</v>
      </c>
      <c r="DV7" s="228">
        <v>0.57999999999999996</v>
      </c>
      <c r="DW7" s="228">
        <v>-0.16</v>
      </c>
      <c r="DX7" s="229">
        <v>-0.27589999999999998</v>
      </c>
      <c r="DY7" s="229">
        <v>5.6899999999999999E-2</v>
      </c>
      <c r="DZ7" s="230">
        <v>156750</v>
      </c>
      <c r="EA7" s="229">
        <v>2.8E-3</v>
      </c>
      <c r="EB7" s="229">
        <v>5.6899999999999999E-2</v>
      </c>
      <c r="EC7" s="228">
        <v>20.28</v>
      </c>
      <c r="ED7" s="229">
        <v>2.2000000000000001E-3</v>
      </c>
      <c r="EE7" s="230">
        <v>203113</v>
      </c>
      <c r="EF7" s="230">
        <v>140098</v>
      </c>
      <c r="EG7" s="229">
        <v>0.44979999999999998</v>
      </c>
      <c r="EH7" s="229">
        <v>0.57020000000000004</v>
      </c>
      <c r="EI7" s="231">
        <v>326319.09000000003</v>
      </c>
      <c r="EJ7" s="231">
        <v>129348.76</v>
      </c>
      <c r="EK7" s="231">
        <v>58157.02</v>
      </c>
      <c r="EL7" s="231">
        <v>8014</v>
      </c>
      <c r="EM7" s="231">
        <v>513824.87</v>
      </c>
      <c r="EN7" s="231">
        <v>698157.59</v>
      </c>
      <c r="EO7" s="231">
        <v>-184332.72</v>
      </c>
      <c r="EP7" s="229">
        <v>-0.26400000000000001</v>
      </c>
      <c r="EQ7" s="231">
        <v>148076</v>
      </c>
      <c r="ER7" s="231">
        <v>90877</v>
      </c>
      <c r="ES7" s="231">
        <v>279950</v>
      </c>
      <c r="ET7" s="231">
        <v>12547731</v>
      </c>
      <c r="EU7" s="231">
        <v>518902</v>
      </c>
      <c r="EV7" s="231">
        <v>537857</v>
      </c>
      <c r="EW7" s="231">
        <v>-18955</v>
      </c>
      <c r="EX7" s="229">
        <v>-3.5200000000000002E-2</v>
      </c>
      <c r="EY7" s="229">
        <v>0.45329999999999998</v>
      </c>
    </row>
    <row r="8" spans="1:155" ht="17.25" thickBot="1" x14ac:dyDescent="0.3">
      <c r="A8" s="226">
        <v>45946</v>
      </c>
      <c r="B8" s="227" t="s">
        <v>175</v>
      </c>
      <c r="C8" s="227" t="s">
        <v>176</v>
      </c>
      <c r="D8" s="231">
        <v>2098</v>
      </c>
      <c r="E8" s="231">
        <v>2088.3000000000002</v>
      </c>
      <c r="F8" s="228">
        <v>9.6999999999999993</v>
      </c>
      <c r="G8" s="229">
        <v>4.5999999999999999E-3</v>
      </c>
      <c r="H8" s="231">
        <v>2090.1999999999998</v>
      </c>
      <c r="I8" s="231">
        <v>2084.1</v>
      </c>
      <c r="J8" s="228">
        <v>6.1</v>
      </c>
      <c r="K8" s="229">
        <v>2.8999999999999998E-3</v>
      </c>
      <c r="L8" s="231">
        <v>2098</v>
      </c>
      <c r="M8" s="231">
        <v>2088.3000000000002</v>
      </c>
      <c r="N8" s="228">
        <v>9.6999999999999993</v>
      </c>
      <c r="O8" s="229">
        <v>4.5999999999999999E-3</v>
      </c>
      <c r="P8" s="231">
        <v>2109.4</v>
      </c>
      <c r="Q8" s="231">
        <v>2099.6</v>
      </c>
      <c r="R8" s="228">
        <v>9.8000000000000007</v>
      </c>
      <c r="S8" s="229">
        <v>4.7000000000000002E-3</v>
      </c>
      <c r="T8" s="231">
        <v>2121.3000000000002</v>
      </c>
      <c r="U8" s="231">
        <v>2111</v>
      </c>
      <c r="V8" s="228">
        <v>10.3</v>
      </c>
      <c r="W8" s="229">
        <v>4.8999999999999998E-3</v>
      </c>
      <c r="X8" s="228">
        <v>7.8</v>
      </c>
      <c r="Y8" s="228">
        <v>4.2</v>
      </c>
      <c r="Z8" s="228">
        <v>3.6</v>
      </c>
      <c r="AA8" s="229">
        <v>3.7000000000000002E-3</v>
      </c>
      <c r="AB8" s="228">
        <v>7.8</v>
      </c>
      <c r="AC8" s="228">
        <v>4.2</v>
      </c>
      <c r="AD8" s="228">
        <v>3.6</v>
      </c>
      <c r="AE8" s="229">
        <v>3.7000000000000002E-3</v>
      </c>
      <c r="AF8" s="228">
        <v>19.2</v>
      </c>
      <c r="AG8" s="228">
        <v>15.5</v>
      </c>
      <c r="AH8" s="228">
        <v>3.7</v>
      </c>
      <c r="AI8" s="229">
        <v>9.1999999999999998E-3</v>
      </c>
      <c r="AJ8" s="228">
        <v>31.1</v>
      </c>
      <c r="AK8" s="228">
        <v>26.9</v>
      </c>
      <c r="AL8" s="228">
        <v>4.2</v>
      </c>
      <c r="AM8" s="229">
        <v>1.49E-2</v>
      </c>
      <c r="AN8" s="231">
        <v>2096.33</v>
      </c>
      <c r="AO8" s="231">
        <v>2107.29</v>
      </c>
      <c r="AP8" s="228">
        <v>0</v>
      </c>
      <c r="AQ8" s="230">
        <v>3842</v>
      </c>
      <c r="AR8" s="230">
        <v>5878</v>
      </c>
      <c r="AS8" s="230">
        <v>-2036</v>
      </c>
      <c r="AT8" s="229">
        <v>-0.34639999999999999</v>
      </c>
      <c r="AU8" s="230">
        <v>3158</v>
      </c>
      <c r="AV8" s="230">
        <v>5049</v>
      </c>
      <c r="AW8" s="230">
        <v>-1891</v>
      </c>
      <c r="AX8" s="229">
        <v>-0.3745</v>
      </c>
      <c r="AY8" s="228">
        <v>645</v>
      </c>
      <c r="AZ8" s="228">
        <v>728</v>
      </c>
      <c r="BA8" s="228">
        <v>-83</v>
      </c>
      <c r="BB8" s="229">
        <v>-0.114</v>
      </c>
      <c r="BC8" s="228">
        <v>39</v>
      </c>
      <c r="BD8" s="228">
        <v>101</v>
      </c>
      <c r="BE8" s="228">
        <v>-62</v>
      </c>
      <c r="BF8" s="229">
        <v>-0.6139</v>
      </c>
      <c r="BG8" s="230">
        <v>23879</v>
      </c>
      <c r="BH8" s="230">
        <v>38001</v>
      </c>
      <c r="BI8" s="230">
        <v>-14122</v>
      </c>
      <c r="BJ8" s="229">
        <v>-0.37159999999999999</v>
      </c>
      <c r="BK8" s="230">
        <v>12426</v>
      </c>
      <c r="BL8" s="230">
        <v>16196</v>
      </c>
      <c r="BM8" s="230">
        <v>-3770</v>
      </c>
      <c r="BN8" s="229">
        <v>-0.23280000000000001</v>
      </c>
      <c r="BO8" s="230">
        <v>40147</v>
      </c>
      <c r="BP8" s="230">
        <v>60075</v>
      </c>
      <c r="BQ8" s="230">
        <v>-19928</v>
      </c>
      <c r="BR8" s="229">
        <v>-0.33169999999999999</v>
      </c>
      <c r="BS8" s="230">
        <v>1620190</v>
      </c>
      <c r="BT8" s="230">
        <v>1664034</v>
      </c>
      <c r="BU8" s="230">
        <v>-43844</v>
      </c>
      <c r="BV8" s="229">
        <v>-2.63E-2</v>
      </c>
      <c r="BW8" s="230">
        <v>18635500</v>
      </c>
      <c r="BX8" s="230">
        <v>18199500</v>
      </c>
      <c r="BY8" s="230">
        <v>436000</v>
      </c>
      <c r="BZ8" s="229">
        <v>2.4E-2</v>
      </c>
      <c r="CA8" s="230">
        <v>18092000</v>
      </c>
      <c r="CB8" s="230">
        <v>17795500</v>
      </c>
      <c r="CC8" s="230">
        <v>296500</v>
      </c>
      <c r="CD8" s="229">
        <v>1.67E-2</v>
      </c>
      <c r="CE8" s="230">
        <v>500500</v>
      </c>
      <c r="CF8" s="230">
        <v>364500</v>
      </c>
      <c r="CG8" s="230">
        <v>136000</v>
      </c>
      <c r="CH8" s="229">
        <v>0.37309999999999999</v>
      </c>
      <c r="CI8" s="230">
        <v>43000</v>
      </c>
      <c r="CJ8" s="230">
        <v>39500</v>
      </c>
      <c r="CK8" s="230">
        <v>3500</v>
      </c>
      <c r="CL8" s="229">
        <v>8.8599999999999998E-2</v>
      </c>
      <c r="CM8" s="230">
        <v>5899000</v>
      </c>
      <c r="CN8" s="230">
        <v>5797000</v>
      </c>
      <c r="CO8" s="230">
        <v>102000</v>
      </c>
      <c r="CP8" s="229">
        <v>1.7600000000000001E-2</v>
      </c>
      <c r="CQ8" s="230">
        <v>4510500</v>
      </c>
      <c r="CR8" s="230">
        <v>4163000</v>
      </c>
      <c r="CS8" s="230">
        <v>347500</v>
      </c>
      <c r="CT8" s="229">
        <v>8.3500000000000005E-2</v>
      </c>
      <c r="CU8" s="230">
        <v>29045000</v>
      </c>
      <c r="CV8" s="230">
        <v>28159500</v>
      </c>
      <c r="CW8" s="230">
        <v>885500</v>
      </c>
      <c r="CX8" s="229">
        <v>3.1399999999999997E-2</v>
      </c>
      <c r="CY8" s="228">
        <v>19.29</v>
      </c>
      <c r="CZ8" s="228">
        <v>21.65</v>
      </c>
      <c r="DA8" s="228">
        <v>-2.36</v>
      </c>
      <c r="DB8" s="228">
        <v>-2.36</v>
      </c>
      <c r="DC8" s="228">
        <v>28.19</v>
      </c>
      <c r="DD8" s="228">
        <v>28.25</v>
      </c>
      <c r="DE8" s="228">
        <v>-8.9</v>
      </c>
      <c r="DF8" s="228">
        <v>-0.06</v>
      </c>
      <c r="DG8" s="228">
        <v>17.940000000000001</v>
      </c>
      <c r="DH8" s="228">
        <v>21.14</v>
      </c>
      <c r="DI8" s="228">
        <v>-3.2</v>
      </c>
      <c r="DJ8" s="228">
        <v>-3.2</v>
      </c>
      <c r="DK8" s="228">
        <v>21.89</v>
      </c>
      <c r="DL8" s="228">
        <v>22.86</v>
      </c>
      <c r="DM8" s="228">
        <v>-0.97</v>
      </c>
      <c r="DN8" s="228">
        <v>-0.97</v>
      </c>
      <c r="DO8" s="228">
        <v>0.76</v>
      </c>
      <c r="DP8" s="228">
        <v>0.72</v>
      </c>
      <c r="DQ8" s="228">
        <v>0.04</v>
      </c>
      <c r="DR8" s="229">
        <v>5.5599999999999997E-2</v>
      </c>
      <c r="DS8" s="231">
        <v>2100</v>
      </c>
      <c r="DT8" s="231">
        <v>1800</v>
      </c>
      <c r="DU8" s="228">
        <v>0.52</v>
      </c>
      <c r="DV8" s="228">
        <v>0.43</v>
      </c>
      <c r="DW8" s="228">
        <v>0.09</v>
      </c>
      <c r="DX8" s="229">
        <v>0.20930000000000001</v>
      </c>
      <c r="DY8" s="229">
        <v>2.92E-2</v>
      </c>
      <c r="DZ8" s="230">
        <v>404000</v>
      </c>
      <c r="EA8" s="229">
        <v>5.4000000000000003E-3</v>
      </c>
      <c r="EB8" s="229">
        <v>2.92E-2</v>
      </c>
      <c r="EC8" s="228">
        <v>10.96</v>
      </c>
      <c r="ED8" s="229">
        <v>5.1999999999999998E-3</v>
      </c>
      <c r="EE8" s="230">
        <v>1078265</v>
      </c>
      <c r="EF8" s="230">
        <v>942087</v>
      </c>
      <c r="EG8" s="229">
        <v>0.14449999999999999</v>
      </c>
      <c r="EH8" s="229">
        <v>0.66549999999999998</v>
      </c>
      <c r="EI8" s="231">
        <v>255938.53</v>
      </c>
      <c r="EJ8" s="231">
        <v>126126.53</v>
      </c>
      <c r="EK8" s="231">
        <v>40310.720000000001</v>
      </c>
      <c r="EL8" s="231">
        <v>3012</v>
      </c>
      <c r="EM8" s="231">
        <v>422375.78</v>
      </c>
      <c r="EN8" s="231">
        <v>629630.11</v>
      </c>
      <c r="EO8" s="231">
        <v>-207254.33</v>
      </c>
      <c r="EP8" s="229">
        <v>-0.32919999999999999</v>
      </c>
      <c r="EQ8" s="231">
        <v>124635</v>
      </c>
      <c r="ER8" s="231">
        <v>88744</v>
      </c>
      <c r="ES8" s="231">
        <v>391040</v>
      </c>
      <c r="ET8" s="231">
        <v>65659712</v>
      </c>
      <c r="EU8" s="231">
        <v>604419</v>
      </c>
      <c r="EV8" s="231">
        <v>584280</v>
      </c>
      <c r="EW8" s="231">
        <v>20139</v>
      </c>
      <c r="EX8" s="229">
        <v>3.4500000000000003E-2</v>
      </c>
      <c r="EY8" s="229">
        <v>0.44240000000000002</v>
      </c>
    </row>
    <row r="9" spans="1:155" ht="17.25" thickBot="1" x14ac:dyDescent="0.3">
      <c r="A9" s="226">
        <v>45946</v>
      </c>
      <c r="B9" s="227" t="s">
        <v>175</v>
      </c>
      <c r="C9" s="227" t="s">
        <v>177</v>
      </c>
      <c r="D9" s="231">
        <v>1066.45</v>
      </c>
      <c r="E9" s="231">
        <v>1060.9000000000001</v>
      </c>
      <c r="F9" s="228">
        <v>5.55</v>
      </c>
      <c r="G9" s="229">
        <v>5.1999999999999998E-3</v>
      </c>
      <c r="H9" s="231">
        <v>1065.75</v>
      </c>
      <c r="I9" s="231">
        <v>1059.9000000000001</v>
      </c>
      <c r="J9" s="228">
        <v>5.85</v>
      </c>
      <c r="K9" s="229">
        <v>5.4999999999999997E-3</v>
      </c>
      <c r="L9" s="231">
        <v>1066.45</v>
      </c>
      <c r="M9" s="231">
        <v>1060.9000000000001</v>
      </c>
      <c r="N9" s="228">
        <v>5.55</v>
      </c>
      <c r="O9" s="229">
        <v>5.1999999999999998E-3</v>
      </c>
      <c r="P9" s="231">
        <v>1072.0999999999999</v>
      </c>
      <c r="Q9" s="231">
        <v>1066.3</v>
      </c>
      <c r="R9" s="228">
        <v>5.8</v>
      </c>
      <c r="S9" s="229">
        <v>5.4000000000000003E-3</v>
      </c>
      <c r="T9" s="231">
        <v>1078.45</v>
      </c>
      <c r="U9" s="231">
        <v>1072.5999999999999</v>
      </c>
      <c r="V9" s="228">
        <v>5.85</v>
      </c>
      <c r="W9" s="229">
        <v>5.4999999999999997E-3</v>
      </c>
      <c r="X9" s="228">
        <v>0.7</v>
      </c>
      <c r="Y9" s="228">
        <v>1</v>
      </c>
      <c r="Z9" s="228">
        <v>-0.3</v>
      </c>
      <c r="AA9" s="229">
        <v>6.9999999999999999E-4</v>
      </c>
      <c r="AB9" s="228">
        <v>0.7</v>
      </c>
      <c r="AC9" s="228">
        <v>1</v>
      </c>
      <c r="AD9" s="228">
        <v>-0.3</v>
      </c>
      <c r="AE9" s="229">
        <v>6.9999999999999999E-4</v>
      </c>
      <c r="AF9" s="228">
        <v>6.35</v>
      </c>
      <c r="AG9" s="228">
        <v>6.4</v>
      </c>
      <c r="AH9" s="228">
        <v>-0.05</v>
      </c>
      <c r="AI9" s="229">
        <v>6.0000000000000001E-3</v>
      </c>
      <c r="AJ9" s="228">
        <v>12.7</v>
      </c>
      <c r="AK9" s="228">
        <v>12.7</v>
      </c>
      <c r="AL9" s="228">
        <v>0</v>
      </c>
      <c r="AM9" s="229">
        <v>1.1900000000000001E-2</v>
      </c>
      <c r="AN9" s="231">
        <v>1069.81</v>
      </c>
      <c r="AO9" s="231">
        <v>1076.44</v>
      </c>
      <c r="AP9" s="228">
        <v>0</v>
      </c>
      <c r="AQ9" s="230">
        <v>16783</v>
      </c>
      <c r="AR9" s="230">
        <v>17814</v>
      </c>
      <c r="AS9" s="230">
        <v>-1031</v>
      </c>
      <c r="AT9" s="229">
        <v>-5.79E-2</v>
      </c>
      <c r="AU9" s="230">
        <v>14406</v>
      </c>
      <c r="AV9" s="230">
        <v>15449</v>
      </c>
      <c r="AW9" s="230">
        <v>-1043</v>
      </c>
      <c r="AX9" s="229">
        <v>-6.7500000000000004E-2</v>
      </c>
      <c r="AY9" s="230">
        <v>2223</v>
      </c>
      <c r="AZ9" s="230">
        <v>2138</v>
      </c>
      <c r="BA9" s="228">
        <v>85</v>
      </c>
      <c r="BB9" s="229">
        <v>3.9800000000000002E-2</v>
      </c>
      <c r="BC9" s="228">
        <v>154</v>
      </c>
      <c r="BD9" s="228">
        <v>227</v>
      </c>
      <c r="BE9" s="228">
        <v>-73</v>
      </c>
      <c r="BF9" s="229">
        <v>-0.3216</v>
      </c>
      <c r="BG9" s="230">
        <v>76407</v>
      </c>
      <c r="BH9" s="230">
        <v>81603</v>
      </c>
      <c r="BI9" s="230">
        <v>-5196</v>
      </c>
      <c r="BJ9" s="229">
        <v>-6.3700000000000007E-2</v>
      </c>
      <c r="BK9" s="230">
        <v>48103</v>
      </c>
      <c r="BL9" s="230">
        <v>45631</v>
      </c>
      <c r="BM9" s="230">
        <v>2472</v>
      </c>
      <c r="BN9" s="229">
        <v>5.4199999999999998E-2</v>
      </c>
      <c r="BO9" s="230">
        <v>141293</v>
      </c>
      <c r="BP9" s="230">
        <v>145048</v>
      </c>
      <c r="BQ9" s="230">
        <v>-3755</v>
      </c>
      <c r="BR9" s="229">
        <v>-2.5899999999999999E-2</v>
      </c>
      <c r="BS9" s="230">
        <v>11510799</v>
      </c>
      <c r="BT9" s="230">
        <v>10627512</v>
      </c>
      <c r="BU9" s="230">
        <v>883287</v>
      </c>
      <c r="BV9" s="229">
        <v>8.3099999999999993E-2</v>
      </c>
      <c r="BW9" s="230">
        <v>90078750</v>
      </c>
      <c r="BX9" s="230">
        <v>89824500</v>
      </c>
      <c r="BY9" s="230">
        <v>254250</v>
      </c>
      <c r="BZ9" s="229">
        <v>2.8E-3</v>
      </c>
      <c r="CA9" s="230">
        <v>87235500</v>
      </c>
      <c r="CB9" s="230">
        <v>87404250</v>
      </c>
      <c r="CC9" s="230">
        <v>-168750</v>
      </c>
      <c r="CD9" s="229">
        <v>-1.9E-3</v>
      </c>
      <c r="CE9" s="230">
        <v>2625000</v>
      </c>
      <c r="CF9" s="230">
        <v>2218500</v>
      </c>
      <c r="CG9" s="230">
        <v>406500</v>
      </c>
      <c r="CH9" s="229">
        <v>0.1832</v>
      </c>
      <c r="CI9" s="230">
        <v>218250</v>
      </c>
      <c r="CJ9" s="230">
        <v>201750</v>
      </c>
      <c r="CK9" s="230">
        <v>16500</v>
      </c>
      <c r="CL9" s="229">
        <v>8.1799999999999998E-2</v>
      </c>
      <c r="CM9" s="230">
        <v>19024500</v>
      </c>
      <c r="CN9" s="230">
        <v>18126750</v>
      </c>
      <c r="CO9" s="230">
        <v>897750</v>
      </c>
      <c r="CP9" s="229">
        <v>4.9500000000000002E-2</v>
      </c>
      <c r="CQ9" s="230">
        <v>17023500</v>
      </c>
      <c r="CR9" s="230">
        <v>15591000</v>
      </c>
      <c r="CS9" s="230">
        <v>1432500</v>
      </c>
      <c r="CT9" s="229">
        <v>9.1899999999999996E-2</v>
      </c>
      <c r="CU9" s="230">
        <v>126126750</v>
      </c>
      <c r="CV9" s="230">
        <v>123542250</v>
      </c>
      <c r="CW9" s="230">
        <v>2584500</v>
      </c>
      <c r="CX9" s="229">
        <v>2.0899999999999998E-2</v>
      </c>
      <c r="CY9" s="228">
        <v>22.56</v>
      </c>
      <c r="CZ9" s="228">
        <v>28.23</v>
      </c>
      <c r="DA9" s="228">
        <v>-5.67</v>
      </c>
      <c r="DB9" s="228">
        <v>-5.67</v>
      </c>
      <c r="DC9" s="228">
        <v>31.39</v>
      </c>
      <c r="DD9" s="228">
        <v>31.46</v>
      </c>
      <c r="DE9" s="228">
        <v>-8.83</v>
      </c>
      <c r="DF9" s="228">
        <v>-7.0000000000000007E-2</v>
      </c>
      <c r="DG9" s="228">
        <v>21.68</v>
      </c>
      <c r="DH9" s="228">
        <v>27.37</v>
      </c>
      <c r="DI9" s="228">
        <v>-5.69</v>
      </c>
      <c r="DJ9" s="228">
        <v>-5.69</v>
      </c>
      <c r="DK9" s="228">
        <v>23.96</v>
      </c>
      <c r="DL9" s="228">
        <v>29.76</v>
      </c>
      <c r="DM9" s="228">
        <v>-5.8</v>
      </c>
      <c r="DN9" s="228">
        <v>-5.8</v>
      </c>
      <c r="DO9" s="228">
        <v>0.89</v>
      </c>
      <c r="DP9" s="228">
        <v>0.86</v>
      </c>
      <c r="DQ9" s="228">
        <v>0.03</v>
      </c>
      <c r="DR9" s="229">
        <v>3.49E-2</v>
      </c>
      <c r="DS9" s="231">
        <v>1100</v>
      </c>
      <c r="DT9" s="231">
        <v>1000</v>
      </c>
      <c r="DU9" s="228">
        <v>0.63</v>
      </c>
      <c r="DV9" s="228">
        <v>0.56000000000000005</v>
      </c>
      <c r="DW9" s="228">
        <v>7.0000000000000007E-2</v>
      </c>
      <c r="DX9" s="229">
        <v>0.125</v>
      </c>
      <c r="DY9" s="229">
        <v>3.1600000000000003E-2</v>
      </c>
      <c r="DZ9" s="230">
        <v>2420250</v>
      </c>
      <c r="EA9" s="229">
        <v>5.3E-3</v>
      </c>
      <c r="EB9" s="229">
        <v>3.1600000000000003E-2</v>
      </c>
      <c r="EC9" s="228">
        <v>6.63</v>
      </c>
      <c r="ED9" s="229">
        <v>6.1999999999999998E-3</v>
      </c>
      <c r="EE9" s="230">
        <v>6748719</v>
      </c>
      <c r="EF9" s="230">
        <v>6455368</v>
      </c>
      <c r="EG9" s="229">
        <v>4.5400000000000003E-2</v>
      </c>
      <c r="EH9" s="229">
        <v>0.58630000000000004</v>
      </c>
      <c r="EI9" s="231">
        <v>631614.03</v>
      </c>
      <c r="EJ9" s="231">
        <v>378525.18</v>
      </c>
      <c r="EK9" s="231">
        <v>134784.16</v>
      </c>
      <c r="EL9" s="231">
        <v>10654</v>
      </c>
      <c r="EM9" s="231">
        <v>1144923.3700000001</v>
      </c>
      <c r="EN9" s="231">
        <v>1154100.68</v>
      </c>
      <c r="EO9" s="231">
        <v>-9177.31</v>
      </c>
      <c r="EP9" s="229">
        <v>-8.0000000000000002E-3</v>
      </c>
      <c r="EQ9" s="231">
        <v>202846</v>
      </c>
      <c r="ER9" s="231">
        <v>169756</v>
      </c>
      <c r="ES9" s="231">
        <v>960819</v>
      </c>
      <c r="ET9" s="231">
        <v>281116345</v>
      </c>
      <c r="EU9" s="231">
        <v>1333421</v>
      </c>
      <c r="EV9" s="231">
        <v>1298752</v>
      </c>
      <c r="EW9" s="231">
        <v>34669</v>
      </c>
      <c r="EX9" s="229">
        <v>2.6700000000000002E-2</v>
      </c>
      <c r="EY9" s="229">
        <v>0.44869999999999999</v>
      </c>
    </row>
    <row r="10" spans="1:155" ht="17.25" thickBot="1" x14ac:dyDescent="0.3">
      <c r="A10" s="226">
        <v>45946</v>
      </c>
      <c r="B10" s="227" t="s">
        <v>184</v>
      </c>
      <c r="C10" s="227" t="s">
        <v>185</v>
      </c>
      <c r="D10" s="228">
        <v>413.45</v>
      </c>
      <c r="E10" s="228">
        <v>409.95</v>
      </c>
      <c r="F10" s="228">
        <v>3.5</v>
      </c>
      <c r="G10" s="229">
        <v>8.5000000000000006E-3</v>
      </c>
      <c r="H10" s="228">
        <v>411.8</v>
      </c>
      <c r="I10" s="228">
        <v>408.1</v>
      </c>
      <c r="J10" s="228">
        <v>3.7</v>
      </c>
      <c r="K10" s="229">
        <v>9.1000000000000004E-3</v>
      </c>
      <c r="L10" s="228">
        <v>413.45</v>
      </c>
      <c r="M10" s="228">
        <v>409.95</v>
      </c>
      <c r="N10" s="228">
        <v>3.5</v>
      </c>
      <c r="O10" s="229">
        <v>8.5000000000000006E-3</v>
      </c>
      <c r="P10" s="228">
        <v>415.6</v>
      </c>
      <c r="Q10" s="228">
        <v>412.05</v>
      </c>
      <c r="R10" s="228">
        <v>3.55</v>
      </c>
      <c r="S10" s="229">
        <v>8.6E-3</v>
      </c>
      <c r="T10" s="228">
        <v>418.1</v>
      </c>
      <c r="U10" s="228">
        <v>414.7</v>
      </c>
      <c r="V10" s="228">
        <v>3.4</v>
      </c>
      <c r="W10" s="229">
        <v>8.2000000000000007E-3</v>
      </c>
      <c r="X10" s="228">
        <v>1.65</v>
      </c>
      <c r="Y10" s="228">
        <v>1.85</v>
      </c>
      <c r="Z10" s="228">
        <v>-0.2</v>
      </c>
      <c r="AA10" s="229">
        <v>4.0000000000000001E-3</v>
      </c>
      <c r="AB10" s="228">
        <v>1.65</v>
      </c>
      <c r="AC10" s="228">
        <v>1.85</v>
      </c>
      <c r="AD10" s="228">
        <v>-0.2</v>
      </c>
      <c r="AE10" s="229">
        <v>4.0000000000000001E-3</v>
      </c>
      <c r="AF10" s="228">
        <v>3.8</v>
      </c>
      <c r="AG10" s="228">
        <v>3.95</v>
      </c>
      <c r="AH10" s="228">
        <v>-0.15</v>
      </c>
      <c r="AI10" s="229">
        <v>9.1999999999999998E-3</v>
      </c>
      <c r="AJ10" s="228">
        <v>6.3</v>
      </c>
      <c r="AK10" s="228">
        <v>6.6</v>
      </c>
      <c r="AL10" s="228">
        <v>-0.3</v>
      </c>
      <c r="AM10" s="229">
        <v>1.5299999999999999E-2</v>
      </c>
      <c r="AN10" s="228">
        <v>413.23</v>
      </c>
      <c r="AO10" s="228">
        <v>415.3</v>
      </c>
      <c r="AP10" s="228">
        <v>0</v>
      </c>
      <c r="AQ10" s="230">
        <v>6656</v>
      </c>
      <c r="AR10" s="230">
        <v>7276</v>
      </c>
      <c r="AS10" s="228">
        <v>-620</v>
      </c>
      <c r="AT10" s="229">
        <v>-8.5199999999999998E-2</v>
      </c>
      <c r="AU10" s="230">
        <v>5359</v>
      </c>
      <c r="AV10" s="230">
        <v>5940</v>
      </c>
      <c r="AW10" s="228">
        <v>-581</v>
      </c>
      <c r="AX10" s="229">
        <v>-9.7799999999999998E-2</v>
      </c>
      <c r="AY10" s="230">
        <v>1165</v>
      </c>
      <c r="AZ10" s="230">
        <v>1192</v>
      </c>
      <c r="BA10" s="228">
        <v>-27</v>
      </c>
      <c r="BB10" s="229">
        <v>-2.2700000000000001E-2</v>
      </c>
      <c r="BC10" s="228">
        <v>132</v>
      </c>
      <c r="BD10" s="228">
        <v>144</v>
      </c>
      <c r="BE10" s="228">
        <v>-12</v>
      </c>
      <c r="BF10" s="229">
        <v>-8.3299999999999999E-2</v>
      </c>
      <c r="BG10" s="230">
        <v>26727</v>
      </c>
      <c r="BH10" s="230">
        <v>30802</v>
      </c>
      <c r="BI10" s="230">
        <v>-4075</v>
      </c>
      <c r="BJ10" s="229">
        <v>-0.1323</v>
      </c>
      <c r="BK10" s="230">
        <v>14175</v>
      </c>
      <c r="BL10" s="230">
        <v>16417</v>
      </c>
      <c r="BM10" s="230">
        <v>-2242</v>
      </c>
      <c r="BN10" s="229">
        <v>-0.1366</v>
      </c>
      <c r="BO10" s="230">
        <v>47558</v>
      </c>
      <c r="BP10" s="230">
        <v>54495</v>
      </c>
      <c r="BQ10" s="230">
        <v>-6937</v>
      </c>
      <c r="BR10" s="229">
        <v>-0.1273</v>
      </c>
      <c r="BS10" s="230">
        <v>12260675</v>
      </c>
      <c r="BT10" s="230">
        <v>11371081</v>
      </c>
      <c r="BU10" s="230">
        <v>889594</v>
      </c>
      <c r="BV10" s="229">
        <v>7.8200000000000006E-2</v>
      </c>
      <c r="BW10" s="230">
        <v>112375500</v>
      </c>
      <c r="BX10" s="230">
        <v>112150350</v>
      </c>
      <c r="BY10" s="230">
        <v>225150</v>
      </c>
      <c r="BZ10" s="229">
        <v>2E-3</v>
      </c>
      <c r="CA10" s="230">
        <v>100348500</v>
      </c>
      <c r="CB10" s="230">
        <v>100907100</v>
      </c>
      <c r="CC10" s="230">
        <v>-558600</v>
      </c>
      <c r="CD10" s="229">
        <v>-5.4999999999999997E-3</v>
      </c>
      <c r="CE10" s="230">
        <v>10433850</v>
      </c>
      <c r="CF10" s="230">
        <v>9638700</v>
      </c>
      <c r="CG10" s="230">
        <v>795150</v>
      </c>
      <c r="CH10" s="229">
        <v>8.2500000000000004E-2</v>
      </c>
      <c r="CI10" s="230">
        <v>1593150</v>
      </c>
      <c r="CJ10" s="230">
        <v>1604550</v>
      </c>
      <c r="CK10" s="230">
        <v>-11400</v>
      </c>
      <c r="CL10" s="229">
        <v>-7.1000000000000004E-3</v>
      </c>
      <c r="CM10" s="230">
        <v>71971050</v>
      </c>
      <c r="CN10" s="230">
        <v>74732700</v>
      </c>
      <c r="CO10" s="230">
        <v>-2761650</v>
      </c>
      <c r="CP10" s="229">
        <v>-3.6999999999999998E-2</v>
      </c>
      <c r="CQ10" s="230">
        <v>41838000</v>
      </c>
      <c r="CR10" s="230">
        <v>41875050</v>
      </c>
      <c r="CS10" s="230">
        <v>-37050</v>
      </c>
      <c r="CT10" s="229">
        <v>-8.9999999999999998E-4</v>
      </c>
      <c r="CU10" s="230">
        <v>226184550</v>
      </c>
      <c r="CV10" s="230">
        <v>228758100</v>
      </c>
      <c r="CW10" s="230">
        <v>-2573550</v>
      </c>
      <c r="CX10" s="229">
        <v>-1.1299999999999999E-2</v>
      </c>
      <c r="CY10" s="228">
        <v>23.36</v>
      </c>
      <c r="CZ10" s="228">
        <v>24.2</v>
      </c>
      <c r="DA10" s="228">
        <v>-0.84</v>
      </c>
      <c r="DB10" s="228">
        <v>-0.84</v>
      </c>
      <c r="DC10" s="228">
        <v>37.65</v>
      </c>
      <c r="DD10" s="228">
        <v>37.729999999999997</v>
      </c>
      <c r="DE10" s="228">
        <v>-14.29</v>
      </c>
      <c r="DF10" s="228">
        <v>-0.08</v>
      </c>
      <c r="DG10" s="228">
        <v>23.21</v>
      </c>
      <c r="DH10" s="228">
        <v>24.32</v>
      </c>
      <c r="DI10" s="228">
        <v>-1.1100000000000001</v>
      </c>
      <c r="DJ10" s="228">
        <v>-1.1100000000000001</v>
      </c>
      <c r="DK10" s="228">
        <v>23.62</v>
      </c>
      <c r="DL10" s="228">
        <v>23.97</v>
      </c>
      <c r="DM10" s="228">
        <v>-0.35</v>
      </c>
      <c r="DN10" s="228">
        <v>-0.35</v>
      </c>
      <c r="DO10" s="228">
        <v>0.57999999999999996</v>
      </c>
      <c r="DP10" s="228">
        <v>0.56000000000000005</v>
      </c>
      <c r="DQ10" s="228">
        <v>0.02</v>
      </c>
      <c r="DR10" s="229">
        <v>3.5700000000000003E-2</v>
      </c>
      <c r="DS10" s="228">
        <v>420</v>
      </c>
      <c r="DT10" s="228">
        <v>410</v>
      </c>
      <c r="DU10" s="228">
        <v>0.53</v>
      </c>
      <c r="DV10" s="228">
        <v>0.53</v>
      </c>
      <c r="DW10" s="228">
        <v>0</v>
      </c>
      <c r="DX10" s="229">
        <v>0</v>
      </c>
      <c r="DY10" s="229">
        <v>0.107</v>
      </c>
      <c r="DZ10" s="230">
        <v>11243250</v>
      </c>
      <c r="EA10" s="229">
        <v>5.1999999999999998E-3</v>
      </c>
      <c r="EB10" s="229">
        <v>0.107</v>
      </c>
      <c r="EC10" s="228">
        <v>2.0699999999999998</v>
      </c>
      <c r="ED10" s="229">
        <v>5.0000000000000001E-3</v>
      </c>
      <c r="EE10" s="230">
        <v>7087860</v>
      </c>
      <c r="EF10" s="230">
        <v>5978847</v>
      </c>
      <c r="EG10" s="229">
        <v>0.1855</v>
      </c>
      <c r="EH10" s="229">
        <v>0.57809999999999995</v>
      </c>
      <c r="EI10" s="231">
        <v>325038.19</v>
      </c>
      <c r="EJ10" s="231">
        <v>164094.59</v>
      </c>
      <c r="EK10" s="231">
        <v>78474.37</v>
      </c>
      <c r="EL10" s="231">
        <v>7444</v>
      </c>
      <c r="EM10" s="231">
        <v>567607.15</v>
      </c>
      <c r="EN10" s="231">
        <v>646390.74</v>
      </c>
      <c r="EO10" s="231">
        <v>-78783.59</v>
      </c>
      <c r="EP10" s="229">
        <v>-0.12189999999999999</v>
      </c>
      <c r="EQ10" s="231">
        <v>305942</v>
      </c>
      <c r="ER10" s="231">
        <v>166239</v>
      </c>
      <c r="ES10" s="231">
        <v>464915</v>
      </c>
      <c r="ET10" s="231">
        <v>535778534</v>
      </c>
      <c r="EU10" s="231">
        <v>937096</v>
      </c>
      <c r="EV10" s="231">
        <v>943633</v>
      </c>
      <c r="EW10" s="231">
        <v>-6537</v>
      </c>
      <c r="EX10" s="229">
        <v>-6.8999999999999999E-3</v>
      </c>
      <c r="EY10" s="229">
        <v>0.42220000000000002</v>
      </c>
    </row>
    <row r="11" spans="1:155" ht="17.25" thickBot="1" x14ac:dyDescent="0.3">
      <c r="A11" s="226">
        <v>45946</v>
      </c>
      <c r="B11" s="227" t="s">
        <v>188</v>
      </c>
      <c r="C11" s="227" t="s">
        <v>189</v>
      </c>
      <c r="D11" s="231">
        <v>1974</v>
      </c>
      <c r="E11" s="231">
        <v>1976.3</v>
      </c>
      <c r="F11" s="228">
        <v>-2.2999999999999998</v>
      </c>
      <c r="G11" s="229">
        <v>-1.1999999999999999E-3</v>
      </c>
      <c r="H11" s="231">
        <v>1967.4</v>
      </c>
      <c r="I11" s="231">
        <v>1968.5</v>
      </c>
      <c r="J11" s="228">
        <v>-1.1000000000000001</v>
      </c>
      <c r="K11" s="229">
        <v>-5.9999999999999995E-4</v>
      </c>
      <c r="L11" s="231">
        <v>1974</v>
      </c>
      <c r="M11" s="231">
        <v>1976.3</v>
      </c>
      <c r="N11" s="228">
        <v>-2.2999999999999998</v>
      </c>
      <c r="O11" s="229">
        <v>-1.1999999999999999E-3</v>
      </c>
      <c r="P11" s="231">
        <v>1985.4</v>
      </c>
      <c r="Q11" s="231">
        <v>1987</v>
      </c>
      <c r="R11" s="228">
        <v>-1.6</v>
      </c>
      <c r="S11" s="229">
        <v>-8.0000000000000004E-4</v>
      </c>
      <c r="T11" s="231">
        <v>1997.6</v>
      </c>
      <c r="U11" s="231">
        <v>1999.1</v>
      </c>
      <c r="V11" s="228">
        <v>-1.5</v>
      </c>
      <c r="W11" s="229">
        <v>-8.0000000000000004E-4</v>
      </c>
      <c r="X11" s="228">
        <v>6.6</v>
      </c>
      <c r="Y11" s="228">
        <v>7.8</v>
      </c>
      <c r="Z11" s="228">
        <v>-1.2</v>
      </c>
      <c r="AA11" s="229">
        <v>3.3999999999999998E-3</v>
      </c>
      <c r="AB11" s="228">
        <v>6.6</v>
      </c>
      <c r="AC11" s="228">
        <v>7.8</v>
      </c>
      <c r="AD11" s="228">
        <v>-1.2</v>
      </c>
      <c r="AE11" s="229">
        <v>3.3999999999999998E-3</v>
      </c>
      <c r="AF11" s="228">
        <v>18</v>
      </c>
      <c r="AG11" s="228">
        <v>18.5</v>
      </c>
      <c r="AH11" s="228">
        <v>-0.5</v>
      </c>
      <c r="AI11" s="229">
        <v>9.1000000000000004E-3</v>
      </c>
      <c r="AJ11" s="228">
        <v>30.2</v>
      </c>
      <c r="AK11" s="228">
        <v>30.6</v>
      </c>
      <c r="AL11" s="228">
        <v>-0.4</v>
      </c>
      <c r="AM11" s="229">
        <v>1.54E-2</v>
      </c>
      <c r="AN11" s="231">
        <v>1979.32</v>
      </c>
      <c r="AO11" s="231">
        <v>1989.61</v>
      </c>
      <c r="AP11" s="228">
        <v>0</v>
      </c>
      <c r="AQ11" s="230">
        <v>13925</v>
      </c>
      <c r="AR11" s="230">
        <v>9720</v>
      </c>
      <c r="AS11" s="230">
        <v>4205</v>
      </c>
      <c r="AT11" s="229">
        <v>0.43259999999999998</v>
      </c>
      <c r="AU11" s="230">
        <v>11836</v>
      </c>
      <c r="AV11" s="230">
        <v>8355</v>
      </c>
      <c r="AW11" s="230">
        <v>3481</v>
      </c>
      <c r="AX11" s="229">
        <v>0.41660000000000003</v>
      </c>
      <c r="AY11" s="230">
        <v>2052</v>
      </c>
      <c r="AZ11" s="230">
        <v>1307</v>
      </c>
      <c r="BA11" s="228">
        <v>745</v>
      </c>
      <c r="BB11" s="229">
        <v>0.56999999999999995</v>
      </c>
      <c r="BC11" s="228">
        <v>37</v>
      </c>
      <c r="BD11" s="228">
        <v>58</v>
      </c>
      <c r="BE11" s="228">
        <v>-21</v>
      </c>
      <c r="BF11" s="229">
        <v>-0.36209999999999998</v>
      </c>
      <c r="BG11" s="230">
        <v>42653</v>
      </c>
      <c r="BH11" s="230">
        <v>47490</v>
      </c>
      <c r="BI11" s="230">
        <v>-4837</v>
      </c>
      <c r="BJ11" s="229">
        <v>-0.1019</v>
      </c>
      <c r="BK11" s="230">
        <v>23185</v>
      </c>
      <c r="BL11" s="230">
        <v>24973</v>
      </c>
      <c r="BM11" s="230">
        <v>-1788</v>
      </c>
      <c r="BN11" s="229">
        <v>-7.1599999999999997E-2</v>
      </c>
      <c r="BO11" s="230">
        <v>79763</v>
      </c>
      <c r="BP11" s="230">
        <v>82183</v>
      </c>
      <c r="BQ11" s="230">
        <v>-2420</v>
      </c>
      <c r="BR11" s="229">
        <v>-2.9399999999999999E-2</v>
      </c>
      <c r="BS11" s="230">
        <v>4073528</v>
      </c>
      <c r="BT11" s="230">
        <v>3624262</v>
      </c>
      <c r="BU11" s="230">
        <v>449266</v>
      </c>
      <c r="BV11" s="229">
        <v>0.124</v>
      </c>
      <c r="BW11" s="230">
        <v>49059425</v>
      </c>
      <c r="BX11" s="230">
        <v>49114050</v>
      </c>
      <c r="BY11" s="230">
        <v>-54625</v>
      </c>
      <c r="BZ11" s="229">
        <v>-1.1000000000000001E-3</v>
      </c>
      <c r="CA11" s="230">
        <v>44776350</v>
      </c>
      <c r="CB11" s="230">
        <v>45488850</v>
      </c>
      <c r="CC11" s="230">
        <v>-712500</v>
      </c>
      <c r="CD11" s="229">
        <v>-1.5699999999999999E-2</v>
      </c>
      <c r="CE11" s="230">
        <v>1760350</v>
      </c>
      <c r="CF11" s="230">
        <v>1105325</v>
      </c>
      <c r="CG11" s="230">
        <v>655025</v>
      </c>
      <c r="CH11" s="229">
        <v>0.59260000000000002</v>
      </c>
      <c r="CI11" s="230">
        <v>2522725</v>
      </c>
      <c r="CJ11" s="230">
        <v>2519875</v>
      </c>
      <c r="CK11" s="230">
        <v>2850</v>
      </c>
      <c r="CL11" s="229">
        <v>1.1000000000000001E-3</v>
      </c>
      <c r="CM11" s="230">
        <v>13123775</v>
      </c>
      <c r="CN11" s="230">
        <v>12903850</v>
      </c>
      <c r="CO11" s="230">
        <v>219925</v>
      </c>
      <c r="CP11" s="229">
        <v>1.7000000000000001E-2</v>
      </c>
      <c r="CQ11" s="230">
        <v>7549175</v>
      </c>
      <c r="CR11" s="230">
        <v>7443725</v>
      </c>
      <c r="CS11" s="230">
        <v>105450</v>
      </c>
      <c r="CT11" s="229">
        <v>1.4200000000000001E-2</v>
      </c>
      <c r="CU11" s="230">
        <v>69732375</v>
      </c>
      <c r="CV11" s="230">
        <v>69461625</v>
      </c>
      <c r="CW11" s="230">
        <v>270750</v>
      </c>
      <c r="CX11" s="229">
        <v>3.8999999999999998E-3</v>
      </c>
      <c r="CY11" s="228">
        <v>14.89</v>
      </c>
      <c r="CZ11" s="228">
        <v>14.82</v>
      </c>
      <c r="DA11" s="228">
        <v>7.0000000000000007E-2</v>
      </c>
      <c r="DB11" s="228">
        <v>7.0000000000000007E-2</v>
      </c>
      <c r="DC11" s="228">
        <v>24.59</v>
      </c>
      <c r="DD11" s="228">
        <v>24.65</v>
      </c>
      <c r="DE11" s="228">
        <v>-9.6999999999999993</v>
      </c>
      <c r="DF11" s="228">
        <v>-0.06</v>
      </c>
      <c r="DG11" s="228">
        <v>14.76</v>
      </c>
      <c r="DH11" s="228">
        <v>14.35</v>
      </c>
      <c r="DI11" s="228">
        <v>0.41</v>
      </c>
      <c r="DJ11" s="228">
        <v>0.41</v>
      </c>
      <c r="DK11" s="228">
        <v>15.12</v>
      </c>
      <c r="DL11" s="228">
        <v>15.73</v>
      </c>
      <c r="DM11" s="228">
        <v>-0.61</v>
      </c>
      <c r="DN11" s="228">
        <v>-0.61</v>
      </c>
      <c r="DO11" s="228">
        <v>0.57999999999999996</v>
      </c>
      <c r="DP11" s="228">
        <v>0.57999999999999996</v>
      </c>
      <c r="DQ11" s="228">
        <v>0</v>
      </c>
      <c r="DR11" s="229">
        <v>0</v>
      </c>
      <c r="DS11" s="231">
        <v>1960</v>
      </c>
      <c r="DT11" s="231">
        <v>1960</v>
      </c>
      <c r="DU11" s="228">
        <v>0.54</v>
      </c>
      <c r="DV11" s="228">
        <v>0.53</v>
      </c>
      <c r="DW11" s="228">
        <v>0.01</v>
      </c>
      <c r="DX11" s="229">
        <v>1.89E-2</v>
      </c>
      <c r="DY11" s="229">
        <v>8.7300000000000003E-2</v>
      </c>
      <c r="DZ11" s="230">
        <v>3625200</v>
      </c>
      <c r="EA11" s="229">
        <v>5.7999999999999996E-3</v>
      </c>
      <c r="EB11" s="229">
        <v>8.7300000000000003E-2</v>
      </c>
      <c r="EC11" s="228">
        <v>10.29</v>
      </c>
      <c r="ED11" s="229">
        <v>5.1999999999999998E-3</v>
      </c>
      <c r="EE11" s="230">
        <v>2328079</v>
      </c>
      <c r="EF11" s="230">
        <v>2055235</v>
      </c>
      <c r="EG11" s="229">
        <v>0.1328</v>
      </c>
      <c r="EH11" s="229">
        <v>0.57150000000000001</v>
      </c>
      <c r="EI11" s="231">
        <v>408542.77</v>
      </c>
      <c r="EJ11" s="231">
        <v>216373.99</v>
      </c>
      <c r="EK11" s="231">
        <v>131024.53</v>
      </c>
      <c r="EL11" s="231">
        <v>8999</v>
      </c>
      <c r="EM11" s="231">
        <v>755941.29</v>
      </c>
      <c r="EN11" s="231">
        <v>774761.09</v>
      </c>
      <c r="EO11" s="231">
        <v>-18819.8</v>
      </c>
      <c r="EP11" s="229">
        <v>-2.4299999999999999E-2</v>
      </c>
      <c r="EQ11" s="231">
        <v>259888</v>
      </c>
      <c r="ER11" s="231">
        <v>143498</v>
      </c>
      <c r="ES11" s="231">
        <v>969229</v>
      </c>
      <c r="ET11" s="231">
        <v>314058656</v>
      </c>
      <c r="EU11" s="231">
        <v>1372615</v>
      </c>
      <c r="EV11" s="231">
        <v>1367894</v>
      </c>
      <c r="EW11" s="231">
        <v>4721</v>
      </c>
      <c r="EX11" s="229">
        <v>3.5000000000000001E-3</v>
      </c>
      <c r="EY11" s="229">
        <v>0.222</v>
      </c>
    </row>
    <row r="12" spans="1:155" ht="17.25" thickBot="1" x14ac:dyDescent="0.3">
      <c r="A12" s="226">
        <v>45946</v>
      </c>
      <c r="B12" s="227" t="s">
        <v>170</v>
      </c>
      <c r="C12" s="227" t="s">
        <v>199</v>
      </c>
      <c r="D12" s="231">
        <v>1572.3</v>
      </c>
      <c r="E12" s="231">
        <v>1564.2</v>
      </c>
      <c r="F12" s="228">
        <v>8.1</v>
      </c>
      <c r="G12" s="229">
        <v>5.1999999999999998E-3</v>
      </c>
      <c r="H12" s="231">
        <v>1569.4</v>
      </c>
      <c r="I12" s="231">
        <v>1558.7</v>
      </c>
      <c r="J12" s="228">
        <v>10.7</v>
      </c>
      <c r="K12" s="229">
        <v>6.8999999999999999E-3</v>
      </c>
      <c r="L12" s="231">
        <v>1572.3</v>
      </c>
      <c r="M12" s="231">
        <v>1564.2</v>
      </c>
      <c r="N12" s="228">
        <v>8.1</v>
      </c>
      <c r="O12" s="229">
        <v>5.1999999999999998E-3</v>
      </c>
      <c r="P12" s="231">
        <v>1581.2</v>
      </c>
      <c r="Q12" s="231">
        <v>1572.2</v>
      </c>
      <c r="R12" s="228">
        <v>9</v>
      </c>
      <c r="S12" s="229">
        <v>5.7000000000000002E-3</v>
      </c>
      <c r="T12" s="231">
        <v>1590.4</v>
      </c>
      <c r="U12" s="231">
        <v>1581.6</v>
      </c>
      <c r="V12" s="228">
        <v>8.8000000000000007</v>
      </c>
      <c r="W12" s="229">
        <v>5.5999999999999999E-3</v>
      </c>
      <c r="X12" s="228">
        <v>2.9</v>
      </c>
      <c r="Y12" s="228">
        <v>5.5</v>
      </c>
      <c r="Z12" s="228">
        <v>-2.6</v>
      </c>
      <c r="AA12" s="229">
        <v>1.8E-3</v>
      </c>
      <c r="AB12" s="228">
        <v>2.9</v>
      </c>
      <c r="AC12" s="228">
        <v>5.5</v>
      </c>
      <c r="AD12" s="228">
        <v>-2.6</v>
      </c>
      <c r="AE12" s="229">
        <v>1.8E-3</v>
      </c>
      <c r="AF12" s="228">
        <v>11.8</v>
      </c>
      <c r="AG12" s="228">
        <v>13.5</v>
      </c>
      <c r="AH12" s="228">
        <v>-1.7</v>
      </c>
      <c r="AI12" s="229">
        <v>7.4999999999999997E-3</v>
      </c>
      <c r="AJ12" s="228">
        <v>21</v>
      </c>
      <c r="AK12" s="228">
        <v>22.9</v>
      </c>
      <c r="AL12" s="228">
        <v>-1.9</v>
      </c>
      <c r="AM12" s="229">
        <v>1.34E-2</v>
      </c>
      <c r="AN12" s="231">
        <v>1569.91</v>
      </c>
      <c r="AO12" s="231">
        <v>1578.84</v>
      </c>
      <c r="AP12" s="228">
        <v>0</v>
      </c>
      <c r="AQ12" s="230">
        <v>3041</v>
      </c>
      <c r="AR12" s="230">
        <v>4539</v>
      </c>
      <c r="AS12" s="230">
        <v>-1498</v>
      </c>
      <c r="AT12" s="229">
        <v>-0.33</v>
      </c>
      <c r="AU12" s="230">
        <v>2812</v>
      </c>
      <c r="AV12" s="230">
        <v>4076</v>
      </c>
      <c r="AW12" s="230">
        <v>-1264</v>
      </c>
      <c r="AX12" s="229">
        <v>-0.31009999999999999</v>
      </c>
      <c r="AY12" s="228">
        <v>221</v>
      </c>
      <c r="AZ12" s="228">
        <v>459</v>
      </c>
      <c r="BA12" s="228">
        <v>-238</v>
      </c>
      <c r="BB12" s="229">
        <v>-0.51849999999999996</v>
      </c>
      <c r="BC12" s="228">
        <v>8</v>
      </c>
      <c r="BD12" s="228">
        <v>4</v>
      </c>
      <c r="BE12" s="228">
        <v>4</v>
      </c>
      <c r="BF12" s="229">
        <v>1</v>
      </c>
      <c r="BG12" s="230">
        <v>17392</v>
      </c>
      <c r="BH12" s="230">
        <v>15645</v>
      </c>
      <c r="BI12" s="230">
        <v>1747</v>
      </c>
      <c r="BJ12" s="229">
        <v>0.11169999999999999</v>
      </c>
      <c r="BK12" s="230">
        <v>4171</v>
      </c>
      <c r="BL12" s="230">
        <v>4019</v>
      </c>
      <c r="BM12" s="228">
        <v>152</v>
      </c>
      <c r="BN12" s="229">
        <v>3.78E-2</v>
      </c>
      <c r="BO12" s="230">
        <v>24604</v>
      </c>
      <c r="BP12" s="230">
        <v>24203</v>
      </c>
      <c r="BQ12" s="228">
        <v>401</v>
      </c>
      <c r="BR12" s="229">
        <v>1.66E-2</v>
      </c>
      <c r="BS12" s="230">
        <v>1021133</v>
      </c>
      <c r="BT12" s="230">
        <v>1656007</v>
      </c>
      <c r="BU12" s="230">
        <v>-634874</v>
      </c>
      <c r="BV12" s="229">
        <v>-0.38340000000000002</v>
      </c>
      <c r="BW12" s="230">
        <v>11892750</v>
      </c>
      <c r="BX12" s="230">
        <v>11710125</v>
      </c>
      <c r="BY12" s="230">
        <v>182625</v>
      </c>
      <c r="BZ12" s="229">
        <v>1.5599999999999999E-2</v>
      </c>
      <c r="CA12" s="230">
        <v>11546625</v>
      </c>
      <c r="CB12" s="230">
        <v>11391750</v>
      </c>
      <c r="CC12" s="230">
        <v>154875</v>
      </c>
      <c r="CD12" s="229">
        <v>1.3599999999999999E-2</v>
      </c>
      <c r="CE12" s="230">
        <v>327000</v>
      </c>
      <c r="CF12" s="230">
        <v>298125</v>
      </c>
      <c r="CG12" s="230">
        <v>28875</v>
      </c>
      <c r="CH12" s="229">
        <v>9.69E-2</v>
      </c>
      <c r="CI12" s="230">
        <v>19125</v>
      </c>
      <c r="CJ12" s="230">
        <v>20250</v>
      </c>
      <c r="CK12" s="230">
        <v>-1125</v>
      </c>
      <c r="CL12" s="229">
        <v>-5.5599999999999997E-2</v>
      </c>
      <c r="CM12" s="230">
        <v>7926750</v>
      </c>
      <c r="CN12" s="230">
        <v>7314375</v>
      </c>
      <c r="CO12" s="230">
        <v>612375</v>
      </c>
      <c r="CP12" s="229">
        <v>8.3699999999999997E-2</v>
      </c>
      <c r="CQ12" s="230">
        <v>3231750</v>
      </c>
      <c r="CR12" s="230">
        <v>3189375</v>
      </c>
      <c r="CS12" s="230">
        <v>42375</v>
      </c>
      <c r="CT12" s="229">
        <v>1.3299999999999999E-2</v>
      </c>
      <c r="CU12" s="230">
        <v>23051250</v>
      </c>
      <c r="CV12" s="230">
        <v>22213875</v>
      </c>
      <c r="CW12" s="230">
        <v>837375</v>
      </c>
      <c r="CX12" s="229">
        <v>3.7699999999999997E-2</v>
      </c>
      <c r="CY12" s="228">
        <v>22.12</v>
      </c>
      <c r="CZ12" s="228">
        <v>22.96</v>
      </c>
      <c r="DA12" s="228">
        <v>-0.84</v>
      </c>
      <c r="DB12" s="228">
        <v>-0.84</v>
      </c>
      <c r="DC12" s="228">
        <v>26.27</v>
      </c>
      <c r="DD12" s="228">
        <v>26.32</v>
      </c>
      <c r="DE12" s="228">
        <v>-4.1500000000000004</v>
      </c>
      <c r="DF12" s="228">
        <v>-0.05</v>
      </c>
      <c r="DG12" s="228">
        <v>22.22</v>
      </c>
      <c r="DH12" s="228">
        <v>23.34</v>
      </c>
      <c r="DI12" s="228">
        <v>-1.1200000000000001</v>
      </c>
      <c r="DJ12" s="228">
        <v>-1.1200000000000001</v>
      </c>
      <c r="DK12" s="228">
        <v>21.72</v>
      </c>
      <c r="DL12" s="228">
        <v>21.49</v>
      </c>
      <c r="DM12" s="228">
        <v>0.23</v>
      </c>
      <c r="DN12" s="228">
        <v>0.23</v>
      </c>
      <c r="DO12" s="228">
        <v>0.41</v>
      </c>
      <c r="DP12" s="228">
        <v>0.44</v>
      </c>
      <c r="DQ12" s="228">
        <v>-0.03</v>
      </c>
      <c r="DR12" s="229">
        <v>-6.8199999999999997E-2</v>
      </c>
      <c r="DS12" s="231">
        <v>1700</v>
      </c>
      <c r="DT12" s="231">
        <v>1460</v>
      </c>
      <c r="DU12" s="228">
        <v>0.24</v>
      </c>
      <c r="DV12" s="228">
        <v>0.26</v>
      </c>
      <c r="DW12" s="228">
        <v>-0.02</v>
      </c>
      <c r="DX12" s="229">
        <v>-7.6899999999999996E-2</v>
      </c>
      <c r="DY12" s="229">
        <v>2.9100000000000001E-2</v>
      </c>
      <c r="DZ12" s="230">
        <v>318375</v>
      </c>
      <c r="EA12" s="229">
        <v>5.7000000000000002E-3</v>
      </c>
      <c r="EB12" s="229">
        <v>2.9100000000000001E-2</v>
      </c>
      <c r="EC12" s="228">
        <v>8.93</v>
      </c>
      <c r="ED12" s="229">
        <v>5.7000000000000002E-3</v>
      </c>
      <c r="EE12" s="230">
        <v>565184</v>
      </c>
      <c r="EF12" s="230">
        <v>1144737</v>
      </c>
      <c r="EG12" s="229">
        <v>-0.50629999999999997</v>
      </c>
      <c r="EH12" s="229">
        <v>0.55349999999999999</v>
      </c>
      <c r="EI12" s="231">
        <v>106220.25</v>
      </c>
      <c r="EJ12" s="231">
        <v>23961.52</v>
      </c>
      <c r="EK12" s="231">
        <v>17910.849999999999</v>
      </c>
      <c r="EL12" s="231">
        <v>5464</v>
      </c>
      <c r="EM12" s="231">
        <v>148092.62</v>
      </c>
      <c r="EN12" s="231">
        <v>145180.06</v>
      </c>
      <c r="EO12" s="231">
        <v>2912.56</v>
      </c>
      <c r="EP12" s="229">
        <v>2.01E-2</v>
      </c>
      <c r="EQ12" s="231">
        <v>129953</v>
      </c>
      <c r="ER12" s="231">
        <v>47561</v>
      </c>
      <c r="ES12" s="231">
        <v>187022</v>
      </c>
      <c r="ET12" s="231">
        <v>57073940</v>
      </c>
      <c r="EU12" s="231">
        <v>364536</v>
      </c>
      <c r="EV12" s="231">
        <v>349905</v>
      </c>
      <c r="EW12" s="231">
        <v>14631</v>
      </c>
      <c r="EX12" s="229">
        <v>4.1799999999999997E-2</v>
      </c>
      <c r="EY12" s="229">
        <v>0.40389999999999998</v>
      </c>
    </row>
    <row r="13" spans="1:155" ht="17.25" thickBot="1" x14ac:dyDescent="0.3">
      <c r="A13" s="226">
        <v>45946</v>
      </c>
      <c r="B13" s="227" t="s">
        <v>227</v>
      </c>
      <c r="C13" s="227" t="s">
        <v>200</v>
      </c>
      <c r="D13" s="228">
        <v>388.85</v>
      </c>
      <c r="E13" s="228">
        <v>385.95</v>
      </c>
      <c r="F13" s="228">
        <v>2.9</v>
      </c>
      <c r="G13" s="229">
        <v>7.4999999999999997E-3</v>
      </c>
      <c r="H13" s="228">
        <v>387.6</v>
      </c>
      <c r="I13" s="228">
        <v>384.25</v>
      </c>
      <c r="J13" s="228">
        <v>3.35</v>
      </c>
      <c r="K13" s="229">
        <v>8.6999999999999994E-3</v>
      </c>
      <c r="L13" s="228">
        <v>388.85</v>
      </c>
      <c r="M13" s="228">
        <v>385.95</v>
      </c>
      <c r="N13" s="228">
        <v>2.9</v>
      </c>
      <c r="O13" s="229">
        <v>7.4999999999999997E-3</v>
      </c>
      <c r="P13" s="228">
        <v>389.6</v>
      </c>
      <c r="Q13" s="228">
        <v>386.05</v>
      </c>
      <c r="R13" s="228">
        <v>3.55</v>
      </c>
      <c r="S13" s="229">
        <v>9.1999999999999998E-3</v>
      </c>
      <c r="T13" s="228">
        <v>391.8</v>
      </c>
      <c r="U13" s="228">
        <v>388.55</v>
      </c>
      <c r="V13" s="228">
        <v>3.25</v>
      </c>
      <c r="W13" s="229">
        <v>8.3999999999999995E-3</v>
      </c>
      <c r="X13" s="228">
        <v>1.25</v>
      </c>
      <c r="Y13" s="228">
        <v>1.7</v>
      </c>
      <c r="Z13" s="228">
        <v>-0.45</v>
      </c>
      <c r="AA13" s="229">
        <v>3.2000000000000002E-3</v>
      </c>
      <c r="AB13" s="228">
        <v>1.25</v>
      </c>
      <c r="AC13" s="228">
        <v>1.7</v>
      </c>
      <c r="AD13" s="228">
        <v>-0.45</v>
      </c>
      <c r="AE13" s="229">
        <v>3.2000000000000002E-3</v>
      </c>
      <c r="AF13" s="228">
        <v>2</v>
      </c>
      <c r="AG13" s="228">
        <v>1.8</v>
      </c>
      <c r="AH13" s="228">
        <v>0.2</v>
      </c>
      <c r="AI13" s="229">
        <v>5.1999999999999998E-3</v>
      </c>
      <c r="AJ13" s="228">
        <v>4.2</v>
      </c>
      <c r="AK13" s="228">
        <v>4.3</v>
      </c>
      <c r="AL13" s="228">
        <v>-0.1</v>
      </c>
      <c r="AM13" s="229">
        <v>1.0800000000000001E-2</v>
      </c>
      <c r="AN13" s="228">
        <v>388.14</v>
      </c>
      <c r="AO13" s="228">
        <v>388.6</v>
      </c>
      <c r="AP13" s="228">
        <v>0</v>
      </c>
      <c r="AQ13" s="230">
        <v>4384</v>
      </c>
      <c r="AR13" s="230">
        <v>5180</v>
      </c>
      <c r="AS13" s="228">
        <v>-796</v>
      </c>
      <c r="AT13" s="229">
        <v>-0.1537</v>
      </c>
      <c r="AU13" s="230">
        <v>3461</v>
      </c>
      <c r="AV13" s="230">
        <v>4180</v>
      </c>
      <c r="AW13" s="228">
        <v>-719</v>
      </c>
      <c r="AX13" s="229">
        <v>-0.17199999999999999</v>
      </c>
      <c r="AY13" s="228">
        <v>819</v>
      </c>
      <c r="AZ13" s="228">
        <v>914</v>
      </c>
      <c r="BA13" s="228">
        <v>-95</v>
      </c>
      <c r="BB13" s="229">
        <v>-0.10390000000000001</v>
      </c>
      <c r="BC13" s="228">
        <v>104</v>
      </c>
      <c r="BD13" s="228">
        <v>86</v>
      </c>
      <c r="BE13" s="228">
        <v>18</v>
      </c>
      <c r="BF13" s="229">
        <v>0.20930000000000001</v>
      </c>
      <c r="BG13" s="230">
        <v>13787</v>
      </c>
      <c r="BH13" s="230">
        <v>14753</v>
      </c>
      <c r="BI13" s="228">
        <v>-966</v>
      </c>
      <c r="BJ13" s="229">
        <v>-6.5500000000000003E-2</v>
      </c>
      <c r="BK13" s="230">
        <v>9857</v>
      </c>
      <c r="BL13" s="230">
        <v>10351</v>
      </c>
      <c r="BM13" s="228">
        <v>-494</v>
      </c>
      <c r="BN13" s="229">
        <v>-4.7699999999999999E-2</v>
      </c>
      <c r="BO13" s="230">
        <v>28028</v>
      </c>
      <c r="BP13" s="230">
        <v>30284</v>
      </c>
      <c r="BQ13" s="230">
        <v>-2256</v>
      </c>
      <c r="BR13" s="229">
        <v>-7.4499999999999997E-2</v>
      </c>
      <c r="BS13" s="230">
        <v>3599171</v>
      </c>
      <c r="BT13" s="230">
        <v>6233208</v>
      </c>
      <c r="BU13" s="230">
        <v>-2634037</v>
      </c>
      <c r="BV13" s="229">
        <v>-0.42259999999999998</v>
      </c>
      <c r="BW13" s="230">
        <v>70267500</v>
      </c>
      <c r="BX13" s="230">
        <v>70727850</v>
      </c>
      <c r="BY13" s="230">
        <v>-460350</v>
      </c>
      <c r="BZ13" s="229">
        <v>-6.4999999999999997E-3</v>
      </c>
      <c r="CA13" s="230">
        <v>65736900</v>
      </c>
      <c r="CB13" s="230">
        <v>66515850</v>
      </c>
      <c r="CC13" s="230">
        <v>-778950</v>
      </c>
      <c r="CD13" s="229">
        <v>-1.17E-2</v>
      </c>
      <c r="CE13" s="230">
        <v>4005450</v>
      </c>
      <c r="CF13" s="230">
        <v>3692250</v>
      </c>
      <c r="CG13" s="230">
        <v>313200</v>
      </c>
      <c r="CH13" s="229">
        <v>8.48E-2</v>
      </c>
      <c r="CI13" s="230">
        <v>525150</v>
      </c>
      <c r="CJ13" s="230">
        <v>519750</v>
      </c>
      <c r="CK13" s="230">
        <v>5400</v>
      </c>
      <c r="CL13" s="229">
        <v>1.04E-2</v>
      </c>
      <c r="CM13" s="230">
        <v>29853900</v>
      </c>
      <c r="CN13" s="230">
        <v>29718900</v>
      </c>
      <c r="CO13" s="230">
        <v>135000</v>
      </c>
      <c r="CP13" s="229">
        <v>4.4999999999999997E-3</v>
      </c>
      <c r="CQ13" s="230">
        <v>20198700</v>
      </c>
      <c r="CR13" s="230">
        <v>20486250</v>
      </c>
      <c r="CS13" s="230">
        <v>-287550</v>
      </c>
      <c r="CT13" s="229">
        <v>-1.4E-2</v>
      </c>
      <c r="CU13" s="230">
        <v>120320100</v>
      </c>
      <c r="CV13" s="230">
        <v>120933000</v>
      </c>
      <c r="CW13" s="230">
        <v>-612900</v>
      </c>
      <c r="CX13" s="229">
        <v>-5.1000000000000004E-3</v>
      </c>
      <c r="CY13" s="228">
        <v>16.82</v>
      </c>
      <c r="CZ13" s="228">
        <v>17.059999999999999</v>
      </c>
      <c r="DA13" s="228">
        <v>-0.24</v>
      </c>
      <c r="DB13" s="228">
        <v>-0.24</v>
      </c>
      <c r="DC13" s="228">
        <v>28.82</v>
      </c>
      <c r="DD13" s="228">
        <v>28.88</v>
      </c>
      <c r="DE13" s="228">
        <v>-12</v>
      </c>
      <c r="DF13" s="228">
        <v>-0.06</v>
      </c>
      <c r="DG13" s="228">
        <v>16.649999999999999</v>
      </c>
      <c r="DH13" s="228">
        <v>17.28</v>
      </c>
      <c r="DI13" s="228">
        <v>-0.63</v>
      </c>
      <c r="DJ13" s="228">
        <v>-0.63</v>
      </c>
      <c r="DK13" s="228">
        <v>17.07</v>
      </c>
      <c r="DL13" s="228">
        <v>16.73</v>
      </c>
      <c r="DM13" s="228">
        <v>0.34</v>
      </c>
      <c r="DN13" s="228">
        <v>0.34</v>
      </c>
      <c r="DO13" s="228">
        <v>0.68</v>
      </c>
      <c r="DP13" s="228">
        <v>0.69</v>
      </c>
      <c r="DQ13" s="228">
        <v>-0.01</v>
      </c>
      <c r="DR13" s="229">
        <v>-1.4500000000000001E-2</v>
      </c>
      <c r="DS13" s="228">
        <v>400</v>
      </c>
      <c r="DT13" s="228">
        <v>390</v>
      </c>
      <c r="DU13" s="228">
        <v>0.71</v>
      </c>
      <c r="DV13" s="228">
        <v>0.7</v>
      </c>
      <c r="DW13" s="228">
        <v>0.01</v>
      </c>
      <c r="DX13" s="229">
        <v>1.43E-2</v>
      </c>
      <c r="DY13" s="229">
        <v>6.4500000000000002E-2</v>
      </c>
      <c r="DZ13" s="230">
        <v>4212000</v>
      </c>
      <c r="EA13" s="229">
        <v>1.9E-3</v>
      </c>
      <c r="EB13" s="229">
        <v>6.4500000000000002E-2</v>
      </c>
      <c r="EC13" s="228">
        <v>0.46</v>
      </c>
      <c r="ED13" s="229">
        <v>1.1999999999999999E-3</v>
      </c>
      <c r="EE13" s="230">
        <v>2356001</v>
      </c>
      <c r="EF13" s="230">
        <v>4730338</v>
      </c>
      <c r="EG13" s="229">
        <v>-0.50190000000000001</v>
      </c>
      <c r="EH13" s="229">
        <v>0.65459999999999996</v>
      </c>
      <c r="EI13" s="231">
        <v>73845.62</v>
      </c>
      <c r="EJ13" s="231">
        <v>51245.7</v>
      </c>
      <c r="EK13" s="231">
        <v>22980.58</v>
      </c>
      <c r="EL13" s="231">
        <v>4411</v>
      </c>
      <c r="EM13" s="231">
        <v>148071.9</v>
      </c>
      <c r="EN13" s="231">
        <v>159487.21</v>
      </c>
      <c r="EO13" s="231">
        <v>-11415.31</v>
      </c>
      <c r="EP13" s="229">
        <v>-7.1599999999999997E-2</v>
      </c>
      <c r="EQ13" s="231">
        <v>119838</v>
      </c>
      <c r="ER13" s="231">
        <v>78804</v>
      </c>
      <c r="ES13" s="231">
        <v>273281</v>
      </c>
      <c r="ET13" s="231">
        <v>227199238</v>
      </c>
      <c r="EU13" s="231">
        <v>471923</v>
      </c>
      <c r="EV13" s="231">
        <v>472183</v>
      </c>
      <c r="EW13" s="228">
        <v>-260</v>
      </c>
      <c r="EX13" s="229">
        <v>-5.9999999999999995E-4</v>
      </c>
      <c r="EY13" s="229">
        <v>0.52959999999999996</v>
      </c>
    </row>
    <row r="14" spans="1:155" ht="17.25" thickBot="1" x14ac:dyDescent="0.3">
      <c r="A14" s="226">
        <v>45946</v>
      </c>
      <c r="B14" s="227" t="s">
        <v>170</v>
      </c>
      <c r="C14" s="227" t="s">
        <v>208</v>
      </c>
      <c r="D14" s="231">
        <v>1245.3</v>
      </c>
      <c r="E14" s="231">
        <v>1237.9000000000001</v>
      </c>
      <c r="F14" s="228">
        <v>7.4</v>
      </c>
      <c r="G14" s="229">
        <v>6.0000000000000001E-3</v>
      </c>
      <c r="H14" s="231">
        <v>1240.2</v>
      </c>
      <c r="I14" s="231">
        <v>1232.4000000000001</v>
      </c>
      <c r="J14" s="228">
        <v>7.8</v>
      </c>
      <c r="K14" s="229">
        <v>6.3E-3</v>
      </c>
      <c r="L14" s="231">
        <v>1245.3</v>
      </c>
      <c r="M14" s="231">
        <v>1237.9000000000001</v>
      </c>
      <c r="N14" s="228">
        <v>7.4</v>
      </c>
      <c r="O14" s="229">
        <v>6.0000000000000001E-3</v>
      </c>
      <c r="P14" s="231">
        <v>1249.8</v>
      </c>
      <c r="Q14" s="231">
        <v>1242.9000000000001</v>
      </c>
      <c r="R14" s="228">
        <v>6.9</v>
      </c>
      <c r="S14" s="229">
        <v>5.5999999999999999E-3</v>
      </c>
      <c r="T14" s="231">
        <v>1254.4000000000001</v>
      </c>
      <c r="U14" s="231">
        <v>1246</v>
      </c>
      <c r="V14" s="228">
        <v>8.4</v>
      </c>
      <c r="W14" s="229">
        <v>6.7000000000000002E-3</v>
      </c>
      <c r="X14" s="228">
        <v>5.0999999999999996</v>
      </c>
      <c r="Y14" s="228">
        <v>5.5</v>
      </c>
      <c r="Z14" s="228">
        <v>-0.4</v>
      </c>
      <c r="AA14" s="229">
        <v>4.1000000000000003E-3</v>
      </c>
      <c r="AB14" s="228">
        <v>5.0999999999999996</v>
      </c>
      <c r="AC14" s="228">
        <v>5.5</v>
      </c>
      <c r="AD14" s="228">
        <v>-0.4</v>
      </c>
      <c r="AE14" s="229">
        <v>4.1000000000000003E-3</v>
      </c>
      <c r="AF14" s="228">
        <v>9.6</v>
      </c>
      <c r="AG14" s="228">
        <v>10.5</v>
      </c>
      <c r="AH14" s="228">
        <v>-0.9</v>
      </c>
      <c r="AI14" s="229">
        <v>7.7000000000000002E-3</v>
      </c>
      <c r="AJ14" s="228">
        <v>14.2</v>
      </c>
      <c r="AK14" s="228">
        <v>13.6</v>
      </c>
      <c r="AL14" s="228">
        <v>0.6</v>
      </c>
      <c r="AM14" s="229">
        <v>1.14E-2</v>
      </c>
      <c r="AN14" s="231">
        <v>1242.1199999999999</v>
      </c>
      <c r="AO14" s="231">
        <v>1244.6199999999999</v>
      </c>
      <c r="AP14" s="228">
        <v>0</v>
      </c>
      <c r="AQ14" s="230">
        <v>2812</v>
      </c>
      <c r="AR14" s="230">
        <v>2691</v>
      </c>
      <c r="AS14" s="228">
        <v>121</v>
      </c>
      <c r="AT14" s="229">
        <v>4.4999999999999998E-2</v>
      </c>
      <c r="AU14" s="230">
        <v>2207</v>
      </c>
      <c r="AV14" s="230">
        <v>2327</v>
      </c>
      <c r="AW14" s="228">
        <v>-120</v>
      </c>
      <c r="AX14" s="229">
        <v>-5.16E-2</v>
      </c>
      <c r="AY14" s="228">
        <v>596</v>
      </c>
      <c r="AZ14" s="228">
        <v>345</v>
      </c>
      <c r="BA14" s="228">
        <v>251</v>
      </c>
      <c r="BB14" s="229">
        <v>0.72750000000000004</v>
      </c>
      <c r="BC14" s="228">
        <v>9</v>
      </c>
      <c r="BD14" s="228">
        <v>19</v>
      </c>
      <c r="BE14" s="228">
        <v>-10</v>
      </c>
      <c r="BF14" s="229">
        <v>-0.52629999999999999</v>
      </c>
      <c r="BG14" s="230">
        <v>4645</v>
      </c>
      <c r="BH14" s="230">
        <v>5968</v>
      </c>
      <c r="BI14" s="230">
        <v>-1323</v>
      </c>
      <c r="BJ14" s="229">
        <v>-0.22170000000000001</v>
      </c>
      <c r="BK14" s="230">
        <v>2014</v>
      </c>
      <c r="BL14" s="230">
        <v>3265</v>
      </c>
      <c r="BM14" s="230">
        <v>-1251</v>
      </c>
      <c r="BN14" s="229">
        <v>-0.38319999999999999</v>
      </c>
      <c r="BO14" s="230">
        <v>9471</v>
      </c>
      <c r="BP14" s="230">
        <v>11924</v>
      </c>
      <c r="BQ14" s="230">
        <v>-2453</v>
      </c>
      <c r="BR14" s="229">
        <v>-0.20569999999999999</v>
      </c>
      <c r="BS14" s="230">
        <v>1330482</v>
      </c>
      <c r="BT14" s="230">
        <v>2244887</v>
      </c>
      <c r="BU14" s="230">
        <v>-914405</v>
      </c>
      <c r="BV14" s="229">
        <v>-0.4073</v>
      </c>
      <c r="BW14" s="230">
        <v>13080000</v>
      </c>
      <c r="BX14" s="230">
        <v>12866875</v>
      </c>
      <c r="BY14" s="230">
        <v>213125</v>
      </c>
      <c r="BZ14" s="229">
        <v>1.66E-2</v>
      </c>
      <c r="CA14" s="230">
        <v>12323750</v>
      </c>
      <c r="CB14" s="230">
        <v>12266250</v>
      </c>
      <c r="CC14" s="230">
        <v>57500</v>
      </c>
      <c r="CD14" s="229">
        <v>4.7000000000000002E-3</v>
      </c>
      <c r="CE14" s="230">
        <v>710000</v>
      </c>
      <c r="CF14" s="230">
        <v>557500</v>
      </c>
      <c r="CG14" s="230">
        <v>152500</v>
      </c>
      <c r="CH14" s="229">
        <v>0.27350000000000002</v>
      </c>
      <c r="CI14" s="230">
        <v>46250</v>
      </c>
      <c r="CJ14" s="230">
        <v>43125</v>
      </c>
      <c r="CK14" s="230">
        <v>3125</v>
      </c>
      <c r="CL14" s="229">
        <v>7.2499999999999995E-2</v>
      </c>
      <c r="CM14" s="230">
        <v>6705000</v>
      </c>
      <c r="CN14" s="230">
        <v>6614375</v>
      </c>
      <c r="CO14" s="230">
        <v>90625</v>
      </c>
      <c r="CP14" s="229">
        <v>1.37E-2</v>
      </c>
      <c r="CQ14" s="230">
        <v>3267500</v>
      </c>
      <c r="CR14" s="230">
        <v>3245625</v>
      </c>
      <c r="CS14" s="230">
        <v>21875</v>
      </c>
      <c r="CT14" s="229">
        <v>6.7000000000000002E-3</v>
      </c>
      <c r="CU14" s="230">
        <v>23052500</v>
      </c>
      <c r="CV14" s="230">
        <v>22726875</v>
      </c>
      <c r="CW14" s="230">
        <v>325625</v>
      </c>
      <c r="CX14" s="229">
        <v>1.43E-2</v>
      </c>
      <c r="CY14" s="228">
        <v>24.55</v>
      </c>
      <c r="CZ14" s="228">
        <v>26.29</v>
      </c>
      <c r="DA14" s="228">
        <v>-1.74</v>
      </c>
      <c r="DB14" s="228">
        <v>-1.74</v>
      </c>
      <c r="DC14" s="228">
        <v>24.77</v>
      </c>
      <c r="DD14" s="228">
        <v>24.82</v>
      </c>
      <c r="DE14" s="228">
        <v>-0.22</v>
      </c>
      <c r="DF14" s="228">
        <v>-0.05</v>
      </c>
      <c r="DG14" s="228">
        <v>24.21</v>
      </c>
      <c r="DH14" s="228">
        <v>25.76</v>
      </c>
      <c r="DI14" s="228">
        <v>-1.55</v>
      </c>
      <c r="DJ14" s="228">
        <v>-1.55</v>
      </c>
      <c r="DK14" s="228">
        <v>25.34</v>
      </c>
      <c r="DL14" s="228">
        <v>27.26</v>
      </c>
      <c r="DM14" s="228">
        <v>-1.92</v>
      </c>
      <c r="DN14" s="228">
        <v>-1.92</v>
      </c>
      <c r="DO14" s="228">
        <v>0.49</v>
      </c>
      <c r="DP14" s="228">
        <v>0.49</v>
      </c>
      <c r="DQ14" s="228">
        <v>0</v>
      </c>
      <c r="DR14" s="229">
        <v>0</v>
      </c>
      <c r="DS14" s="231">
        <v>1260</v>
      </c>
      <c r="DT14" s="231">
        <v>1240</v>
      </c>
      <c r="DU14" s="228">
        <v>0.43</v>
      </c>
      <c r="DV14" s="228">
        <v>0.55000000000000004</v>
      </c>
      <c r="DW14" s="228">
        <v>-0.12</v>
      </c>
      <c r="DX14" s="229">
        <v>-0.21820000000000001</v>
      </c>
      <c r="DY14" s="229">
        <v>5.7799999999999997E-2</v>
      </c>
      <c r="DZ14" s="230">
        <v>600625</v>
      </c>
      <c r="EA14" s="229">
        <v>3.5999999999999999E-3</v>
      </c>
      <c r="EB14" s="229">
        <v>5.7799999999999997E-2</v>
      </c>
      <c r="EC14" s="228">
        <v>2.5</v>
      </c>
      <c r="ED14" s="229">
        <v>2E-3</v>
      </c>
      <c r="EE14" s="230">
        <v>947361</v>
      </c>
      <c r="EF14" s="230">
        <v>1600545</v>
      </c>
      <c r="EG14" s="229">
        <v>-0.40810000000000002</v>
      </c>
      <c r="EH14" s="229">
        <v>0.71199999999999997</v>
      </c>
      <c r="EI14" s="231">
        <v>37234.300000000003</v>
      </c>
      <c r="EJ14" s="231">
        <v>15651.08</v>
      </c>
      <c r="EK14" s="231">
        <v>21840.1</v>
      </c>
      <c r="EL14" s="231">
        <v>3768</v>
      </c>
      <c r="EM14" s="231">
        <v>74725.48</v>
      </c>
      <c r="EN14" s="231">
        <v>94016.05</v>
      </c>
      <c r="EO14" s="231">
        <v>-19290.57</v>
      </c>
      <c r="EP14" s="229">
        <v>-0.20519999999999999</v>
      </c>
      <c r="EQ14" s="231">
        <v>87665</v>
      </c>
      <c r="ER14" s="231">
        <v>39519</v>
      </c>
      <c r="ES14" s="231">
        <v>162921</v>
      </c>
      <c r="ET14" s="231">
        <v>61006521</v>
      </c>
      <c r="EU14" s="231">
        <v>290106</v>
      </c>
      <c r="EV14" s="231">
        <v>285099</v>
      </c>
      <c r="EW14" s="231">
        <v>5007</v>
      </c>
      <c r="EX14" s="229">
        <v>1.7600000000000001E-2</v>
      </c>
      <c r="EY14" s="229">
        <v>0.37790000000000001</v>
      </c>
    </row>
    <row r="15" spans="1:155" ht="17.25" thickBot="1" x14ac:dyDescent="0.3">
      <c r="A15" s="226">
        <v>45946</v>
      </c>
      <c r="B15" s="227" t="s">
        <v>162</v>
      </c>
      <c r="C15" s="227" t="s">
        <v>209</v>
      </c>
      <c r="D15" s="231">
        <v>7014.5</v>
      </c>
      <c r="E15" s="231">
        <v>6925</v>
      </c>
      <c r="F15" s="228">
        <v>89.5</v>
      </c>
      <c r="G15" s="229">
        <v>1.29E-2</v>
      </c>
      <c r="H15" s="231">
        <v>6988</v>
      </c>
      <c r="I15" s="231">
        <v>6895</v>
      </c>
      <c r="J15" s="228">
        <v>93</v>
      </c>
      <c r="K15" s="229">
        <v>1.35E-2</v>
      </c>
      <c r="L15" s="231">
        <v>7014.5</v>
      </c>
      <c r="M15" s="231">
        <v>6925</v>
      </c>
      <c r="N15" s="228">
        <v>89.5</v>
      </c>
      <c r="O15" s="229">
        <v>1.29E-2</v>
      </c>
      <c r="P15" s="231">
        <v>7056</v>
      </c>
      <c r="Q15" s="231">
        <v>6963</v>
      </c>
      <c r="R15" s="228">
        <v>93</v>
      </c>
      <c r="S15" s="229">
        <v>1.34E-2</v>
      </c>
      <c r="T15" s="231">
        <v>7090</v>
      </c>
      <c r="U15" s="231">
        <v>7004</v>
      </c>
      <c r="V15" s="228">
        <v>86</v>
      </c>
      <c r="W15" s="229">
        <v>1.23E-2</v>
      </c>
      <c r="X15" s="228">
        <v>26.5</v>
      </c>
      <c r="Y15" s="228">
        <v>30</v>
      </c>
      <c r="Z15" s="228">
        <v>-3.5</v>
      </c>
      <c r="AA15" s="229">
        <v>3.8E-3</v>
      </c>
      <c r="AB15" s="228">
        <v>26.5</v>
      </c>
      <c r="AC15" s="228">
        <v>30</v>
      </c>
      <c r="AD15" s="228">
        <v>-3.5</v>
      </c>
      <c r="AE15" s="229">
        <v>3.8E-3</v>
      </c>
      <c r="AF15" s="228">
        <v>68</v>
      </c>
      <c r="AG15" s="228">
        <v>68</v>
      </c>
      <c r="AH15" s="228">
        <v>0</v>
      </c>
      <c r="AI15" s="229">
        <v>9.7000000000000003E-3</v>
      </c>
      <c r="AJ15" s="228">
        <v>102</v>
      </c>
      <c r="AK15" s="228">
        <v>109</v>
      </c>
      <c r="AL15" s="228">
        <v>-7</v>
      </c>
      <c r="AM15" s="229">
        <v>1.46E-2</v>
      </c>
      <c r="AN15" s="231">
        <v>7006.62</v>
      </c>
      <c r="AO15" s="231">
        <v>7044.91</v>
      </c>
      <c r="AP15" s="228">
        <v>0</v>
      </c>
      <c r="AQ15" s="230">
        <v>2833</v>
      </c>
      <c r="AR15" s="230">
        <v>2310</v>
      </c>
      <c r="AS15" s="228">
        <v>523</v>
      </c>
      <c r="AT15" s="229">
        <v>0.22639999999999999</v>
      </c>
      <c r="AU15" s="230">
        <v>2547</v>
      </c>
      <c r="AV15" s="230">
        <v>2065</v>
      </c>
      <c r="AW15" s="228">
        <v>482</v>
      </c>
      <c r="AX15" s="229">
        <v>0.2334</v>
      </c>
      <c r="AY15" s="228">
        <v>256</v>
      </c>
      <c r="AZ15" s="228">
        <v>231</v>
      </c>
      <c r="BA15" s="228">
        <v>25</v>
      </c>
      <c r="BB15" s="229">
        <v>0.1082</v>
      </c>
      <c r="BC15" s="228">
        <v>30</v>
      </c>
      <c r="BD15" s="228">
        <v>14</v>
      </c>
      <c r="BE15" s="228">
        <v>16</v>
      </c>
      <c r="BF15" s="229">
        <v>1.1429</v>
      </c>
      <c r="BG15" s="230">
        <v>24858</v>
      </c>
      <c r="BH15" s="230">
        <v>11332</v>
      </c>
      <c r="BI15" s="230">
        <v>13526</v>
      </c>
      <c r="BJ15" s="229">
        <v>1.1936</v>
      </c>
      <c r="BK15" s="230">
        <v>9138</v>
      </c>
      <c r="BL15" s="230">
        <v>5832</v>
      </c>
      <c r="BM15" s="230">
        <v>3306</v>
      </c>
      <c r="BN15" s="229">
        <v>0.56689999999999996</v>
      </c>
      <c r="BO15" s="230">
        <v>36829</v>
      </c>
      <c r="BP15" s="230">
        <v>19474</v>
      </c>
      <c r="BQ15" s="230">
        <v>17355</v>
      </c>
      <c r="BR15" s="229">
        <v>0.89119999999999999</v>
      </c>
      <c r="BS15" s="230">
        <v>325805</v>
      </c>
      <c r="BT15" s="230">
        <v>239149</v>
      </c>
      <c r="BU15" s="230">
        <v>86656</v>
      </c>
      <c r="BV15" s="229">
        <v>0.3624</v>
      </c>
      <c r="BW15" s="230">
        <v>3431400</v>
      </c>
      <c r="BX15" s="230">
        <v>3484250</v>
      </c>
      <c r="BY15" s="230">
        <v>-52850</v>
      </c>
      <c r="BZ15" s="229">
        <v>-1.52E-2</v>
      </c>
      <c r="CA15" s="230">
        <v>3311350</v>
      </c>
      <c r="CB15" s="230">
        <v>3372250</v>
      </c>
      <c r="CC15" s="230">
        <v>-60900</v>
      </c>
      <c r="CD15" s="229">
        <v>-1.8100000000000002E-2</v>
      </c>
      <c r="CE15" s="230">
        <v>103600</v>
      </c>
      <c r="CF15" s="230">
        <v>94500</v>
      </c>
      <c r="CG15" s="230">
        <v>9100</v>
      </c>
      <c r="CH15" s="229">
        <v>9.6299999999999997E-2</v>
      </c>
      <c r="CI15" s="230">
        <v>16450</v>
      </c>
      <c r="CJ15" s="230">
        <v>17500</v>
      </c>
      <c r="CK15" s="230">
        <v>-1050</v>
      </c>
      <c r="CL15" s="229">
        <v>-0.06</v>
      </c>
      <c r="CM15" s="230">
        <v>2074100</v>
      </c>
      <c r="CN15" s="230">
        <v>2249100</v>
      </c>
      <c r="CO15" s="230">
        <v>-175000</v>
      </c>
      <c r="CP15" s="229">
        <v>-7.7799999999999994E-2</v>
      </c>
      <c r="CQ15" s="230">
        <v>1563975</v>
      </c>
      <c r="CR15" s="230">
        <v>1545600</v>
      </c>
      <c r="CS15" s="230">
        <v>18375</v>
      </c>
      <c r="CT15" s="229">
        <v>1.1900000000000001E-2</v>
      </c>
      <c r="CU15" s="230">
        <v>7069475</v>
      </c>
      <c r="CV15" s="230">
        <v>7278950</v>
      </c>
      <c r="CW15" s="230">
        <v>-209475</v>
      </c>
      <c r="CX15" s="229">
        <v>-2.8799999999999999E-2</v>
      </c>
      <c r="CY15" s="228">
        <v>20.52</v>
      </c>
      <c r="CZ15" s="228">
        <v>21.35</v>
      </c>
      <c r="DA15" s="228">
        <v>-0.83</v>
      </c>
      <c r="DB15" s="228">
        <v>-0.83</v>
      </c>
      <c r="DC15" s="228">
        <v>28.02</v>
      </c>
      <c r="DD15" s="228">
        <v>28.03</v>
      </c>
      <c r="DE15" s="228">
        <v>-7.5</v>
      </c>
      <c r="DF15" s="228">
        <v>-0.01</v>
      </c>
      <c r="DG15" s="228">
        <v>20.21</v>
      </c>
      <c r="DH15" s="228">
        <v>21.27</v>
      </c>
      <c r="DI15" s="228">
        <v>-1.06</v>
      </c>
      <c r="DJ15" s="228">
        <v>-1.06</v>
      </c>
      <c r="DK15" s="228">
        <v>21.36</v>
      </c>
      <c r="DL15" s="228">
        <v>21.52</v>
      </c>
      <c r="DM15" s="228">
        <v>-0.16</v>
      </c>
      <c r="DN15" s="228">
        <v>-0.16</v>
      </c>
      <c r="DO15" s="228">
        <v>0.75</v>
      </c>
      <c r="DP15" s="228">
        <v>0.69</v>
      </c>
      <c r="DQ15" s="228">
        <v>0.06</v>
      </c>
      <c r="DR15" s="229">
        <v>8.6999999999999994E-2</v>
      </c>
      <c r="DS15" s="231">
        <v>7000</v>
      </c>
      <c r="DT15" s="231">
        <v>6500</v>
      </c>
      <c r="DU15" s="228">
        <v>0.37</v>
      </c>
      <c r="DV15" s="228">
        <v>0.51</v>
      </c>
      <c r="DW15" s="228">
        <v>-0.14000000000000001</v>
      </c>
      <c r="DX15" s="229">
        <v>-0.27450000000000002</v>
      </c>
      <c r="DY15" s="229">
        <v>3.5000000000000003E-2</v>
      </c>
      <c r="DZ15" s="230">
        <v>112000</v>
      </c>
      <c r="EA15" s="229">
        <v>5.8999999999999999E-3</v>
      </c>
      <c r="EB15" s="229">
        <v>3.5000000000000003E-2</v>
      </c>
      <c r="EC15" s="228">
        <v>38.29</v>
      </c>
      <c r="ED15" s="229">
        <v>5.4999999999999997E-3</v>
      </c>
      <c r="EE15" s="230">
        <v>173435</v>
      </c>
      <c r="EF15" s="230">
        <v>146654</v>
      </c>
      <c r="EG15" s="229">
        <v>0.18260000000000001</v>
      </c>
      <c r="EH15" s="229">
        <v>0.5323</v>
      </c>
      <c r="EI15" s="231">
        <v>312094.08000000002</v>
      </c>
      <c r="EJ15" s="231">
        <v>110364.03</v>
      </c>
      <c r="EK15" s="231">
        <v>34758.550000000003</v>
      </c>
      <c r="EL15" s="231">
        <v>3181</v>
      </c>
      <c r="EM15" s="231">
        <v>457216.66</v>
      </c>
      <c r="EN15" s="231">
        <v>239783.17</v>
      </c>
      <c r="EO15" s="231">
        <v>217433.49</v>
      </c>
      <c r="EP15" s="229">
        <v>0.90680000000000005</v>
      </c>
      <c r="EQ15" s="231">
        <v>149784</v>
      </c>
      <c r="ER15" s="231">
        <v>103272</v>
      </c>
      <c r="ES15" s="231">
        <v>240751</v>
      </c>
      <c r="ET15" s="231">
        <v>20353850</v>
      </c>
      <c r="EU15" s="231">
        <v>493807</v>
      </c>
      <c r="EV15" s="231">
        <v>505582</v>
      </c>
      <c r="EW15" s="231">
        <v>-11775</v>
      </c>
      <c r="EX15" s="229">
        <v>-2.3300000000000001E-2</v>
      </c>
      <c r="EY15" s="229">
        <v>0.3473</v>
      </c>
    </row>
    <row r="16" spans="1:155" ht="17.25" thickBot="1" x14ac:dyDescent="0.3">
      <c r="A16" s="226">
        <v>45946</v>
      </c>
      <c r="B16" s="227" t="s">
        <v>615</v>
      </c>
      <c r="C16" s="227" t="s">
        <v>668</v>
      </c>
      <c r="D16" s="228">
        <v>348.25</v>
      </c>
      <c r="E16" s="228">
        <v>355.15</v>
      </c>
      <c r="F16" s="228">
        <v>-6.9</v>
      </c>
      <c r="G16" s="229">
        <v>-1.9400000000000001E-2</v>
      </c>
      <c r="H16" s="228">
        <v>347.85</v>
      </c>
      <c r="I16" s="228">
        <v>354.35</v>
      </c>
      <c r="J16" s="228">
        <v>-6.5</v>
      </c>
      <c r="K16" s="229">
        <v>-1.83E-2</v>
      </c>
      <c r="L16" s="228">
        <v>348.25</v>
      </c>
      <c r="M16" s="228">
        <v>355.15</v>
      </c>
      <c r="N16" s="228">
        <v>-6.9</v>
      </c>
      <c r="O16" s="229">
        <v>-1.9400000000000001E-2</v>
      </c>
      <c r="P16" s="228">
        <v>349.45</v>
      </c>
      <c r="Q16" s="228">
        <v>357.15</v>
      </c>
      <c r="R16" s="228">
        <v>-7.7</v>
      </c>
      <c r="S16" s="229">
        <v>-2.1600000000000001E-2</v>
      </c>
      <c r="T16" s="228">
        <v>351.4</v>
      </c>
      <c r="U16" s="228">
        <v>359.3</v>
      </c>
      <c r="V16" s="228">
        <v>-7.9</v>
      </c>
      <c r="W16" s="229">
        <v>-2.1999999999999999E-2</v>
      </c>
      <c r="X16" s="228">
        <v>0.4</v>
      </c>
      <c r="Y16" s="228">
        <v>0.8</v>
      </c>
      <c r="Z16" s="228">
        <v>-0.4</v>
      </c>
      <c r="AA16" s="229">
        <v>1.1000000000000001E-3</v>
      </c>
      <c r="AB16" s="228">
        <v>0.4</v>
      </c>
      <c r="AC16" s="228">
        <v>0.8</v>
      </c>
      <c r="AD16" s="228">
        <v>-0.4</v>
      </c>
      <c r="AE16" s="229">
        <v>1.1000000000000001E-3</v>
      </c>
      <c r="AF16" s="228">
        <v>1.6</v>
      </c>
      <c r="AG16" s="228">
        <v>2.8</v>
      </c>
      <c r="AH16" s="228">
        <v>-1.2</v>
      </c>
      <c r="AI16" s="229">
        <v>4.5999999999999999E-3</v>
      </c>
      <c r="AJ16" s="228">
        <v>3.55</v>
      </c>
      <c r="AK16" s="228">
        <v>4.95</v>
      </c>
      <c r="AL16" s="228">
        <v>-1.4</v>
      </c>
      <c r="AM16" s="229">
        <v>1.0200000000000001E-2</v>
      </c>
      <c r="AN16" s="228">
        <v>352.92</v>
      </c>
      <c r="AO16" s="228">
        <v>354.1</v>
      </c>
      <c r="AP16" s="228">
        <v>0</v>
      </c>
      <c r="AQ16" s="230">
        <v>76083</v>
      </c>
      <c r="AR16" s="230">
        <v>11837</v>
      </c>
      <c r="AS16" s="230">
        <v>64246</v>
      </c>
      <c r="AT16" s="229">
        <v>5.4276</v>
      </c>
      <c r="AU16" s="230">
        <v>67562</v>
      </c>
      <c r="AV16" s="230">
        <v>10638</v>
      </c>
      <c r="AW16" s="230">
        <v>56924</v>
      </c>
      <c r="AX16" s="229">
        <v>5.351</v>
      </c>
      <c r="AY16" s="230">
        <v>7908</v>
      </c>
      <c r="AZ16" s="230">
        <v>1049</v>
      </c>
      <c r="BA16" s="230">
        <v>6859</v>
      </c>
      <c r="BB16" s="229">
        <v>6.5385999999999997</v>
      </c>
      <c r="BC16" s="228">
        <v>613</v>
      </c>
      <c r="BD16" s="228">
        <v>150</v>
      </c>
      <c r="BE16" s="228">
        <v>463</v>
      </c>
      <c r="BF16" s="229">
        <v>3.0867</v>
      </c>
      <c r="BG16" s="230">
        <v>229758</v>
      </c>
      <c r="BH16" s="230">
        <v>37967</v>
      </c>
      <c r="BI16" s="230">
        <v>191791</v>
      </c>
      <c r="BJ16" s="229">
        <v>5.0514999999999999</v>
      </c>
      <c r="BK16" s="230">
        <v>139717</v>
      </c>
      <c r="BL16" s="230">
        <v>16742</v>
      </c>
      <c r="BM16" s="230">
        <v>122975</v>
      </c>
      <c r="BN16" s="229">
        <v>7.3452999999999999</v>
      </c>
      <c r="BO16" s="230">
        <v>445558</v>
      </c>
      <c r="BP16" s="230">
        <v>66546</v>
      </c>
      <c r="BQ16" s="230">
        <v>379012</v>
      </c>
      <c r="BR16" s="229">
        <v>5.6955</v>
      </c>
      <c r="BS16" s="230">
        <v>95215964</v>
      </c>
      <c r="BT16" s="230">
        <v>32212600</v>
      </c>
      <c r="BU16" s="230">
        <v>63003364</v>
      </c>
      <c r="BV16" s="229">
        <v>1.9559</v>
      </c>
      <c r="BW16" s="230">
        <v>219700150</v>
      </c>
      <c r="BX16" s="230">
        <v>231432300</v>
      </c>
      <c r="BY16" s="230">
        <v>-11732150</v>
      </c>
      <c r="BZ16" s="229">
        <v>-5.0700000000000002E-2</v>
      </c>
      <c r="CA16" s="230">
        <v>210931350</v>
      </c>
      <c r="CB16" s="230">
        <v>227072150</v>
      </c>
      <c r="CC16" s="230">
        <v>-16140800</v>
      </c>
      <c r="CD16" s="229">
        <v>-7.1099999999999997E-2</v>
      </c>
      <c r="CE16" s="230">
        <v>7949150</v>
      </c>
      <c r="CF16" s="230">
        <v>3761175</v>
      </c>
      <c r="CG16" s="230">
        <v>4187975</v>
      </c>
      <c r="CH16" s="229">
        <v>1.1134999999999999</v>
      </c>
      <c r="CI16" s="230">
        <v>819650</v>
      </c>
      <c r="CJ16" s="230">
        <v>598975</v>
      </c>
      <c r="CK16" s="230">
        <v>220675</v>
      </c>
      <c r="CL16" s="229">
        <v>0.36840000000000001</v>
      </c>
      <c r="CM16" s="230">
        <v>90360350</v>
      </c>
      <c r="CN16" s="230">
        <v>60501325</v>
      </c>
      <c r="CO16" s="230">
        <v>29859025</v>
      </c>
      <c r="CP16" s="229">
        <v>0.49349999999999999</v>
      </c>
      <c r="CQ16" s="230">
        <v>56284250</v>
      </c>
      <c r="CR16" s="230">
        <v>42709100</v>
      </c>
      <c r="CS16" s="230">
        <v>13575150</v>
      </c>
      <c r="CT16" s="229">
        <v>0.31790000000000002</v>
      </c>
      <c r="CU16" s="230">
        <v>366344750</v>
      </c>
      <c r="CV16" s="230">
        <v>334642725</v>
      </c>
      <c r="CW16" s="230">
        <v>31702025</v>
      </c>
      <c r="CX16" s="229">
        <v>9.4700000000000006E-2</v>
      </c>
      <c r="CY16" s="228">
        <v>46.3</v>
      </c>
      <c r="CZ16" s="228">
        <v>39.78</v>
      </c>
      <c r="DA16" s="228">
        <v>6.52</v>
      </c>
      <c r="DB16" s="228">
        <v>6.52</v>
      </c>
      <c r="DC16" s="228">
        <v>45.7</v>
      </c>
      <c r="DD16" s="228">
        <v>45.75</v>
      </c>
      <c r="DE16" s="228">
        <v>0.6</v>
      </c>
      <c r="DF16" s="228">
        <v>-0.05</v>
      </c>
      <c r="DG16" s="228">
        <v>45.42</v>
      </c>
      <c r="DH16" s="228">
        <v>39.26</v>
      </c>
      <c r="DI16" s="228">
        <v>6.16</v>
      </c>
      <c r="DJ16" s="228">
        <v>6.16</v>
      </c>
      <c r="DK16" s="228">
        <v>47.74</v>
      </c>
      <c r="DL16" s="228">
        <v>40.96</v>
      </c>
      <c r="DM16" s="228">
        <v>6.78</v>
      </c>
      <c r="DN16" s="228">
        <v>6.78</v>
      </c>
      <c r="DO16" s="228">
        <v>0.62</v>
      </c>
      <c r="DP16" s="228">
        <v>0.71</v>
      </c>
      <c r="DQ16" s="228">
        <v>-0.09</v>
      </c>
      <c r="DR16" s="229">
        <v>-0.1268</v>
      </c>
      <c r="DS16" s="228">
        <v>350</v>
      </c>
      <c r="DT16" s="228">
        <v>330</v>
      </c>
      <c r="DU16" s="228">
        <v>0.61</v>
      </c>
      <c r="DV16" s="228">
        <v>0.44</v>
      </c>
      <c r="DW16" s="228">
        <v>0.17</v>
      </c>
      <c r="DX16" s="229">
        <v>0.38640000000000002</v>
      </c>
      <c r="DY16" s="229">
        <v>3.9899999999999998E-2</v>
      </c>
      <c r="DZ16" s="230">
        <v>4360150</v>
      </c>
      <c r="EA16" s="229">
        <v>3.3999999999999998E-3</v>
      </c>
      <c r="EB16" s="229">
        <v>3.9899999999999998E-2</v>
      </c>
      <c r="EC16" s="228">
        <v>1.18</v>
      </c>
      <c r="ED16" s="229">
        <v>3.3E-3</v>
      </c>
      <c r="EE16" s="230">
        <v>31941679</v>
      </c>
      <c r="EF16" s="230">
        <v>19303667</v>
      </c>
      <c r="EG16" s="229">
        <v>0.65469999999999995</v>
      </c>
      <c r="EH16" s="229">
        <v>0.33550000000000002</v>
      </c>
      <c r="EI16" s="231">
        <v>2086835.74</v>
      </c>
      <c r="EJ16" s="231">
        <v>1167926.72</v>
      </c>
      <c r="EK16" s="231">
        <v>651439.77</v>
      </c>
      <c r="EL16" s="231">
        <v>9716</v>
      </c>
      <c r="EM16" s="231">
        <v>3906202.23</v>
      </c>
      <c r="EN16" s="231">
        <v>580036.67000000004</v>
      </c>
      <c r="EO16" s="231">
        <v>3326165.56</v>
      </c>
      <c r="EP16" s="229">
        <v>5.7343999999999999</v>
      </c>
      <c r="EQ16" s="231">
        <v>324194</v>
      </c>
      <c r="ER16" s="231">
        <v>184344</v>
      </c>
      <c r="ES16" s="231">
        <v>765227</v>
      </c>
      <c r="ET16" s="231">
        <v>1361988292</v>
      </c>
      <c r="EU16" s="231">
        <v>1273765</v>
      </c>
      <c r="EV16" s="231">
        <v>1172271</v>
      </c>
      <c r="EW16" s="231">
        <v>101494</v>
      </c>
      <c r="EX16" s="229">
        <v>8.6599999999999996E-2</v>
      </c>
      <c r="EY16" s="229">
        <v>0.26900000000000002</v>
      </c>
    </row>
    <row r="17" spans="1:155" ht="17.25" thickBot="1" x14ac:dyDescent="0.3">
      <c r="A17" s="226">
        <v>45946</v>
      </c>
      <c r="B17" s="227" t="s">
        <v>157</v>
      </c>
      <c r="C17" s="227" t="s">
        <v>219</v>
      </c>
      <c r="D17" s="231">
        <v>2868.7</v>
      </c>
      <c r="E17" s="231">
        <v>2829</v>
      </c>
      <c r="F17" s="228">
        <v>39.700000000000003</v>
      </c>
      <c r="G17" s="229">
        <v>1.4E-2</v>
      </c>
      <c r="H17" s="231">
        <v>2859.8</v>
      </c>
      <c r="I17" s="231">
        <v>2816.8</v>
      </c>
      <c r="J17" s="228">
        <v>43</v>
      </c>
      <c r="K17" s="229">
        <v>1.5299999999999999E-2</v>
      </c>
      <c r="L17" s="231">
        <v>2868.7</v>
      </c>
      <c r="M17" s="231">
        <v>2829</v>
      </c>
      <c r="N17" s="228">
        <v>39.700000000000003</v>
      </c>
      <c r="O17" s="229">
        <v>1.4E-2</v>
      </c>
      <c r="P17" s="231">
        <v>2883.8</v>
      </c>
      <c r="Q17" s="231">
        <v>2843.8</v>
      </c>
      <c r="R17" s="228">
        <v>40</v>
      </c>
      <c r="S17" s="229">
        <v>1.41E-2</v>
      </c>
      <c r="T17" s="231">
        <v>2905</v>
      </c>
      <c r="U17" s="231">
        <v>2862.7</v>
      </c>
      <c r="V17" s="228">
        <v>42.3</v>
      </c>
      <c r="W17" s="229">
        <v>1.4800000000000001E-2</v>
      </c>
      <c r="X17" s="228">
        <v>8.9</v>
      </c>
      <c r="Y17" s="228">
        <v>12.2</v>
      </c>
      <c r="Z17" s="228">
        <v>-3.3</v>
      </c>
      <c r="AA17" s="229">
        <v>3.0999999999999999E-3</v>
      </c>
      <c r="AB17" s="228">
        <v>8.9</v>
      </c>
      <c r="AC17" s="228">
        <v>12.2</v>
      </c>
      <c r="AD17" s="228">
        <v>-3.3</v>
      </c>
      <c r="AE17" s="229">
        <v>3.0999999999999999E-3</v>
      </c>
      <c r="AF17" s="228">
        <v>24</v>
      </c>
      <c r="AG17" s="228">
        <v>27</v>
      </c>
      <c r="AH17" s="228">
        <v>-3</v>
      </c>
      <c r="AI17" s="229">
        <v>8.3999999999999995E-3</v>
      </c>
      <c r="AJ17" s="228">
        <v>45.2</v>
      </c>
      <c r="AK17" s="228">
        <v>45.9</v>
      </c>
      <c r="AL17" s="228">
        <v>-0.7</v>
      </c>
      <c r="AM17" s="229">
        <v>1.5800000000000002E-2</v>
      </c>
      <c r="AN17" s="231">
        <v>2862.32</v>
      </c>
      <c r="AO17" s="231">
        <v>2875.34</v>
      </c>
      <c r="AP17" s="228">
        <v>0</v>
      </c>
      <c r="AQ17" s="230">
        <v>5947</v>
      </c>
      <c r="AR17" s="230">
        <v>3112</v>
      </c>
      <c r="AS17" s="230">
        <v>2835</v>
      </c>
      <c r="AT17" s="229">
        <v>0.91100000000000003</v>
      </c>
      <c r="AU17" s="230">
        <v>5525</v>
      </c>
      <c r="AV17" s="230">
        <v>2564</v>
      </c>
      <c r="AW17" s="230">
        <v>2961</v>
      </c>
      <c r="AX17" s="229">
        <v>1.1548</v>
      </c>
      <c r="AY17" s="228">
        <v>407</v>
      </c>
      <c r="AZ17" s="228">
        <v>533</v>
      </c>
      <c r="BA17" s="228">
        <v>-126</v>
      </c>
      <c r="BB17" s="229">
        <v>-0.2364</v>
      </c>
      <c r="BC17" s="228">
        <v>15</v>
      </c>
      <c r="BD17" s="228">
        <v>15</v>
      </c>
      <c r="BE17" s="228">
        <v>0</v>
      </c>
      <c r="BF17" s="229">
        <v>0</v>
      </c>
      <c r="BG17" s="230">
        <v>14988</v>
      </c>
      <c r="BH17" s="230">
        <v>6650</v>
      </c>
      <c r="BI17" s="230">
        <v>8338</v>
      </c>
      <c r="BJ17" s="229">
        <v>1.2538</v>
      </c>
      <c r="BK17" s="230">
        <v>7005</v>
      </c>
      <c r="BL17" s="230">
        <v>2958</v>
      </c>
      <c r="BM17" s="230">
        <v>4047</v>
      </c>
      <c r="BN17" s="229">
        <v>1.3682000000000001</v>
      </c>
      <c r="BO17" s="230">
        <v>27940</v>
      </c>
      <c r="BP17" s="230">
        <v>12720</v>
      </c>
      <c r="BQ17" s="230">
        <v>15220</v>
      </c>
      <c r="BR17" s="229">
        <v>1.1964999999999999</v>
      </c>
      <c r="BS17" s="230">
        <v>561347</v>
      </c>
      <c r="BT17" s="230">
        <v>485687</v>
      </c>
      <c r="BU17" s="230">
        <v>75660</v>
      </c>
      <c r="BV17" s="229">
        <v>0.15579999999999999</v>
      </c>
      <c r="BW17" s="230">
        <v>14749750</v>
      </c>
      <c r="BX17" s="230">
        <v>14539250</v>
      </c>
      <c r="BY17" s="230">
        <v>210500</v>
      </c>
      <c r="BZ17" s="229">
        <v>1.4500000000000001E-2</v>
      </c>
      <c r="CA17" s="230">
        <v>14534250</v>
      </c>
      <c r="CB17" s="230">
        <v>14363250</v>
      </c>
      <c r="CC17" s="230">
        <v>171000</v>
      </c>
      <c r="CD17" s="229">
        <v>1.1900000000000001E-2</v>
      </c>
      <c r="CE17" s="230">
        <v>202750</v>
      </c>
      <c r="CF17" s="230">
        <v>164250</v>
      </c>
      <c r="CG17" s="230">
        <v>38500</v>
      </c>
      <c r="CH17" s="229">
        <v>0.2344</v>
      </c>
      <c r="CI17" s="230">
        <v>12750</v>
      </c>
      <c r="CJ17" s="230">
        <v>11750</v>
      </c>
      <c r="CK17" s="230">
        <v>1000</v>
      </c>
      <c r="CL17" s="229">
        <v>8.5099999999999995E-2</v>
      </c>
      <c r="CM17" s="230">
        <v>1547750</v>
      </c>
      <c r="CN17" s="230">
        <v>1665250</v>
      </c>
      <c r="CO17" s="230">
        <v>-117500</v>
      </c>
      <c r="CP17" s="229">
        <v>-7.0599999999999996E-2</v>
      </c>
      <c r="CQ17" s="230">
        <v>1068250</v>
      </c>
      <c r="CR17" s="230">
        <v>1058000</v>
      </c>
      <c r="CS17" s="230">
        <v>10250</v>
      </c>
      <c r="CT17" s="229">
        <v>9.7000000000000003E-3</v>
      </c>
      <c r="CU17" s="230">
        <v>17365750</v>
      </c>
      <c r="CV17" s="230">
        <v>17262500</v>
      </c>
      <c r="CW17" s="230">
        <v>103250</v>
      </c>
      <c r="CX17" s="229">
        <v>6.0000000000000001E-3</v>
      </c>
      <c r="CY17" s="228">
        <v>18.690000000000001</v>
      </c>
      <c r="CZ17" s="228">
        <v>19.47</v>
      </c>
      <c r="DA17" s="228">
        <v>-0.78</v>
      </c>
      <c r="DB17" s="228">
        <v>-0.78</v>
      </c>
      <c r="DC17" s="228">
        <v>25.54</v>
      </c>
      <c r="DD17" s="228">
        <v>25.52</v>
      </c>
      <c r="DE17" s="228">
        <v>-6.85</v>
      </c>
      <c r="DF17" s="228">
        <v>0.02</v>
      </c>
      <c r="DG17" s="228">
        <v>18.64</v>
      </c>
      <c r="DH17" s="228">
        <v>19.68</v>
      </c>
      <c r="DI17" s="228">
        <v>-1.04</v>
      </c>
      <c r="DJ17" s="228">
        <v>-1.04</v>
      </c>
      <c r="DK17" s="228">
        <v>18.79</v>
      </c>
      <c r="DL17" s="228">
        <v>18.98</v>
      </c>
      <c r="DM17" s="228">
        <v>-0.19</v>
      </c>
      <c r="DN17" s="228">
        <v>-0.19</v>
      </c>
      <c r="DO17" s="228">
        <v>0.69</v>
      </c>
      <c r="DP17" s="228">
        <v>0.64</v>
      </c>
      <c r="DQ17" s="228">
        <v>0.05</v>
      </c>
      <c r="DR17" s="229">
        <v>7.8100000000000003E-2</v>
      </c>
      <c r="DS17" s="231">
        <v>2900</v>
      </c>
      <c r="DT17" s="231">
        <v>2700</v>
      </c>
      <c r="DU17" s="228">
        <v>0.47</v>
      </c>
      <c r="DV17" s="228">
        <v>0.44</v>
      </c>
      <c r="DW17" s="228">
        <v>0.03</v>
      </c>
      <c r="DX17" s="229">
        <v>6.8199999999999997E-2</v>
      </c>
      <c r="DY17" s="229">
        <v>1.46E-2</v>
      </c>
      <c r="DZ17" s="230">
        <v>176000</v>
      </c>
      <c r="EA17" s="229">
        <v>5.3E-3</v>
      </c>
      <c r="EB17" s="229">
        <v>1.46E-2</v>
      </c>
      <c r="EC17" s="228">
        <v>13.02</v>
      </c>
      <c r="ED17" s="229">
        <v>4.4999999999999997E-3</v>
      </c>
      <c r="EE17" s="230">
        <v>341959</v>
      </c>
      <c r="EF17" s="230">
        <v>319625</v>
      </c>
      <c r="EG17" s="229">
        <v>6.9900000000000004E-2</v>
      </c>
      <c r="EH17" s="229">
        <v>0.60919999999999996</v>
      </c>
      <c r="EI17" s="231">
        <v>109231.64</v>
      </c>
      <c r="EJ17" s="231">
        <v>49480.21</v>
      </c>
      <c r="EK17" s="231">
        <v>42570.01</v>
      </c>
      <c r="EL17" s="231">
        <v>2556</v>
      </c>
      <c r="EM17" s="231">
        <v>201281.86</v>
      </c>
      <c r="EN17" s="231">
        <v>91159.23</v>
      </c>
      <c r="EO17" s="231">
        <v>110122.63</v>
      </c>
      <c r="EP17" s="229">
        <v>1.208</v>
      </c>
      <c r="EQ17" s="231">
        <v>45491</v>
      </c>
      <c r="ER17" s="231">
        <v>29247</v>
      </c>
      <c r="ES17" s="231">
        <v>423161</v>
      </c>
      <c r="ET17" s="231">
        <v>38514157</v>
      </c>
      <c r="EU17" s="231">
        <v>497899</v>
      </c>
      <c r="EV17" s="231">
        <v>488945</v>
      </c>
      <c r="EW17" s="231">
        <v>8954</v>
      </c>
      <c r="EX17" s="229">
        <v>1.83E-2</v>
      </c>
      <c r="EY17" s="229">
        <v>0.45090000000000002</v>
      </c>
    </row>
    <row r="18" spans="1:155" ht="17.25" thickBot="1" x14ac:dyDescent="0.3">
      <c r="A18" s="226">
        <v>45946</v>
      </c>
      <c r="B18" s="227" t="s">
        <v>221</v>
      </c>
      <c r="C18" s="227" t="s">
        <v>222</v>
      </c>
      <c r="D18" s="231">
        <v>1504.6</v>
      </c>
      <c r="E18" s="231">
        <v>1488.1</v>
      </c>
      <c r="F18" s="228">
        <v>16.5</v>
      </c>
      <c r="G18" s="229">
        <v>1.11E-2</v>
      </c>
      <c r="H18" s="231">
        <v>1515</v>
      </c>
      <c r="I18" s="231">
        <v>1495.7</v>
      </c>
      <c r="J18" s="228">
        <v>19.3</v>
      </c>
      <c r="K18" s="229">
        <v>1.29E-2</v>
      </c>
      <c r="L18" s="231">
        <v>1504.6</v>
      </c>
      <c r="M18" s="231">
        <v>1488.1</v>
      </c>
      <c r="N18" s="228">
        <v>16.5</v>
      </c>
      <c r="O18" s="229">
        <v>1.11E-2</v>
      </c>
      <c r="P18" s="231">
        <v>1512.8</v>
      </c>
      <c r="Q18" s="231">
        <v>1496.7</v>
      </c>
      <c r="R18" s="228">
        <v>16.100000000000001</v>
      </c>
      <c r="S18" s="229">
        <v>1.0800000000000001E-2</v>
      </c>
      <c r="T18" s="231">
        <v>1521.9</v>
      </c>
      <c r="U18" s="231">
        <v>1506</v>
      </c>
      <c r="V18" s="228">
        <v>15.9</v>
      </c>
      <c r="W18" s="229">
        <v>1.06E-2</v>
      </c>
      <c r="X18" s="228">
        <v>-10.4</v>
      </c>
      <c r="Y18" s="228">
        <v>-7.6</v>
      </c>
      <c r="Z18" s="228">
        <v>-2.8</v>
      </c>
      <c r="AA18" s="229">
        <v>-6.8999999999999999E-3</v>
      </c>
      <c r="AB18" s="228">
        <v>-10.4</v>
      </c>
      <c r="AC18" s="228">
        <v>-7.6</v>
      </c>
      <c r="AD18" s="228">
        <v>-2.8</v>
      </c>
      <c r="AE18" s="229">
        <v>-6.8999999999999999E-3</v>
      </c>
      <c r="AF18" s="228">
        <v>-2.2000000000000002</v>
      </c>
      <c r="AG18" s="228">
        <v>1</v>
      </c>
      <c r="AH18" s="228">
        <v>-3.2</v>
      </c>
      <c r="AI18" s="229">
        <v>-1.5E-3</v>
      </c>
      <c r="AJ18" s="228">
        <v>6.9</v>
      </c>
      <c r="AK18" s="228">
        <v>10.3</v>
      </c>
      <c r="AL18" s="228">
        <v>-3.4</v>
      </c>
      <c r="AM18" s="229">
        <v>4.5999999999999999E-3</v>
      </c>
      <c r="AN18" s="231">
        <v>1501.82</v>
      </c>
      <c r="AO18" s="231">
        <v>1510.4</v>
      </c>
      <c r="AP18" s="228">
        <v>0</v>
      </c>
      <c r="AQ18" s="230">
        <v>10047</v>
      </c>
      <c r="AR18" s="230">
        <v>9482</v>
      </c>
      <c r="AS18" s="228">
        <v>565</v>
      </c>
      <c r="AT18" s="229">
        <v>5.96E-2</v>
      </c>
      <c r="AU18" s="230">
        <v>8975</v>
      </c>
      <c r="AV18" s="230">
        <v>8495</v>
      </c>
      <c r="AW18" s="228">
        <v>480</v>
      </c>
      <c r="AX18" s="229">
        <v>5.6500000000000002E-2</v>
      </c>
      <c r="AY18" s="228">
        <v>979</v>
      </c>
      <c r="AZ18" s="228">
        <v>929</v>
      </c>
      <c r="BA18" s="228">
        <v>50</v>
      </c>
      <c r="BB18" s="229">
        <v>5.3800000000000001E-2</v>
      </c>
      <c r="BC18" s="228">
        <v>93</v>
      </c>
      <c r="BD18" s="228">
        <v>58</v>
      </c>
      <c r="BE18" s="228">
        <v>35</v>
      </c>
      <c r="BF18" s="229">
        <v>0.60340000000000005</v>
      </c>
      <c r="BG18" s="230">
        <v>45437</v>
      </c>
      <c r="BH18" s="230">
        <v>58514</v>
      </c>
      <c r="BI18" s="230">
        <v>-13077</v>
      </c>
      <c r="BJ18" s="229">
        <v>-0.2235</v>
      </c>
      <c r="BK18" s="230">
        <v>25726</v>
      </c>
      <c r="BL18" s="230">
        <v>31096</v>
      </c>
      <c r="BM18" s="230">
        <v>-5370</v>
      </c>
      <c r="BN18" s="229">
        <v>-0.17269999999999999</v>
      </c>
      <c r="BO18" s="230">
        <v>81210</v>
      </c>
      <c r="BP18" s="230">
        <v>99092</v>
      </c>
      <c r="BQ18" s="230">
        <v>-17882</v>
      </c>
      <c r="BR18" s="229">
        <v>-0.18049999999999999</v>
      </c>
      <c r="BS18" s="230">
        <v>2172519</v>
      </c>
      <c r="BT18" s="230">
        <v>2018123</v>
      </c>
      <c r="BU18" s="230">
        <v>154396</v>
      </c>
      <c r="BV18" s="229">
        <v>7.6499999999999999E-2</v>
      </c>
      <c r="BW18" s="230">
        <v>18036200</v>
      </c>
      <c r="BX18" s="230">
        <v>18899300</v>
      </c>
      <c r="BY18" s="230">
        <v>-863100</v>
      </c>
      <c r="BZ18" s="229">
        <v>-4.5699999999999998E-2</v>
      </c>
      <c r="CA18" s="230">
        <v>17026800</v>
      </c>
      <c r="CB18" s="230">
        <v>17986850</v>
      </c>
      <c r="CC18" s="230">
        <v>-960050</v>
      </c>
      <c r="CD18" s="229">
        <v>-5.3400000000000003E-2</v>
      </c>
      <c r="CE18" s="230">
        <v>914550</v>
      </c>
      <c r="CF18" s="230">
        <v>815500</v>
      </c>
      <c r="CG18" s="230">
        <v>99050</v>
      </c>
      <c r="CH18" s="229">
        <v>0.1215</v>
      </c>
      <c r="CI18" s="230">
        <v>94850</v>
      </c>
      <c r="CJ18" s="230">
        <v>96950</v>
      </c>
      <c r="CK18" s="230">
        <v>-2100</v>
      </c>
      <c r="CL18" s="229">
        <v>-2.1700000000000001E-2</v>
      </c>
      <c r="CM18" s="230">
        <v>9817150</v>
      </c>
      <c r="CN18" s="230">
        <v>12860750</v>
      </c>
      <c r="CO18" s="230">
        <v>-3043600</v>
      </c>
      <c r="CP18" s="229">
        <v>-0.23669999999999999</v>
      </c>
      <c r="CQ18" s="230">
        <v>5832750</v>
      </c>
      <c r="CR18" s="230">
        <v>6773900</v>
      </c>
      <c r="CS18" s="230">
        <v>-941150</v>
      </c>
      <c r="CT18" s="229">
        <v>-0.1389</v>
      </c>
      <c r="CU18" s="230">
        <v>33686100</v>
      </c>
      <c r="CV18" s="230">
        <v>38533950</v>
      </c>
      <c r="CW18" s="230">
        <v>-4847850</v>
      </c>
      <c r="CX18" s="229">
        <v>-0.1258</v>
      </c>
      <c r="CY18" s="228">
        <v>21.67</v>
      </c>
      <c r="CZ18" s="228">
        <v>22.42</v>
      </c>
      <c r="DA18" s="228">
        <v>-0.75</v>
      </c>
      <c r="DB18" s="228">
        <v>-0.75</v>
      </c>
      <c r="DC18" s="228">
        <v>28.93</v>
      </c>
      <c r="DD18" s="228">
        <v>28.95</v>
      </c>
      <c r="DE18" s="228">
        <v>-7.26</v>
      </c>
      <c r="DF18" s="228">
        <v>-0.02</v>
      </c>
      <c r="DG18" s="228">
        <v>21.28</v>
      </c>
      <c r="DH18" s="228">
        <v>22.19</v>
      </c>
      <c r="DI18" s="228">
        <v>-0.91</v>
      </c>
      <c r="DJ18" s="228">
        <v>-0.91</v>
      </c>
      <c r="DK18" s="228">
        <v>22.37</v>
      </c>
      <c r="DL18" s="228">
        <v>22.84</v>
      </c>
      <c r="DM18" s="228">
        <v>-0.47</v>
      </c>
      <c r="DN18" s="228">
        <v>-0.47</v>
      </c>
      <c r="DO18" s="228">
        <v>0.59</v>
      </c>
      <c r="DP18" s="228">
        <v>0.53</v>
      </c>
      <c r="DQ18" s="228">
        <v>0.06</v>
      </c>
      <c r="DR18" s="229">
        <v>0.1132</v>
      </c>
      <c r="DS18" s="231">
        <v>1600</v>
      </c>
      <c r="DT18" s="231">
        <v>1400</v>
      </c>
      <c r="DU18" s="228">
        <v>0.56999999999999995</v>
      </c>
      <c r="DV18" s="228">
        <v>0.53</v>
      </c>
      <c r="DW18" s="228">
        <v>0.04</v>
      </c>
      <c r="DX18" s="229">
        <v>7.5499999999999998E-2</v>
      </c>
      <c r="DY18" s="229">
        <v>5.6000000000000001E-2</v>
      </c>
      <c r="DZ18" s="230">
        <v>912450</v>
      </c>
      <c r="EA18" s="229">
        <v>5.4000000000000003E-3</v>
      </c>
      <c r="EB18" s="229">
        <v>5.6000000000000001E-2</v>
      </c>
      <c r="EC18" s="228">
        <v>8.58</v>
      </c>
      <c r="ED18" s="229">
        <v>5.7000000000000002E-3</v>
      </c>
      <c r="EE18" s="230">
        <v>1349810</v>
      </c>
      <c r="EF18" s="230">
        <v>1165178</v>
      </c>
      <c r="EG18" s="229">
        <v>0.1585</v>
      </c>
      <c r="EH18" s="229">
        <v>0.62129999999999996</v>
      </c>
      <c r="EI18" s="231">
        <v>246312.1</v>
      </c>
      <c r="EJ18" s="231">
        <v>132972.42000000001</v>
      </c>
      <c r="EK18" s="231">
        <v>52846.04</v>
      </c>
      <c r="EL18" s="231">
        <v>18230</v>
      </c>
      <c r="EM18" s="231">
        <v>432130.56</v>
      </c>
      <c r="EN18" s="231">
        <v>525628.55000000005</v>
      </c>
      <c r="EO18" s="231">
        <v>-93497.99</v>
      </c>
      <c r="EP18" s="229">
        <v>-0.1779</v>
      </c>
      <c r="EQ18" s="231">
        <v>151908</v>
      </c>
      <c r="ER18" s="231">
        <v>82518</v>
      </c>
      <c r="ES18" s="231">
        <v>271464</v>
      </c>
      <c r="ET18" s="231">
        <v>145993539</v>
      </c>
      <c r="EU18" s="231">
        <v>505890</v>
      </c>
      <c r="EV18" s="231">
        <v>575388</v>
      </c>
      <c r="EW18" s="231">
        <v>-69498</v>
      </c>
      <c r="EX18" s="229">
        <v>-0.1208</v>
      </c>
      <c r="EY18" s="229">
        <v>0.23069999999999999</v>
      </c>
    </row>
    <row r="19" spans="1:155" ht="17.25" thickBot="1" x14ac:dyDescent="0.3">
      <c r="A19" s="226">
        <v>45946</v>
      </c>
      <c r="B19" s="227" t="s">
        <v>172</v>
      </c>
      <c r="C19" s="227" t="s">
        <v>224</v>
      </c>
      <c r="D19" s="228">
        <v>995.65</v>
      </c>
      <c r="E19" s="228">
        <v>982.45</v>
      </c>
      <c r="F19" s="228">
        <v>13.2</v>
      </c>
      <c r="G19" s="229">
        <v>1.34E-2</v>
      </c>
      <c r="H19" s="228">
        <v>994.35</v>
      </c>
      <c r="I19" s="228">
        <v>978.25</v>
      </c>
      <c r="J19" s="228">
        <v>16.100000000000001</v>
      </c>
      <c r="K19" s="229">
        <v>1.6500000000000001E-2</v>
      </c>
      <c r="L19" s="228">
        <v>995.65</v>
      </c>
      <c r="M19" s="228">
        <v>982.45</v>
      </c>
      <c r="N19" s="228">
        <v>13.2</v>
      </c>
      <c r="O19" s="229">
        <v>1.34E-2</v>
      </c>
      <c r="P19" s="231">
        <v>1001.1</v>
      </c>
      <c r="Q19" s="228">
        <v>987.85</v>
      </c>
      <c r="R19" s="228">
        <v>13.25</v>
      </c>
      <c r="S19" s="229">
        <v>1.34E-2</v>
      </c>
      <c r="T19" s="231">
        <v>1007.35</v>
      </c>
      <c r="U19" s="228">
        <v>993.7</v>
      </c>
      <c r="V19" s="228">
        <v>13.65</v>
      </c>
      <c r="W19" s="229">
        <v>1.37E-2</v>
      </c>
      <c r="X19" s="228">
        <v>1.3</v>
      </c>
      <c r="Y19" s="228">
        <v>4.2</v>
      </c>
      <c r="Z19" s="228">
        <v>-2.9</v>
      </c>
      <c r="AA19" s="229">
        <v>1.2999999999999999E-3</v>
      </c>
      <c r="AB19" s="228">
        <v>1.3</v>
      </c>
      <c r="AC19" s="228">
        <v>4.2</v>
      </c>
      <c r="AD19" s="228">
        <v>-2.9</v>
      </c>
      <c r="AE19" s="229">
        <v>1.2999999999999999E-3</v>
      </c>
      <c r="AF19" s="228">
        <v>6.75</v>
      </c>
      <c r="AG19" s="228">
        <v>9.6</v>
      </c>
      <c r="AH19" s="228">
        <v>-2.85</v>
      </c>
      <c r="AI19" s="229">
        <v>6.7999999999999996E-3</v>
      </c>
      <c r="AJ19" s="228">
        <v>13</v>
      </c>
      <c r="AK19" s="228">
        <v>15.45</v>
      </c>
      <c r="AL19" s="228">
        <v>-2.4500000000000002</v>
      </c>
      <c r="AM19" s="229">
        <v>1.3100000000000001E-2</v>
      </c>
      <c r="AN19" s="228">
        <v>990.9</v>
      </c>
      <c r="AO19" s="228">
        <v>995.84</v>
      </c>
      <c r="AP19" s="228">
        <v>0</v>
      </c>
      <c r="AQ19" s="230">
        <v>28345</v>
      </c>
      <c r="AR19" s="230">
        <v>18514</v>
      </c>
      <c r="AS19" s="230">
        <v>9831</v>
      </c>
      <c r="AT19" s="229">
        <v>0.53100000000000003</v>
      </c>
      <c r="AU19" s="230">
        <v>25236</v>
      </c>
      <c r="AV19" s="230">
        <v>15466</v>
      </c>
      <c r="AW19" s="230">
        <v>9770</v>
      </c>
      <c r="AX19" s="229">
        <v>0.63170000000000004</v>
      </c>
      <c r="AY19" s="230">
        <v>2920</v>
      </c>
      <c r="AZ19" s="230">
        <v>2945</v>
      </c>
      <c r="BA19" s="228">
        <v>-25</v>
      </c>
      <c r="BB19" s="229">
        <v>-8.5000000000000006E-3</v>
      </c>
      <c r="BC19" s="228">
        <v>189</v>
      </c>
      <c r="BD19" s="228">
        <v>103</v>
      </c>
      <c r="BE19" s="228">
        <v>86</v>
      </c>
      <c r="BF19" s="229">
        <v>0.83499999999999996</v>
      </c>
      <c r="BG19" s="230">
        <v>52656</v>
      </c>
      <c r="BH19" s="230">
        <v>45402</v>
      </c>
      <c r="BI19" s="230">
        <v>7254</v>
      </c>
      <c r="BJ19" s="229">
        <v>0.1598</v>
      </c>
      <c r="BK19" s="230">
        <v>33058</v>
      </c>
      <c r="BL19" s="230">
        <v>25259</v>
      </c>
      <c r="BM19" s="230">
        <v>7799</v>
      </c>
      <c r="BN19" s="229">
        <v>0.30880000000000002</v>
      </c>
      <c r="BO19" s="230">
        <v>114059</v>
      </c>
      <c r="BP19" s="230">
        <v>89175</v>
      </c>
      <c r="BQ19" s="230">
        <v>24884</v>
      </c>
      <c r="BR19" s="229">
        <v>0.27900000000000003</v>
      </c>
      <c r="BS19" s="230">
        <v>24405373</v>
      </c>
      <c r="BT19" s="230">
        <v>23956072</v>
      </c>
      <c r="BU19" s="230">
        <v>449301</v>
      </c>
      <c r="BV19" s="229">
        <v>1.8800000000000001E-2</v>
      </c>
      <c r="BW19" s="230">
        <v>207207000</v>
      </c>
      <c r="BX19" s="230">
        <v>207538100</v>
      </c>
      <c r="BY19" s="230">
        <v>-331100</v>
      </c>
      <c r="BZ19" s="229">
        <v>-1.6000000000000001E-3</v>
      </c>
      <c r="CA19" s="230">
        <v>196013400</v>
      </c>
      <c r="CB19" s="230">
        <v>197568800</v>
      </c>
      <c r="CC19" s="230">
        <v>-1555400</v>
      </c>
      <c r="CD19" s="229">
        <v>-7.9000000000000008E-3</v>
      </c>
      <c r="CE19" s="230">
        <v>8847300</v>
      </c>
      <c r="CF19" s="230">
        <v>7621900</v>
      </c>
      <c r="CG19" s="230">
        <v>1225400</v>
      </c>
      <c r="CH19" s="229">
        <v>0.1608</v>
      </c>
      <c r="CI19" s="230">
        <v>2346300</v>
      </c>
      <c r="CJ19" s="230">
        <v>2347400</v>
      </c>
      <c r="CK19" s="230">
        <v>-1100</v>
      </c>
      <c r="CL19" s="229">
        <v>-5.0000000000000001E-4</v>
      </c>
      <c r="CM19" s="230">
        <v>32360900</v>
      </c>
      <c r="CN19" s="230">
        <v>35483800</v>
      </c>
      <c r="CO19" s="230">
        <v>-3122900</v>
      </c>
      <c r="CP19" s="229">
        <v>-8.7999999999999995E-2</v>
      </c>
      <c r="CQ19" s="230">
        <v>27814600</v>
      </c>
      <c r="CR19" s="230">
        <v>26317500</v>
      </c>
      <c r="CS19" s="230">
        <v>1497100</v>
      </c>
      <c r="CT19" s="229">
        <v>5.6899999999999999E-2</v>
      </c>
      <c r="CU19" s="230">
        <v>267382500</v>
      </c>
      <c r="CV19" s="230">
        <v>269339400</v>
      </c>
      <c r="CW19" s="230">
        <v>-1956900</v>
      </c>
      <c r="CX19" s="229">
        <v>-7.3000000000000001E-3</v>
      </c>
      <c r="CY19" s="228">
        <v>21.19</v>
      </c>
      <c r="CZ19" s="228">
        <v>20.74</v>
      </c>
      <c r="DA19" s="228">
        <v>0.45</v>
      </c>
      <c r="DB19" s="228">
        <v>0.45</v>
      </c>
      <c r="DC19" s="228">
        <v>21.2</v>
      </c>
      <c r="DD19" s="228">
        <v>21.14</v>
      </c>
      <c r="DE19" s="228">
        <v>-0.01</v>
      </c>
      <c r="DF19" s="228">
        <v>0.06</v>
      </c>
      <c r="DG19" s="228">
        <v>20.54</v>
      </c>
      <c r="DH19" s="228">
        <v>20.69</v>
      </c>
      <c r="DI19" s="228">
        <v>-0.15</v>
      </c>
      <c r="DJ19" s="228">
        <v>-0.15</v>
      </c>
      <c r="DK19" s="228">
        <v>22.21</v>
      </c>
      <c r="DL19" s="228">
        <v>20.83</v>
      </c>
      <c r="DM19" s="228">
        <v>1.38</v>
      </c>
      <c r="DN19" s="228">
        <v>1.38</v>
      </c>
      <c r="DO19" s="228">
        <v>0.86</v>
      </c>
      <c r="DP19" s="228">
        <v>0.74</v>
      </c>
      <c r="DQ19" s="228">
        <v>0.12</v>
      </c>
      <c r="DR19" s="229">
        <v>0.16220000000000001</v>
      </c>
      <c r="DS19" s="231">
        <v>1000</v>
      </c>
      <c r="DT19" s="228">
        <v>950</v>
      </c>
      <c r="DU19" s="228">
        <v>0.63</v>
      </c>
      <c r="DV19" s="228">
        <v>0.56000000000000005</v>
      </c>
      <c r="DW19" s="228">
        <v>7.0000000000000007E-2</v>
      </c>
      <c r="DX19" s="229">
        <v>0.125</v>
      </c>
      <c r="DY19" s="229">
        <v>5.3999999999999999E-2</v>
      </c>
      <c r="DZ19" s="230">
        <v>9969300</v>
      </c>
      <c r="EA19" s="229">
        <v>5.4999999999999997E-3</v>
      </c>
      <c r="EB19" s="229">
        <v>5.3999999999999999E-2</v>
      </c>
      <c r="EC19" s="228">
        <v>4.9400000000000004</v>
      </c>
      <c r="ED19" s="229">
        <v>5.0000000000000001E-3</v>
      </c>
      <c r="EE19" s="230">
        <v>15463391</v>
      </c>
      <c r="EF19" s="230">
        <v>16134923</v>
      </c>
      <c r="EG19" s="229">
        <v>-4.1599999999999998E-2</v>
      </c>
      <c r="EH19" s="229">
        <v>0.63360000000000005</v>
      </c>
      <c r="EI19" s="231">
        <v>586109.42000000004</v>
      </c>
      <c r="EJ19" s="231">
        <v>354860.2</v>
      </c>
      <c r="EK19" s="231">
        <v>309143.21000000002</v>
      </c>
      <c r="EL19" s="231">
        <v>17489</v>
      </c>
      <c r="EM19" s="231">
        <v>1250112.83</v>
      </c>
      <c r="EN19" s="231">
        <v>974319.59</v>
      </c>
      <c r="EO19" s="231">
        <v>275793.24</v>
      </c>
      <c r="EP19" s="229">
        <v>0.28310000000000002</v>
      </c>
      <c r="EQ19" s="231">
        <v>325113</v>
      </c>
      <c r="ER19" s="231">
        <v>264781</v>
      </c>
      <c r="ES19" s="231">
        <v>2063813</v>
      </c>
      <c r="ET19" s="231">
        <v>1329733550</v>
      </c>
      <c r="EU19" s="231">
        <v>2653707</v>
      </c>
      <c r="EV19" s="231">
        <v>2645164</v>
      </c>
      <c r="EW19" s="231">
        <v>8543</v>
      </c>
      <c r="EX19" s="229">
        <v>3.2000000000000002E-3</v>
      </c>
      <c r="EY19" s="229">
        <v>0.2011</v>
      </c>
    </row>
    <row r="20" spans="1:155" ht="17.25" thickBot="1" x14ac:dyDescent="0.3">
      <c r="A20" s="226">
        <v>45946</v>
      </c>
      <c r="B20" s="227" t="s">
        <v>175</v>
      </c>
      <c r="C20" s="227" t="s">
        <v>225</v>
      </c>
      <c r="D20" s="228">
        <v>743.5</v>
      </c>
      <c r="E20" s="228">
        <v>762.35</v>
      </c>
      <c r="F20" s="228">
        <v>-18.850000000000001</v>
      </c>
      <c r="G20" s="229">
        <v>-2.47E-2</v>
      </c>
      <c r="H20" s="228">
        <v>742.85</v>
      </c>
      <c r="I20" s="228">
        <v>761.15</v>
      </c>
      <c r="J20" s="228">
        <v>-18.3</v>
      </c>
      <c r="K20" s="229">
        <v>-2.4E-2</v>
      </c>
      <c r="L20" s="228">
        <v>743.5</v>
      </c>
      <c r="M20" s="228">
        <v>762.35</v>
      </c>
      <c r="N20" s="228">
        <v>-18.850000000000001</v>
      </c>
      <c r="O20" s="229">
        <v>-2.47E-2</v>
      </c>
      <c r="P20" s="228">
        <v>747.2</v>
      </c>
      <c r="Q20" s="228">
        <v>766.5</v>
      </c>
      <c r="R20" s="228">
        <v>-19.3</v>
      </c>
      <c r="S20" s="229">
        <v>-2.52E-2</v>
      </c>
      <c r="T20" s="228">
        <v>751.75</v>
      </c>
      <c r="U20" s="228">
        <v>772</v>
      </c>
      <c r="V20" s="228">
        <v>-20.25</v>
      </c>
      <c r="W20" s="229">
        <v>-2.6200000000000001E-2</v>
      </c>
      <c r="X20" s="228">
        <v>0.65</v>
      </c>
      <c r="Y20" s="228">
        <v>1.2</v>
      </c>
      <c r="Z20" s="228">
        <v>-0.55000000000000004</v>
      </c>
      <c r="AA20" s="229">
        <v>8.9999999999999998E-4</v>
      </c>
      <c r="AB20" s="228">
        <v>0.65</v>
      </c>
      <c r="AC20" s="228">
        <v>1.2</v>
      </c>
      <c r="AD20" s="228">
        <v>-0.55000000000000004</v>
      </c>
      <c r="AE20" s="229">
        <v>8.9999999999999998E-4</v>
      </c>
      <c r="AF20" s="228">
        <v>4.3499999999999996</v>
      </c>
      <c r="AG20" s="228">
        <v>5.35</v>
      </c>
      <c r="AH20" s="228">
        <v>-1</v>
      </c>
      <c r="AI20" s="229">
        <v>5.8999999999999999E-3</v>
      </c>
      <c r="AJ20" s="228">
        <v>8.9</v>
      </c>
      <c r="AK20" s="228">
        <v>10.85</v>
      </c>
      <c r="AL20" s="228">
        <v>-1.95</v>
      </c>
      <c r="AM20" s="229">
        <v>1.2E-2</v>
      </c>
      <c r="AN20" s="228">
        <v>741.96</v>
      </c>
      <c r="AO20" s="228">
        <v>745.65</v>
      </c>
      <c r="AP20" s="228">
        <v>0</v>
      </c>
      <c r="AQ20" s="230">
        <v>12166</v>
      </c>
      <c r="AR20" s="230">
        <v>5098</v>
      </c>
      <c r="AS20" s="230">
        <v>7068</v>
      </c>
      <c r="AT20" s="229">
        <v>1.3864000000000001</v>
      </c>
      <c r="AU20" s="230">
        <v>10231</v>
      </c>
      <c r="AV20" s="230">
        <v>4691</v>
      </c>
      <c r="AW20" s="230">
        <v>5540</v>
      </c>
      <c r="AX20" s="229">
        <v>1.181</v>
      </c>
      <c r="AY20" s="230">
        <v>1808</v>
      </c>
      <c r="AZ20" s="228">
        <v>379</v>
      </c>
      <c r="BA20" s="230">
        <v>1429</v>
      </c>
      <c r="BB20" s="229">
        <v>3.7704</v>
      </c>
      <c r="BC20" s="228">
        <v>127</v>
      </c>
      <c r="BD20" s="228">
        <v>28</v>
      </c>
      <c r="BE20" s="228">
        <v>99</v>
      </c>
      <c r="BF20" s="229">
        <v>3.5356999999999998</v>
      </c>
      <c r="BG20" s="230">
        <v>56694</v>
      </c>
      <c r="BH20" s="230">
        <v>29006</v>
      </c>
      <c r="BI20" s="230">
        <v>27688</v>
      </c>
      <c r="BJ20" s="229">
        <v>0.9546</v>
      </c>
      <c r="BK20" s="230">
        <v>24365</v>
      </c>
      <c r="BL20" s="230">
        <v>11410</v>
      </c>
      <c r="BM20" s="230">
        <v>12955</v>
      </c>
      <c r="BN20" s="229">
        <v>1.1354</v>
      </c>
      <c r="BO20" s="230">
        <v>93225</v>
      </c>
      <c r="BP20" s="230">
        <v>45514</v>
      </c>
      <c r="BQ20" s="230">
        <v>47711</v>
      </c>
      <c r="BR20" s="229">
        <v>1.0483</v>
      </c>
      <c r="BS20" s="230">
        <v>10378800</v>
      </c>
      <c r="BT20" s="230">
        <v>2854660</v>
      </c>
      <c r="BU20" s="230">
        <v>7524140</v>
      </c>
      <c r="BV20" s="229">
        <v>2.6356999999999999</v>
      </c>
      <c r="BW20" s="230">
        <v>33437800</v>
      </c>
      <c r="BX20" s="230">
        <v>31469900</v>
      </c>
      <c r="BY20" s="230">
        <v>1967900</v>
      </c>
      <c r="BZ20" s="229">
        <v>6.25E-2</v>
      </c>
      <c r="CA20" s="230">
        <v>31838400</v>
      </c>
      <c r="CB20" s="230">
        <v>30772500</v>
      </c>
      <c r="CC20" s="230">
        <v>1065900</v>
      </c>
      <c r="CD20" s="229">
        <v>3.4599999999999999E-2</v>
      </c>
      <c r="CE20" s="230">
        <v>1480600</v>
      </c>
      <c r="CF20" s="230">
        <v>630300</v>
      </c>
      <c r="CG20" s="230">
        <v>850300</v>
      </c>
      <c r="CH20" s="229">
        <v>1.349</v>
      </c>
      <c r="CI20" s="230">
        <v>118800</v>
      </c>
      <c r="CJ20" s="230">
        <v>67100</v>
      </c>
      <c r="CK20" s="230">
        <v>51700</v>
      </c>
      <c r="CL20" s="229">
        <v>0.77049999999999996</v>
      </c>
      <c r="CM20" s="230">
        <v>16976300</v>
      </c>
      <c r="CN20" s="230">
        <v>12832600</v>
      </c>
      <c r="CO20" s="230">
        <v>4143700</v>
      </c>
      <c r="CP20" s="229">
        <v>0.32290000000000002</v>
      </c>
      <c r="CQ20" s="230">
        <v>7793500</v>
      </c>
      <c r="CR20" s="230">
        <v>6889300</v>
      </c>
      <c r="CS20" s="230">
        <v>904200</v>
      </c>
      <c r="CT20" s="229">
        <v>0.13120000000000001</v>
      </c>
      <c r="CU20" s="230">
        <v>58207600</v>
      </c>
      <c r="CV20" s="230">
        <v>51191800</v>
      </c>
      <c r="CW20" s="230">
        <v>7015800</v>
      </c>
      <c r="CX20" s="229">
        <v>0.13700000000000001</v>
      </c>
      <c r="CY20" s="228">
        <v>21.49</v>
      </c>
      <c r="CZ20" s="228">
        <v>26.47</v>
      </c>
      <c r="DA20" s="228">
        <v>-4.9800000000000004</v>
      </c>
      <c r="DB20" s="228">
        <v>-4.9800000000000004</v>
      </c>
      <c r="DC20" s="228">
        <v>26.11</v>
      </c>
      <c r="DD20" s="228">
        <v>25.97</v>
      </c>
      <c r="DE20" s="228">
        <v>-4.62</v>
      </c>
      <c r="DF20" s="228">
        <v>0.14000000000000001</v>
      </c>
      <c r="DG20" s="228">
        <v>22.08</v>
      </c>
      <c r="DH20" s="228">
        <v>26.66</v>
      </c>
      <c r="DI20" s="228">
        <v>-4.58</v>
      </c>
      <c r="DJ20" s="228">
        <v>-4.58</v>
      </c>
      <c r="DK20" s="228">
        <v>20.13</v>
      </c>
      <c r="DL20" s="228">
        <v>25.99</v>
      </c>
      <c r="DM20" s="228">
        <v>-5.86</v>
      </c>
      <c r="DN20" s="228">
        <v>-5.86</v>
      </c>
      <c r="DO20" s="228">
        <v>0.46</v>
      </c>
      <c r="DP20" s="228">
        <v>0.54</v>
      </c>
      <c r="DQ20" s="228">
        <v>-0.08</v>
      </c>
      <c r="DR20" s="229">
        <v>-0.14810000000000001</v>
      </c>
      <c r="DS20" s="228">
        <v>800</v>
      </c>
      <c r="DT20" s="228">
        <v>740</v>
      </c>
      <c r="DU20" s="228">
        <v>0.43</v>
      </c>
      <c r="DV20" s="228">
        <v>0.39</v>
      </c>
      <c r="DW20" s="228">
        <v>0.04</v>
      </c>
      <c r="DX20" s="229">
        <v>0.1026</v>
      </c>
      <c r="DY20" s="229">
        <v>4.7800000000000002E-2</v>
      </c>
      <c r="DZ20" s="230">
        <v>697400</v>
      </c>
      <c r="EA20" s="229">
        <v>5.0000000000000001E-3</v>
      </c>
      <c r="EB20" s="229">
        <v>4.7800000000000002E-2</v>
      </c>
      <c r="EC20" s="228">
        <v>3.69</v>
      </c>
      <c r="ED20" s="229">
        <v>5.0000000000000001E-3</v>
      </c>
      <c r="EE20" s="230">
        <v>6252224</v>
      </c>
      <c r="EF20" s="230">
        <v>1646687</v>
      </c>
      <c r="EG20" s="229">
        <v>2.7968999999999999</v>
      </c>
      <c r="EH20" s="229">
        <v>0.60240000000000005</v>
      </c>
      <c r="EI20" s="231">
        <v>482820.31</v>
      </c>
      <c r="EJ20" s="231">
        <v>198324.03</v>
      </c>
      <c r="EK20" s="231">
        <v>99378.49</v>
      </c>
      <c r="EL20" s="231">
        <v>3764</v>
      </c>
      <c r="EM20" s="231">
        <v>780522.83</v>
      </c>
      <c r="EN20" s="231">
        <v>387912.25</v>
      </c>
      <c r="EO20" s="231">
        <v>392610.58</v>
      </c>
      <c r="EP20" s="229">
        <v>1.0121</v>
      </c>
      <c r="EQ20" s="231">
        <v>133761</v>
      </c>
      <c r="ER20" s="231">
        <v>56991</v>
      </c>
      <c r="ES20" s="231">
        <v>248675</v>
      </c>
      <c r="ET20" s="231">
        <v>119296253</v>
      </c>
      <c r="EU20" s="231">
        <v>439427</v>
      </c>
      <c r="EV20" s="231">
        <v>392671</v>
      </c>
      <c r="EW20" s="231">
        <v>46756</v>
      </c>
      <c r="EX20" s="229">
        <v>0.1191</v>
      </c>
      <c r="EY20" s="229">
        <v>0.4879</v>
      </c>
    </row>
    <row r="21" spans="1:155" ht="17.25" thickBot="1" x14ac:dyDescent="0.3">
      <c r="A21" s="226">
        <v>45946</v>
      </c>
      <c r="B21" s="227" t="s">
        <v>227</v>
      </c>
      <c r="C21" s="227" t="s">
        <v>228</v>
      </c>
      <c r="D21" s="228">
        <v>781.25</v>
      </c>
      <c r="E21" s="228">
        <v>767.6</v>
      </c>
      <c r="F21" s="228">
        <v>13.65</v>
      </c>
      <c r="G21" s="229">
        <v>1.78E-2</v>
      </c>
      <c r="H21" s="228">
        <v>780.1</v>
      </c>
      <c r="I21" s="228">
        <v>764.25</v>
      </c>
      <c r="J21" s="228">
        <v>15.85</v>
      </c>
      <c r="K21" s="229">
        <v>2.07E-2</v>
      </c>
      <c r="L21" s="228">
        <v>781.25</v>
      </c>
      <c r="M21" s="228">
        <v>767.6</v>
      </c>
      <c r="N21" s="228">
        <v>13.65</v>
      </c>
      <c r="O21" s="229">
        <v>1.78E-2</v>
      </c>
      <c r="P21" s="228">
        <v>785.55</v>
      </c>
      <c r="Q21" s="228">
        <v>771.35</v>
      </c>
      <c r="R21" s="228">
        <v>14.2</v>
      </c>
      <c r="S21" s="229">
        <v>1.84E-2</v>
      </c>
      <c r="T21" s="228">
        <v>789.95</v>
      </c>
      <c r="U21" s="228">
        <v>776.65</v>
      </c>
      <c r="V21" s="228">
        <v>13.3</v>
      </c>
      <c r="W21" s="229">
        <v>1.7100000000000001E-2</v>
      </c>
      <c r="X21" s="228">
        <v>1.1499999999999999</v>
      </c>
      <c r="Y21" s="228">
        <v>3.35</v>
      </c>
      <c r="Z21" s="228">
        <v>-2.2000000000000002</v>
      </c>
      <c r="AA21" s="229">
        <v>1.5E-3</v>
      </c>
      <c r="AB21" s="228">
        <v>1.1499999999999999</v>
      </c>
      <c r="AC21" s="228">
        <v>3.35</v>
      </c>
      <c r="AD21" s="228">
        <v>-2.2000000000000002</v>
      </c>
      <c r="AE21" s="229">
        <v>1.5E-3</v>
      </c>
      <c r="AF21" s="228">
        <v>5.45</v>
      </c>
      <c r="AG21" s="228">
        <v>7.1</v>
      </c>
      <c r="AH21" s="228">
        <v>-1.65</v>
      </c>
      <c r="AI21" s="229">
        <v>7.0000000000000001E-3</v>
      </c>
      <c r="AJ21" s="228">
        <v>9.85</v>
      </c>
      <c r="AK21" s="228">
        <v>12.4</v>
      </c>
      <c r="AL21" s="228">
        <v>-2.5499999999999998</v>
      </c>
      <c r="AM21" s="229">
        <v>1.26E-2</v>
      </c>
      <c r="AN21" s="228">
        <v>777.75</v>
      </c>
      <c r="AO21" s="228">
        <v>782.02</v>
      </c>
      <c r="AP21" s="228">
        <v>0</v>
      </c>
      <c r="AQ21" s="230">
        <v>6800</v>
      </c>
      <c r="AR21" s="230">
        <v>5389</v>
      </c>
      <c r="AS21" s="230">
        <v>1411</v>
      </c>
      <c r="AT21" s="229">
        <v>0.26179999999999998</v>
      </c>
      <c r="AU21" s="230">
        <v>6123</v>
      </c>
      <c r="AV21" s="230">
        <v>4723</v>
      </c>
      <c r="AW21" s="230">
        <v>1400</v>
      </c>
      <c r="AX21" s="229">
        <v>0.2964</v>
      </c>
      <c r="AY21" s="228">
        <v>584</v>
      </c>
      <c r="AZ21" s="228">
        <v>614</v>
      </c>
      <c r="BA21" s="228">
        <v>-30</v>
      </c>
      <c r="BB21" s="229">
        <v>-4.8899999999999999E-2</v>
      </c>
      <c r="BC21" s="228">
        <v>93</v>
      </c>
      <c r="BD21" s="228">
        <v>52</v>
      </c>
      <c r="BE21" s="228">
        <v>41</v>
      </c>
      <c r="BF21" s="229">
        <v>0.78849999999999998</v>
      </c>
      <c r="BG21" s="230">
        <v>19337</v>
      </c>
      <c r="BH21" s="230">
        <v>11269</v>
      </c>
      <c r="BI21" s="230">
        <v>8068</v>
      </c>
      <c r="BJ21" s="229">
        <v>0.71589999999999998</v>
      </c>
      <c r="BK21" s="230">
        <v>11359</v>
      </c>
      <c r="BL21" s="230">
        <v>6480</v>
      </c>
      <c r="BM21" s="230">
        <v>4879</v>
      </c>
      <c r="BN21" s="229">
        <v>0.75290000000000001</v>
      </c>
      <c r="BO21" s="230">
        <v>37496</v>
      </c>
      <c r="BP21" s="230">
        <v>23138</v>
      </c>
      <c r="BQ21" s="230">
        <v>14358</v>
      </c>
      <c r="BR21" s="229">
        <v>0.62050000000000005</v>
      </c>
      <c r="BS21" s="230">
        <v>4712926</v>
      </c>
      <c r="BT21" s="230">
        <v>5973639</v>
      </c>
      <c r="BU21" s="230">
        <v>-1260713</v>
      </c>
      <c r="BV21" s="229">
        <v>-0.21099999999999999</v>
      </c>
      <c r="BW21" s="230">
        <v>66708600</v>
      </c>
      <c r="BX21" s="230">
        <v>68040000</v>
      </c>
      <c r="BY21" s="230">
        <v>-1331400</v>
      </c>
      <c r="BZ21" s="229">
        <v>-1.9599999999999999E-2</v>
      </c>
      <c r="CA21" s="230">
        <v>64688400</v>
      </c>
      <c r="CB21" s="230">
        <v>66081400</v>
      </c>
      <c r="CC21" s="230">
        <v>-1393000</v>
      </c>
      <c r="CD21" s="229">
        <v>-2.1100000000000001E-2</v>
      </c>
      <c r="CE21" s="230">
        <v>1855000</v>
      </c>
      <c r="CF21" s="230">
        <v>1758400</v>
      </c>
      <c r="CG21" s="230">
        <v>96600</v>
      </c>
      <c r="CH21" s="229">
        <v>5.4899999999999997E-2</v>
      </c>
      <c r="CI21" s="230">
        <v>165200</v>
      </c>
      <c r="CJ21" s="230">
        <v>200200</v>
      </c>
      <c r="CK21" s="230">
        <v>-35000</v>
      </c>
      <c r="CL21" s="229">
        <v>-0.17480000000000001</v>
      </c>
      <c r="CM21" s="230">
        <v>17774400</v>
      </c>
      <c r="CN21" s="230">
        <v>19504800</v>
      </c>
      <c r="CO21" s="230">
        <v>-1730400</v>
      </c>
      <c r="CP21" s="229">
        <v>-8.8700000000000001E-2</v>
      </c>
      <c r="CQ21" s="230">
        <v>12849200</v>
      </c>
      <c r="CR21" s="230">
        <v>12422200</v>
      </c>
      <c r="CS21" s="230">
        <v>427000</v>
      </c>
      <c r="CT21" s="229">
        <v>3.44E-2</v>
      </c>
      <c r="CU21" s="230">
        <v>97332200</v>
      </c>
      <c r="CV21" s="230">
        <v>99967000</v>
      </c>
      <c r="CW21" s="230">
        <v>-2634800</v>
      </c>
      <c r="CX21" s="229">
        <v>-2.64E-2</v>
      </c>
      <c r="CY21" s="228">
        <v>22.76</v>
      </c>
      <c r="CZ21" s="228">
        <v>23.68</v>
      </c>
      <c r="DA21" s="228">
        <v>-0.92</v>
      </c>
      <c r="DB21" s="228">
        <v>-0.92</v>
      </c>
      <c r="DC21" s="228">
        <v>33.11</v>
      </c>
      <c r="DD21" s="228">
        <v>33.11</v>
      </c>
      <c r="DE21" s="228">
        <v>-10.35</v>
      </c>
      <c r="DF21" s="228">
        <v>0</v>
      </c>
      <c r="DG21" s="228">
        <v>22.2</v>
      </c>
      <c r="DH21" s="228">
        <v>23.73</v>
      </c>
      <c r="DI21" s="228">
        <v>-1.53</v>
      </c>
      <c r="DJ21" s="228">
        <v>-1.53</v>
      </c>
      <c r="DK21" s="228">
        <v>23.71</v>
      </c>
      <c r="DL21" s="228">
        <v>23.58</v>
      </c>
      <c r="DM21" s="228">
        <v>0.13</v>
      </c>
      <c r="DN21" s="228">
        <v>0.13</v>
      </c>
      <c r="DO21" s="228">
        <v>0.72</v>
      </c>
      <c r="DP21" s="228">
        <v>0.64</v>
      </c>
      <c r="DQ21" s="228">
        <v>0.08</v>
      </c>
      <c r="DR21" s="229">
        <v>0.125</v>
      </c>
      <c r="DS21" s="228">
        <v>800</v>
      </c>
      <c r="DT21" s="228">
        <v>750</v>
      </c>
      <c r="DU21" s="228">
        <v>0.59</v>
      </c>
      <c r="DV21" s="228">
        <v>0.57999999999999996</v>
      </c>
      <c r="DW21" s="228">
        <v>0.01</v>
      </c>
      <c r="DX21" s="229">
        <v>1.72E-2</v>
      </c>
      <c r="DY21" s="229">
        <v>3.0300000000000001E-2</v>
      </c>
      <c r="DZ21" s="230">
        <v>1958600</v>
      </c>
      <c r="EA21" s="229">
        <v>5.4999999999999997E-3</v>
      </c>
      <c r="EB21" s="229">
        <v>3.0300000000000001E-2</v>
      </c>
      <c r="EC21" s="228">
        <v>4.2699999999999996</v>
      </c>
      <c r="ED21" s="229">
        <v>5.4999999999999997E-3</v>
      </c>
      <c r="EE21" s="230">
        <v>2795237</v>
      </c>
      <c r="EF21" s="230">
        <v>4294170</v>
      </c>
      <c r="EG21" s="229">
        <v>-0.34910000000000002</v>
      </c>
      <c r="EH21" s="229">
        <v>0.59309999999999996</v>
      </c>
      <c r="EI21" s="231">
        <v>216326.39</v>
      </c>
      <c r="EJ21" s="231">
        <v>121804.62</v>
      </c>
      <c r="EK21" s="231">
        <v>74087.39</v>
      </c>
      <c r="EL21" s="231">
        <v>6028</v>
      </c>
      <c r="EM21" s="231">
        <v>412218.4</v>
      </c>
      <c r="EN21" s="231">
        <v>252765.86</v>
      </c>
      <c r="EO21" s="231">
        <v>159452.54</v>
      </c>
      <c r="EP21" s="229">
        <v>0.63080000000000003</v>
      </c>
      <c r="EQ21" s="231">
        <v>142022</v>
      </c>
      <c r="ER21" s="231">
        <v>95185</v>
      </c>
      <c r="ES21" s="231">
        <v>521255</v>
      </c>
      <c r="ET21" s="231">
        <v>176136372</v>
      </c>
      <c r="EU21" s="231">
        <v>758462</v>
      </c>
      <c r="EV21" s="231">
        <v>769575</v>
      </c>
      <c r="EW21" s="231">
        <v>-11113</v>
      </c>
      <c r="EX21" s="229">
        <v>-1.44E-2</v>
      </c>
      <c r="EY21" s="229">
        <v>0.55259999999999998</v>
      </c>
    </row>
    <row r="22" spans="1:155" ht="17.25" thickBot="1" x14ac:dyDescent="0.3">
      <c r="A22" s="226">
        <v>45946</v>
      </c>
      <c r="B22" s="227" t="s">
        <v>168</v>
      </c>
      <c r="C22" s="227" t="s">
        <v>230</v>
      </c>
      <c r="D22" s="231">
        <v>2562.3000000000002</v>
      </c>
      <c r="E22" s="231">
        <v>2519.5</v>
      </c>
      <c r="F22" s="228">
        <v>42.8</v>
      </c>
      <c r="G22" s="229">
        <v>1.7000000000000001E-2</v>
      </c>
      <c r="H22" s="231">
        <v>2561.5</v>
      </c>
      <c r="I22" s="231">
        <v>2519</v>
      </c>
      <c r="J22" s="228">
        <v>42.5</v>
      </c>
      <c r="K22" s="229">
        <v>1.6899999999999998E-2</v>
      </c>
      <c r="L22" s="231">
        <v>2562.3000000000002</v>
      </c>
      <c r="M22" s="231">
        <v>2519.5</v>
      </c>
      <c r="N22" s="228">
        <v>42.8</v>
      </c>
      <c r="O22" s="229">
        <v>1.7000000000000001E-2</v>
      </c>
      <c r="P22" s="231">
        <v>2556.5</v>
      </c>
      <c r="Q22" s="231">
        <v>2514.4</v>
      </c>
      <c r="R22" s="228">
        <v>42.1</v>
      </c>
      <c r="S22" s="229">
        <v>1.67E-2</v>
      </c>
      <c r="T22" s="231">
        <v>2563.5</v>
      </c>
      <c r="U22" s="231">
        <v>2524.1999999999998</v>
      </c>
      <c r="V22" s="228">
        <v>39.299999999999997</v>
      </c>
      <c r="W22" s="229">
        <v>1.5599999999999999E-2</v>
      </c>
      <c r="X22" s="228">
        <v>0.8</v>
      </c>
      <c r="Y22" s="228">
        <v>0.5</v>
      </c>
      <c r="Z22" s="228">
        <v>0.3</v>
      </c>
      <c r="AA22" s="229">
        <v>2.9999999999999997E-4</v>
      </c>
      <c r="AB22" s="228">
        <v>0.8</v>
      </c>
      <c r="AC22" s="228">
        <v>0.5</v>
      </c>
      <c r="AD22" s="228">
        <v>0.3</v>
      </c>
      <c r="AE22" s="229">
        <v>2.9999999999999997E-4</v>
      </c>
      <c r="AF22" s="228">
        <v>-5</v>
      </c>
      <c r="AG22" s="228">
        <v>-4.5999999999999996</v>
      </c>
      <c r="AH22" s="228">
        <v>-0.4</v>
      </c>
      <c r="AI22" s="229">
        <v>-2E-3</v>
      </c>
      <c r="AJ22" s="228">
        <v>2</v>
      </c>
      <c r="AK22" s="228">
        <v>5.2</v>
      </c>
      <c r="AL22" s="228">
        <v>-3.2</v>
      </c>
      <c r="AM22" s="229">
        <v>8.0000000000000004E-4</v>
      </c>
      <c r="AN22" s="231">
        <v>2548.08</v>
      </c>
      <c r="AO22" s="231">
        <v>2545.13</v>
      </c>
      <c r="AP22" s="228">
        <v>0</v>
      </c>
      <c r="AQ22" s="230">
        <v>8762</v>
      </c>
      <c r="AR22" s="230">
        <v>4397</v>
      </c>
      <c r="AS22" s="230">
        <v>4365</v>
      </c>
      <c r="AT22" s="229">
        <v>0.99270000000000003</v>
      </c>
      <c r="AU22" s="230">
        <v>6934</v>
      </c>
      <c r="AV22" s="230">
        <v>3691</v>
      </c>
      <c r="AW22" s="230">
        <v>3243</v>
      </c>
      <c r="AX22" s="229">
        <v>0.87860000000000005</v>
      </c>
      <c r="AY22" s="230">
        <v>1757</v>
      </c>
      <c r="AZ22" s="228">
        <v>669</v>
      </c>
      <c r="BA22" s="230">
        <v>1088</v>
      </c>
      <c r="BB22" s="229">
        <v>1.6263000000000001</v>
      </c>
      <c r="BC22" s="228">
        <v>71</v>
      </c>
      <c r="BD22" s="228">
        <v>37</v>
      </c>
      <c r="BE22" s="228">
        <v>34</v>
      </c>
      <c r="BF22" s="229">
        <v>0.91890000000000005</v>
      </c>
      <c r="BG22" s="230">
        <v>29221</v>
      </c>
      <c r="BH22" s="230">
        <v>14337</v>
      </c>
      <c r="BI22" s="230">
        <v>14884</v>
      </c>
      <c r="BJ22" s="229">
        <v>1.0382</v>
      </c>
      <c r="BK22" s="230">
        <v>15231</v>
      </c>
      <c r="BL22" s="230">
        <v>7647</v>
      </c>
      <c r="BM22" s="230">
        <v>7584</v>
      </c>
      <c r="BN22" s="229">
        <v>0.99180000000000001</v>
      </c>
      <c r="BO22" s="230">
        <v>53214</v>
      </c>
      <c r="BP22" s="230">
        <v>26381</v>
      </c>
      <c r="BQ22" s="230">
        <v>26833</v>
      </c>
      <c r="BR22" s="229">
        <v>1.0170999999999999</v>
      </c>
      <c r="BS22" s="230">
        <v>1562694</v>
      </c>
      <c r="BT22" s="230">
        <v>944524</v>
      </c>
      <c r="BU22" s="230">
        <v>618170</v>
      </c>
      <c r="BV22" s="229">
        <v>0.65449999999999997</v>
      </c>
      <c r="BW22" s="230">
        <v>14229600</v>
      </c>
      <c r="BX22" s="230">
        <v>14221500</v>
      </c>
      <c r="BY22" s="230">
        <v>8100</v>
      </c>
      <c r="BZ22" s="229">
        <v>5.9999999999999995E-4</v>
      </c>
      <c r="CA22" s="230">
        <v>13293600</v>
      </c>
      <c r="CB22" s="230">
        <v>13390200</v>
      </c>
      <c r="CC22" s="230">
        <v>-96600</v>
      </c>
      <c r="CD22" s="229">
        <v>-7.1999999999999998E-3</v>
      </c>
      <c r="CE22" s="230">
        <v>861900</v>
      </c>
      <c r="CF22" s="230">
        <v>758400</v>
      </c>
      <c r="CG22" s="230">
        <v>103500</v>
      </c>
      <c r="CH22" s="229">
        <v>0.13650000000000001</v>
      </c>
      <c r="CI22" s="230">
        <v>74100</v>
      </c>
      <c r="CJ22" s="230">
        <v>72900</v>
      </c>
      <c r="CK22" s="230">
        <v>1200</v>
      </c>
      <c r="CL22" s="229">
        <v>1.6500000000000001E-2</v>
      </c>
      <c r="CM22" s="230">
        <v>5169000</v>
      </c>
      <c r="CN22" s="230">
        <v>5387400</v>
      </c>
      <c r="CO22" s="230">
        <v>-218400</v>
      </c>
      <c r="CP22" s="229">
        <v>-4.0500000000000001E-2</v>
      </c>
      <c r="CQ22" s="230">
        <v>3366300</v>
      </c>
      <c r="CR22" s="230">
        <v>3204300</v>
      </c>
      <c r="CS22" s="230">
        <v>162000</v>
      </c>
      <c r="CT22" s="229">
        <v>5.0599999999999999E-2</v>
      </c>
      <c r="CU22" s="230">
        <v>22764900</v>
      </c>
      <c r="CV22" s="230">
        <v>22813200</v>
      </c>
      <c r="CW22" s="230">
        <v>-48300</v>
      </c>
      <c r="CX22" s="229">
        <v>-2.0999999999999999E-3</v>
      </c>
      <c r="CY22" s="228">
        <v>20.97</v>
      </c>
      <c r="CZ22" s="228">
        <v>20.9</v>
      </c>
      <c r="DA22" s="228">
        <v>7.0000000000000007E-2</v>
      </c>
      <c r="DB22" s="228">
        <v>7.0000000000000007E-2</v>
      </c>
      <c r="DC22" s="228">
        <v>22.66</v>
      </c>
      <c r="DD22" s="228">
        <v>22.61</v>
      </c>
      <c r="DE22" s="228">
        <v>-1.69</v>
      </c>
      <c r="DF22" s="228">
        <v>0.05</v>
      </c>
      <c r="DG22" s="228">
        <v>20.63</v>
      </c>
      <c r="DH22" s="228">
        <v>20.74</v>
      </c>
      <c r="DI22" s="228">
        <v>-0.11</v>
      </c>
      <c r="DJ22" s="228">
        <v>-0.11</v>
      </c>
      <c r="DK22" s="228">
        <v>21.62</v>
      </c>
      <c r="DL22" s="228">
        <v>21.2</v>
      </c>
      <c r="DM22" s="228">
        <v>0.42</v>
      </c>
      <c r="DN22" s="228">
        <v>0.42</v>
      </c>
      <c r="DO22" s="228">
        <v>0.65</v>
      </c>
      <c r="DP22" s="228">
        <v>0.59</v>
      </c>
      <c r="DQ22" s="228">
        <v>0.06</v>
      </c>
      <c r="DR22" s="229">
        <v>0.1017</v>
      </c>
      <c r="DS22" s="231">
        <v>2600</v>
      </c>
      <c r="DT22" s="231">
        <v>2500</v>
      </c>
      <c r="DU22" s="228">
        <v>0.52</v>
      </c>
      <c r="DV22" s="228">
        <v>0.53</v>
      </c>
      <c r="DW22" s="228">
        <v>-0.01</v>
      </c>
      <c r="DX22" s="229">
        <v>-1.89E-2</v>
      </c>
      <c r="DY22" s="229">
        <v>6.5799999999999997E-2</v>
      </c>
      <c r="DZ22" s="230">
        <v>831300</v>
      </c>
      <c r="EA22" s="229">
        <v>-2.3E-3</v>
      </c>
      <c r="EB22" s="229">
        <v>6.5799999999999997E-2</v>
      </c>
      <c r="EC22" s="228">
        <v>-2.95</v>
      </c>
      <c r="ED22" s="229">
        <v>-1.1999999999999999E-3</v>
      </c>
      <c r="EE22" s="230">
        <v>731653</v>
      </c>
      <c r="EF22" s="230">
        <v>582417</v>
      </c>
      <c r="EG22" s="229">
        <v>0.25619999999999998</v>
      </c>
      <c r="EH22" s="229">
        <v>0.46820000000000001</v>
      </c>
      <c r="EI22" s="231">
        <v>228741.02</v>
      </c>
      <c r="EJ22" s="231">
        <v>115431.29</v>
      </c>
      <c r="EK22" s="231">
        <v>66963.399999999994</v>
      </c>
      <c r="EL22" s="231">
        <v>5102</v>
      </c>
      <c r="EM22" s="231">
        <v>411135.71</v>
      </c>
      <c r="EN22" s="231">
        <v>202706.51</v>
      </c>
      <c r="EO22" s="231">
        <v>208429.2</v>
      </c>
      <c r="EP22" s="229">
        <v>1.0282</v>
      </c>
      <c r="EQ22" s="231">
        <v>135423</v>
      </c>
      <c r="ER22" s="231">
        <v>83456</v>
      </c>
      <c r="ES22" s="231">
        <v>364556</v>
      </c>
      <c r="ET22" s="231">
        <v>89517840</v>
      </c>
      <c r="EU22" s="231">
        <v>583434</v>
      </c>
      <c r="EV22" s="231">
        <v>578513</v>
      </c>
      <c r="EW22" s="231">
        <v>4921</v>
      </c>
      <c r="EX22" s="229">
        <v>8.5000000000000006E-3</v>
      </c>
      <c r="EY22" s="229">
        <v>0.25430000000000003</v>
      </c>
    </row>
    <row r="23" spans="1:155" ht="17.25" thickBot="1" x14ac:dyDescent="0.3">
      <c r="A23" s="226">
        <v>45946</v>
      </c>
      <c r="B23" s="227" t="s">
        <v>172</v>
      </c>
      <c r="C23" s="227" t="s">
        <v>232</v>
      </c>
      <c r="D23" s="231">
        <v>1419</v>
      </c>
      <c r="E23" s="231">
        <v>1401</v>
      </c>
      <c r="F23" s="228">
        <v>18</v>
      </c>
      <c r="G23" s="229">
        <v>1.2800000000000001E-2</v>
      </c>
      <c r="H23" s="231">
        <v>1417.3</v>
      </c>
      <c r="I23" s="231">
        <v>1398.4</v>
      </c>
      <c r="J23" s="228">
        <v>18.899999999999999</v>
      </c>
      <c r="K23" s="229">
        <v>1.35E-2</v>
      </c>
      <c r="L23" s="231">
        <v>1419</v>
      </c>
      <c r="M23" s="231">
        <v>1401</v>
      </c>
      <c r="N23" s="228">
        <v>18</v>
      </c>
      <c r="O23" s="229">
        <v>1.2800000000000001E-2</v>
      </c>
      <c r="P23" s="231">
        <v>1426.7</v>
      </c>
      <c r="Q23" s="231">
        <v>1408.7</v>
      </c>
      <c r="R23" s="228">
        <v>18</v>
      </c>
      <c r="S23" s="229">
        <v>1.2800000000000001E-2</v>
      </c>
      <c r="T23" s="231">
        <v>1436.8</v>
      </c>
      <c r="U23" s="231">
        <v>1416.2</v>
      </c>
      <c r="V23" s="228">
        <v>20.6</v>
      </c>
      <c r="W23" s="229">
        <v>1.4500000000000001E-2</v>
      </c>
      <c r="X23" s="228">
        <v>1.7</v>
      </c>
      <c r="Y23" s="228">
        <v>2.6</v>
      </c>
      <c r="Z23" s="228">
        <v>-0.9</v>
      </c>
      <c r="AA23" s="229">
        <v>1.1999999999999999E-3</v>
      </c>
      <c r="AB23" s="228">
        <v>1.7</v>
      </c>
      <c r="AC23" s="228">
        <v>2.6</v>
      </c>
      <c r="AD23" s="228">
        <v>-0.9</v>
      </c>
      <c r="AE23" s="229">
        <v>1.1999999999999999E-3</v>
      </c>
      <c r="AF23" s="228">
        <v>9.4</v>
      </c>
      <c r="AG23" s="228">
        <v>10.3</v>
      </c>
      <c r="AH23" s="228">
        <v>-0.9</v>
      </c>
      <c r="AI23" s="229">
        <v>6.6E-3</v>
      </c>
      <c r="AJ23" s="228">
        <v>19.5</v>
      </c>
      <c r="AK23" s="228">
        <v>17.8</v>
      </c>
      <c r="AL23" s="228">
        <v>1.7</v>
      </c>
      <c r="AM23" s="229">
        <v>1.38E-2</v>
      </c>
      <c r="AN23" s="231">
        <v>1413.2</v>
      </c>
      <c r="AO23" s="231">
        <v>1419.84</v>
      </c>
      <c r="AP23" s="228">
        <v>0</v>
      </c>
      <c r="AQ23" s="230">
        <v>31092</v>
      </c>
      <c r="AR23" s="230">
        <v>17064</v>
      </c>
      <c r="AS23" s="230">
        <v>14028</v>
      </c>
      <c r="AT23" s="229">
        <v>0.82210000000000005</v>
      </c>
      <c r="AU23" s="230">
        <v>27336</v>
      </c>
      <c r="AV23" s="230">
        <v>15158</v>
      </c>
      <c r="AW23" s="230">
        <v>12178</v>
      </c>
      <c r="AX23" s="229">
        <v>0.8034</v>
      </c>
      <c r="AY23" s="230">
        <v>3504</v>
      </c>
      <c r="AZ23" s="230">
        <v>1827</v>
      </c>
      <c r="BA23" s="230">
        <v>1677</v>
      </c>
      <c r="BB23" s="229">
        <v>0.91790000000000005</v>
      </c>
      <c r="BC23" s="228">
        <v>252</v>
      </c>
      <c r="BD23" s="228">
        <v>79</v>
      </c>
      <c r="BE23" s="228">
        <v>173</v>
      </c>
      <c r="BF23" s="229">
        <v>2.1899000000000002</v>
      </c>
      <c r="BG23" s="230">
        <v>64165</v>
      </c>
      <c r="BH23" s="230">
        <v>43632</v>
      </c>
      <c r="BI23" s="230">
        <v>20533</v>
      </c>
      <c r="BJ23" s="229">
        <v>0.47060000000000002</v>
      </c>
      <c r="BK23" s="230">
        <v>32579</v>
      </c>
      <c r="BL23" s="230">
        <v>30611</v>
      </c>
      <c r="BM23" s="230">
        <v>1968</v>
      </c>
      <c r="BN23" s="229">
        <v>6.4299999999999996E-2</v>
      </c>
      <c r="BO23" s="230">
        <v>127836</v>
      </c>
      <c r="BP23" s="230">
        <v>91307</v>
      </c>
      <c r="BQ23" s="230">
        <v>36529</v>
      </c>
      <c r="BR23" s="229">
        <v>0.40010000000000001</v>
      </c>
      <c r="BS23" s="230">
        <v>13615454</v>
      </c>
      <c r="BT23" s="230">
        <v>9769615</v>
      </c>
      <c r="BU23" s="230">
        <v>3845839</v>
      </c>
      <c r="BV23" s="229">
        <v>0.39369999999999999</v>
      </c>
      <c r="BW23" s="230">
        <v>109662000</v>
      </c>
      <c r="BX23" s="230">
        <v>112254100</v>
      </c>
      <c r="BY23" s="230">
        <v>-2592100</v>
      </c>
      <c r="BZ23" s="229">
        <v>-2.3099999999999999E-2</v>
      </c>
      <c r="CA23" s="230">
        <v>102372200</v>
      </c>
      <c r="CB23" s="230">
        <v>106248100</v>
      </c>
      <c r="CC23" s="230">
        <v>-3875900</v>
      </c>
      <c r="CD23" s="229">
        <v>-3.6499999999999998E-2</v>
      </c>
      <c r="CE23" s="230">
        <v>6178900</v>
      </c>
      <c r="CF23" s="230">
        <v>4997300</v>
      </c>
      <c r="CG23" s="230">
        <v>1181600</v>
      </c>
      <c r="CH23" s="229">
        <v>0.2364</v>
      </c>
      <c r="CI23" s="230">
        <v>1110900</v>
      </c>
      <c r="CJ23" s="230">
        <v>1008700</v>
      </c>
      <c r="CK23" s="230">
        <v>102200</v>
      </c>
      <c r="CL23" s="229">
        <v>0.1013</v>
      </c>
      <c r="CM23" s="230">
        <v>24134600</v>
      </c>
      <c r="CN23" s="230">
        <v>24211600</v>
      </c>
      <c r="CO23" s="230">
        <v>-77000</v>
      </c>
      <c r="CP23" s="229">
        <v>-3.2000000000000002E-3</v>
      </c>
      <c r="CQ23" s="230">
        <v>19485200</v>
      </c>
      <c r="CR23" s="230">
        <v>19336100</v>
      </c>
      <c r="CS23" s="230">
        <v>149100</v>
      </c>
      <c r="CT23" s="229">
        <v>7.7000000000000002E-3</v>
      </c>
      <c r="CU23" s="230">
        <v>153281800</v>
      </c>
      <c r="CV23" s="230">
        <v>155801800</v>
      </c>
      <c r="CW23" s="230">
        <v>-2520000</v>
      </c>
      <c r="CX23" s="229">
        <v>-1.6199999999999999E-2</v>
      </c>
      <c r="CY23" s="228">
        <v>20.89</v>
      </c>
      <c r="CZ23" s="228">
        <v>20.96</v>
      </c>
      <c r="DA23" s="228">
        <v>-7.0000000000000007E-2</v>
      </c>
      <c r="DB23" s="228">
        <v>-7.0000000000000007E-2</v>
      </c>
      <c r="DC23" s="228">
        <v>20.89</v>
      </c>
      <c r="DD23" s="228">
        <v>20.86</v>
      </c>
      <c r="DE23" s="228">
        <v>0</v>
      </c>
      <c r="DF23" s="228">
        <v>0.03</v>
      </c>
      <c r="DG23" s="228">
        <v>20.43</v>
      </c>
      <c r="DH23" s="228">
        <v>20.45</v>
      </c>
      <c r="DI23" s="228">
        <v>-0.02</v>
      </c>
      <c r="DJ23" s="228">
        <v>-0.02</v>
      </c>
      <c r="DK23" s="228">
        <v>21.79</v>
      </c>
      <c r="DL23" s="228">
        <v>21.69</v>
      </c>
      <c r="DM23" s="228">
        <v>0.1</v>
      </c>
      <c r="DN23" s="228">
        <v>0.1</v>
      </c>
      <c r="DO23" s="228">
        <v>0.81</v>
      </c>
      <c r="DP23" s="228">
        <v>0.8</v>
      </c>
      <c r="DQ23" s="228">
        <v>0.01</v>
      </c>
      <c r="DR23" s="229">
        <v>1.2500000000000001E-2</v>
      </c>
      <c r="DS23" s="231">
        <v>1400</v>
      </c>
      <c r="DT23" s="231">
        <v>1400</v>
      </c>
      <c r="DU23" s="228">
        <v>0.51</v>
      </c>
      <c r="DV23" s="228">
        <v>0.7</v>
      </c>
      <c r="DW23" s="228">
        <v>-0.19</v>
      </c>
      <c r="DX23" s="229">
        <v>-0.27139999999999997</v>
      </c>
      <c r="DY23" s="229">
        <v>6.6500000000000004E-2</v>
      </c>
      <c r="DZ23" s="230">
        <v>6006000</v>
      </c>
      <c r="EA23" s="229">
        <v>5.4000000000000003E-3</v>
      </c>
      <c r="EB23" s="229">
        <v>6.6500000000000004E-2</v>
      </c>
      <c r="EC23" s="228">
        <v>6.64</v>
      </c>
      <c r="ED23" s="229">
        <v>4.7000000000000002E-3</v>
      </c>
      <c r="EE23" s="230">
        <v>8709028</v>
      </c>
      <c r="EF23" s="230">
        <v>5828465</v>
      </c>
      <c r="EG23" s="229">
        <v>0.49419999999999997</v>
      </c>
      <c r="EH23" s="229">
        <v>0.63959999999999995</v>
      </c>
      <c r="EI23" s="231">
        <v>650210.9</v>
      </c>
      <c r="EJ23" s="231">
        <v>316072.2</v>
      </c>
      <c r="EK23" s="231">
        <v>307768.19</v>
      </c>
      <c r="EL23" s="231">
        <v>15645</v>
      </c>
      <c r="EM23" s="231">
        <v>1274051.29</v>
      </c>
      <c r="EN23" s="231">
        <v>901336.03</v>
      </c>
      <c r="EO23" s="231">
        <v>372715.26</v>
      </c>
      <c r="EP23" s="229">
        <v>0.41349999999999998</v>
      </c>
      <c r="EQ23" s="231">
        <v>343582</v>
      </c>
      <c r="ER23" s="231">
        <v>266308</v>
      </c>
      <c r="ES23" s="231">
        <v>1556777</v>
      </c>
      <c r="ET23" s="231">
        <v>579785172</v>
      </c>
      <c r="EU23" s="231">
        <v>2166668</v>
      </c>
      <c r="EV23" s="231">
        <v>2179564</v>
      </c>
      <c r="EW23" s="231">
        <v>-12896</v>
      </c>
      <c r="EX23" s="229">
        <v>-5.8999999999999999E-3</v>
      </c>
      <c r="EY23" s="229">
        <v>0.26440000000000002</v>
      </c>
    </row>
    <row r="24" spans="1:155" ht="17.25" thickBot="1" x14ac:dyDescent="0.3">
      <c r="A24" s="226">
        <v>45946</v>
      </c>
      <c r="B24" s="227" t="s">
        <v>215</v>
      </c>
      <c r="C24" s="227" t="s">
        <v>238</v>
      </c>
      <c r="D24" s="231">
        <v>5893.5</v>
      </c>
      <c r="E24" s="231">
        <v>5874</v>
      </c>
      <c r="F24" s="228">
        <v>19.5</v>
      </c>
      <c r="G24" s="229">
        <v>3.3E-3</v>
      </c>
      <c r="H24" s="231">
        <v>5881</v>
      </c>
      <c r="I24" s="231">
        <v>5860.5</v>
      </c>
      <c r="J24" s="228">
        <v>20.5</v>
      </c>
      <c r="K24" s="229">
        <v>3.5000000000000001E-3</v>
      </c>
      <c r="L24" s="231">
        <v>5893.5</v>
      </c>
      <c r="M24" s="231">
        <v>5874</v>
      </c>
      <c r="N24" s="228">
        <v>19.5</v>
      </c>
      <c r="O24" s="229">
        <v>3.3E-3</v>
      </c>
      <c r="P24" s="231">
        <v>5920.5</v>
      </c>
      <c r="Q24" s="231">
        <v>5902</v>
      </c>
      <c r="R24" s="228">
        <v>18.5</v>
      </c>
      <c r="S24" s="229">
        <v>3.0999999999999999E-3</v>
      </c>
      <c r="T24" s="231">
        <v>5956.5</v>
      </c>
      <c r="U24" s="231">
        <v>5929</v>
      </c>
      <c r="V24" s="228">
        <v>27.5</v>
      </c>
      <c r="W24" s="229">
        <v>4.5999999999999999E-3</v>
      </c>
      <c r="X24" s="228">
        <v>12.5</v>
      </c>
      <c r="Y24" s="228">
        <v>13.5</v>
      </c>
      <c r="Z24" s="228">
        <v>-1</v>
      </c>
      <c r="AA24" s="229">
        <v>2.0999999999999999E-3</v>
      </c>
      <c r="AB24" s="228">
        <v>12.5</v>
      </c>
      <c r="AC24" s="228">
        <v>13.5</v>
      </c>
      <c r="AD24" s="228">
        <v>-1</v>
      </c>
      <c r="AE24" s="229">
        <v>2.0999999999999999E-3</v>
      </c>
      <c r="AF24" s="228">
        <v>39.5</v>
      </c>
      <c r="AG24" s="228">
        <v>41.5</v>
      </c>
      <c r="AH24" s="228">
        <v>-2</v>
      </c>
      <c r="AI24" s="229">
        <v>6.7000000000000002E-3</v>
      </c>
      <c r="AJ24" s="228">
        <v>75.5</v>
      </c>
      <c r="AK24" s="228">
        <v>68.5</v>
      </c>
      <c r="AL24" s="228">
        <v>7</v>
      </c>
      <c r="AM24" s="229">
        <v>1.2800000000000001E-2</v>
      </c>
      <c r="AN24" s="231">
        <v>5900.57</v>
      </c>
      <c r="AO24" s="231">
        <v>5928.39</v>
      </c>
      <c r="AP24" s="228">
        <v>0</v>
      </c>
      <c r="AQ24" s="230">
        <v>6672</v>
      </c>
      <c r="AR24" s="230">
        <v>9915</v>
      </c>
      <c r="AS24" s="230">
        <v>-3243</v>
      </c>
      <c r="AT24" s="229">
        <v>-0.3271</v>
      </c>
      <c r="AU24" s="230">
        <v>5208</v>
      </c>
      <c r="AV24" s="230">
        <v>9059</v>
      </c>
      <c r="AW24" s="230">
        <v>-3851</v>
      </c>
      <c r="AX24" s="229">
        <v>-0.42509999999999998</v>
      </c>
      <c r="AY24" s="230">
        <v>1410</v>
      </c>
      <c r="AZ24" s="228">
        <v>780</v>
      </c>
      <c r="BA24" s="228">
        <v>630</v>
      </c>
      <c r="BB24" s="229">
        <v>0.80769999999999997</v>
      </c>
      <c r="BC24" s="228">
        <v>54</v>
      </c>
      <c r="BD24" s="228">
        <v>76</v>
      </c>
      <c r="BE24" s="228">
        <v>-22</v>
      </c>
      <c r="BF24" s="229">
        <v>-0.28949999999999998</v>
      </c>
      <c r="BG24" s="230">
        <v>20007</v>
      </c>
      <c r="BH24" s="230">
        <v>34041</v>
      </c>
      <c r="BI24" s="230">
        <v>-14034</v>
      </c>
      <c r="BJ24" s="229">
        <v>-0.4123</v>
      </c>
      <c r="BK24" s="230">
        <v>9828</v>
      </c>
      <c r="BL24" s="230">
        <v>13867</v>
      </c>
      <c r="BM24" s="230">
        <v>-4039</v>
      </c>
      <c r="BN24" s="229">
        <v>-0.2913</v>
      </c>
      <c r="BO24" s="230">
        <v>36507</v>
      </c>
      <c r="BP24" s="230">
        <v>57823</v>
      </c>
      <c r="BQ24" s="230">
        <v>-21316</v>
      </c>
      <c r="BR24" s="229">
        <v>-0.36859999999999998</v>
      </c>
      <c r="BS24" s="230">
        <v>544688</v>
      </c>
      <c r="BT24" s="230">
        <v>742515</v>
      </c>
      <c r="BU24" s="230">
        <v>-197827</v>
      </c>
      <c r="BV24" s="229">
        <v>-0.26640000000000003</v>
      </c>
      <c r="BW24" s="230">
        <v>7973700</v>
      </c>
      <c r="BX24" s="230">
        <v>7913250</v>
      </c>
      <c r="BY24" s="230">
        <v>60450</v>
      </c>
      <c r="BZ24" s="229">
        <v>7.6E-3</v>
      </c>
      <c r="CA24" s="230">
        <v>7537650</v>
      </c>
      <c r="CB24" s="230">
        <v>7596300</v>
      </c>
      <c r="CC24" s="230">
        <v>-58650</v>
      </c>
      <c r="CD24" s="229">
        <v>-7.7000000000000002E-3</v>
      </c>
      <c r="CE24" s="230">
        <v>403500</v>
      </c>
      <c r="CF24" s="230">
        <v>286050</v>
      </c>
      <c r="CG24" s="230">
        <v>117450</v>
      </c>
      <c r="CH24" s="229">
        <v>0.41060000000000002</v>
      </c>
      <c r="CI24" s="230">
        <v>32550</v>
      </c>
      <c r="CJ24" s="230">
        <v>30900</v>
      </c>
      <c r="CK24" s="230">
        <v>1650</v>
      </c>
      <c r="CL24" s="229">
        <v>5.3400000000000003E-2</v>
      </c>
      <c r="CM24" s="230">
        <v>1998900</v>
      </c>
      <c r="CN24" s="230">
        <v>1867350</v>
      </c>
      <c r="CO24" s="230">
        <v>131550</v>
      </c>
      <c r="CP24" s="229">
        <v>7.0400000000000004E-2</v>
      </c>
      <c r="CQ24" s="230">
        <v>1562250</v>
      </c>
      <c r="CR24" s="230">
        <v>1528050</v>
      </c>
      <c r="CS24" s="230">
        <v>34200</v>
      </c>
      <c r="CT24" s="229">
        <v>2.24E-2</v>
      </c>
      <c r="CU24" s="230">
        <v>11534850</v>
      </c>
      <c r="CV24" s="230">
        <v>11308650</v>
      </c>
      <c r="CW24" s="230">
        <v>226200</v>
      </c>
      <c r="CX24" s="229">
        <v>0.02</v>
      </c>
      <c r="CY24" s="228">
        <v>20.47</v>
      </c>
      <c r="CZ24" s="228">
        <v>20.72</v>
      </c>
      <c r="DA24" s="228">
        <v>-0.25</v>
      </c>
      <c r="DB24" s="228">
        <v>-0.25</v>
      </c>
      <c r="DC24" s="228">
        <v>32.700000000000003</v>
      </c>
      <c r="DD24" s="228">
        <v>32.770000000000003</v>
      </c>
      <c r="DE24" s="228">
        <v>-12.23</v>
      </c>
      <c r="DF24" s="228">
        <v>-7.0000000000000007E-2</v>
      </c>
      <c r="DG24" s="228">
        <v>19.600000000000001</v>
      </c>
      <c r="DH24" s="228">
        <v>19.739999999999998</v>
      </c>
      <c r="DI24" s="228">
        <v>-0.14000000000000001</v>
      </c>
      <c r="DJ24" s="228">
        <v>-0.14000000000000001</v>
      </c>
      <c r="DK24" s="228">
        <v>22.23</v>
      </c>
      <c r="DL24" s="228">
        <v>23.12</v>
      </c>
      <c r="DM24" s="228">
        <v>-0.89</v>
      </c>
      <c r="DN24" s="228">
        <v>-0.89</v>
      </c>
      <c r="DO24" s="228">
        <v>0.78</v>
      </c>
      <c r="DP24" s="228">
        <v>0.82</v>
      </c>
      <c r="DQ24" s="228">
        <v>-0.04</v>
      </c>
      <c r="DR24" s="229">
        <v>-4.8800000000000003E-2</v>
      </c>
      <c r="DS24" s="231">
        <v>6000</v>
      </c>
      <c r="DT24" s="231">
        <v>5800</v>
      </c>
      <c r="DU24" s="228">
        <v>0.49</v>
      </c>
      <c r="DV24" s="228">
        <v>0.41</v>
      </c>
      <c r="DW24" s="228">
        <v>0.08</v>
      </c>
      <c r="DX24" s="229">
        <v>0.1951</v>
      </c>
      <c r="DY24" s="229">
        <v>5.4699999999999999E-2</v>
      </c>
      <c r="DZ24" s="230">
        <v>316950</v>
      </c>
      <c r="EA24" s="229">
        <v>4.5999999999999999E-3</v>
      </c>
      <c r="EB24" s="229">
        <v>5.4699999999999999E-2</v>
      </c>
      <c r="EC24" s="228">
        <v>27.82</v>
      </c>
      <c r="ED24" s="229">
        <v>4.7000000000000002E-3</v>
      </c>
      <c r="EE24" s="230">
        <v>322189</v>
      </c>
      <c r="EF24" s="230">
        <v>421144</v>
      </c>
      <c r="EG24" s="229">
        <v>-0.23499999999999999</v>
      </c>
      <c r="EH24" s="229">
        <v>0.59150000000000003</v>
      </c>
      <c r="EI24" s="231">
        <v>180809.23</v>
      </c>
      <c r="EJ24" s="231">
        <v>84379.05</v>
      </c>
      <c r="EK24" s="231">
        <v>59116.52</v>
      </c>
      <c r="EL24" s="231">
        <v>6661</v>
      </c>
      <c r="EM24" s="231">
        <v>324304.8</v>
      </c>
      <c r="EN24" s="231">
        <v>510471.82</v>
      </c>
      <c r="EO24" s="231">
        <v>-186167.02</v>
      </c>
      <c r="EP24" s="229">
        <v>-0.36470000000000002</v>
      </c>
      <c r="EQ24" s="231">
        <v>118637</v>
      </c>
      <c r="ER24" s="231">
        <v>88022</v>
      </c>
      <c r="ES24" s="231">
        <v>470059</v>
      </c>
      <c r="ET24" s="231">
        <v>32732860</v>
      </c>
      <c r="EU24" s="231">
        <v>676718</v>
      </c>
      <c r="EV24" s="231">
        <v>661140</v>
      </c>
      <c r="EW24" s="231">
        <v>15578</v>
      </c>
      <c r="EX24" s="229">
        <v>2.3599999999999999E-2</v>
      </c>
      <c r="EY24" s="229">
        <v>0.35239999999999999</v>
      </c>
    </row>
    <row r="25" spans="1:155" ht="17.25" thickBot="1" x14ac:dyDescent="0.3">
      <c r="A25" s="226">
        <v>45946</v>
      </c>
      <c r="B25" s="227" t="s">
        <v>221</v>
      </c>
      <c r="C25" s="227" t="s">
        <v>240</v>
      </c>
      <c r="D25" s="231">
        <v>1456.9</v>
      </c>
      <c r="E25" s="231">
        <v>1464.9</v>
      </c>
      <c r="F25" s="228">
        <v>-8</v>
      </c>
      <c r="G25" s="229">
        <v>-5.4999999999999997E-3</v>
      </c>
      <c r="H25" s="231">
        <v>1471.5</v>
      </c>
      <c r="I25" s="231">
        <v>1474.4</v>
      </c>
      <c r="J25" s="228">
        <v>-2.9</v>
      </c>
      <c r="K25" s="229">
        <v>-2E-3</v>
      </c>
      <c r="L25" s="231">
        <v>1456.9</v>
      </c>
      <c r="M25" s="231">
        <v>1464.9</v>
      </c>
      <c r="N25" s="228">
        <v>-8</v>
      </c>
      <c r="O25" s="229">
        <v>-5.4999999999999997E-3</v>
      </c>
      <c r="P25" s="231">
        <v>1456.8</v>
      </c>
      <c r="Q25" s="231">
        <v>1461.1</v>
      </c>
      <c r="R25" s="228">
        <v>-4.3</v>
      </c>
      <c r="S25" s="229">
        <v>-2.8999999999999998E-3</v>
      </c>
      <c r="T25" s="231">
        <v>1460.2</v>
      </c>
      <c r="U25" s="231">
        <v>1465.1</v>
      </c>
      <c r="V25" s="228">
        <v>-4.9000000000000004</v>
      </c>
      <c r="W25" s="229">
        <v>-3.3E-3</v>
      </c>
      <c r="X25" s="228">
        <v>-14.6</v>
      </c>
      <c r="Y25" s="228">
        <v>-9.5</v>
      </c>
      <c r="Z25" s="228">
        <v>-5.0999999999999996</v>
      </c>
      <c r="AA25" s="229">
        <v>-9.9000000000000008E-3</v>
      </c>
      <c r="AB25" s="228">
        <v>-14.6</v>
      </c>
      <c r="AC25" s="228">
        <v>-9.5</v>
      </c>
      <c r="AD25" s="228">
        <v>-5.0999999999999996</v>
      </c>
      <c r="AE25" s="229">
        <v>-9.9000000000000008E-3</v>
      </c>
      <c r="AF25" s="228">
        <v>-14.7</v>
      </c>
      <c r="AG25" s="228">
        <v>-13.3</v>
      </c>
      <c r="AH25" s="228">
        <v>-1.4</v>
      </c>
      <c r="AI25" s="229">
        <v>-0.01</v>
      </c>
      <c r="AJ25" s="228">
        <v>-11.3</v>
      </c>
      <c r="AK25" s="228">
        <v>-9.3000000000000007</v>
      </c>
      <c r="AL25" s="228">
        <v>-2</v>
      </c>
      <c r="AM25" s="229">
        <v>-7.7000000000000002E-3</v>
      </c>
      <c r="AN25" s="231">
        <v>1454.71</v>
      </c>
      <c r="AO25" s="231">
        <v>1454.58</v>
      </c>
      <c r="AP25" s="228">
        <v>0</v>
      </c>
      <c r="AQ25" s="230">
        <v>45068</v>
      </c>
      <c r="AR25" s="230">
        <v>31543</v>
      </c>
      <c r="AS25" s="230">
        <v>13525</v>
      </c>
      <c r="AT25" s="229">
        <v>0.42880000000000001</v>
      </c>
      <c r="AU25" s="230">
        <v>38033</v>
      </c>
      <c r="AV25" s="230">
        <v>26042</v>
      </c>
      <c r="AW25" s="230">
        <v>11991</v>
      </c>
      <c r="AX25" s="229">
        <v>0.46039999999999998</v>
      </c>
      <c r="AY25" s="230">
        <v>6094</v>
      </c>
      <c r="AZ25" s="230">
        <v>5158</v>
      </c>
      <c r="BA25" s="228">
        <v>936</v>
      </c>
      <c r="BB25" s="229">
        <v>0.18149999999999999</v>
      </c>
      <c r="BC25" s="228">
        <v>941</v>
      </c>
      <c r="BD25" s="228">
        <v>343</v>
      </c>
      <c r="BE25" s="228">
        <v>598</v>
      </c>
      <c r="BF25" s="229">
        <v>1.7434000000000001</v>
      </c>
      <c r="BG25" s="230">
        <v>158257</v>
      </c>
      <c r="BH25" s="230">
        <v>87354</v>
      </c>
      <c r="BI25" s="230">
        <v>70903</v>
      </c>
      <c r="BJ25" s="229">
        <v>0.81169999999999998</v>
      </c>
      <c r="BK25" s="230">
        <v>71418</v>
      </c>
      <c r="BL25" s="230">
        <v>44057</v>
      </c>
      <c r="BM25" s="230">
        <v>27361</v>
      </c>
      <c r="BN25" s="229">
        <v>0.621</v>
      </c>
      <c r="BO25" s="230">
        <v>274743</v>
      </c>
      <c r="BP25" s="230">
        <v>162954</v>
      </c>
      <c r="BQ25" s="230">
        <v>111789</v>
      </c>
      <c r="BR25" s="229">
        <v>0.68600000000000005</v>
      </c>
      <c r="BS25" s="230">
        <v>8770375</v>
      </c>
      <c r="BT25" s="230">
        <v>7317377</v>
      </c>
      <c r="BU25" s="230">
        <v>1452998</v>
      </c>
      <c r="BV25" s="229">
        <v>0.1986</v>
      </c>
      <c r="BW25" s="230">
        <v>66774000</v>
      </c>
      <c r="BX25" s="230">
        <v>64755200</v>
      </c>
      <c r="BY25" s="230">
        <v>2018800</v>
      </c>
      <c r="BZ25" s="229">
        <v>3.1199999999999999E-2</v>
      </c>
      <c r="CA25" s="230">
        <v>44165600</v>
      </c>
      <c r="CB25" s="230">
        <v>43421200</v>
      </c>
      <c r="CC25" s="230">
        <v>744400</v>
      </c>
      <c r="CD25" s="229">
        <v>1.7100000000000001E-2</v>
      </c>
      <c r="CE25" s="230">
        <v>21979200</v>
      </c>
      <c r="CF25" s="230">
        <v>20998800</v>
      </c>
      <c r="CG25" s="230">
        <v>980400</v>
      </c>
      <c r="CH25" s="229">
        <v>4.6699999999999998E-2</v>
      </c>
      <c r="CI25" s="230">
        <v>629200</v>
      </c>
      <c r="CJ25" s="230">
        <v>335200</v>
      </c>
      <c r="CK25" s="230">
        <v>294000</v>
      </c>
      <c r="CL25" s="229">
        <v>0.87709999999999999</v>
      </c>
      <c r="CM25" s="230">
        <v>54339600</v>
      </c>
      <c r="CN25" s="230">
        <v>43859200</v>
      </c>
      <c r="CO25" s="230">
        <v>10480400</v>
      </c>
      <c r="CP25" s="229">
        <v>0.23899999999999999</v>
      </c>
      <c r="CQ25" s="230">
        <v>25868000</v>
      </c>
      <c r="CR25" s="230">
        <v>21251200</v>
      </c>
      <c r="CS25" s="230">
        <v>4616800</v>
      </c>
      <c r="CT25" s="229">
        <v>0.2172</v>
      </c>
      <c r="CU25" s="230">
        <v>146981600</v>
      </c>
      <c r="CV25" s="230">
        <v>129865600</v>
      </c>
      <c r="CW25" s="230">
        <v>17116000</v>
      </c>
      <c r="CX25" s="229">
        <v>0.1318</v>
      </c>
      <c r="CY25" s="228">
        <v>34.9</v>
      </c>
      <c r="CZ25" s="228">
        <v>34.659999999999997</v>
      </c>
      <c r="DA25" s="228">
        <v>0.24</v>
      </c>
      <c r="DB25" s="228">
        <v>0.24</v>
      </c>
      <c r="DC25" s="228">
        <v>29.29</v>
      </c>
      <c r="DD25" s="228">
        <v>29.36</v>
      </c>
      <c r="DE25" s="228">
        <v>5.61</v>
      </c>
      <c r="DF25" s="228">
        <v>-7.0000000000000007E-2</v>
      </c>
      <c r="DG25" s="228">
        <v>35.840000000000003</v>
      </c>
      <c r="DH25" s="228">
        <v>35.340000000000003</v>
      </c>
      <c r="DI25" s="228">
        <v>0.5</v>
      </c>
      <c r="DJ25" s="228">
        <v>0.5</v>
      </c>
      <c r="DK25" s="228">
        <v>32.82</v>
      </c>
      <c r="DL25" s="228">
        <v>33.299999999999997</v>
      </c>
      <c r="DM25" s="228">
        <v>-0.48</v>
      </c>
      <c r="DN25" s="228">
        <v>-0.48</v>
      </c>
      <c r="DO25" s="228">
        <v>0.48</v>
      </c>
      <c r="DP25" s="228">
        <v>0.48</v>
      </c>
      <c r="DQ25" s="228">
        <v>0</v>
      </c>
      <c r="DR25" s="229">
        <v>0</v>
      </c>
      <c r="DS25" s="231">
        <v>1560</v>
      </c>
      <c r="DT25" s="231">
        <v>1400</v>
      </c>
      <c r="DU25" s="228">
        <v>0.45</v>
      </c>
      <c r="DV25" s="228">
        <v>0.5</v>
      </c>
      <c r="DW25" s="228">
        <v>-0.05</v>
      </c>
      <c r="DX25" s="229">
        <v>-0.1</v>
      </c>
      <c r="DY25" s="229">
        <v>0.33860000000000001</v>
      </c>
      <c r="DZ25" s="230">
        <v>21334000</v>
      </c>
      <c r="EA25" s="229">
        <v>-1E-4</v>
      </c>
      <c r="EB25" s="229">
        <v>0.33860000000000001</v>
      </c>
      <c r="EC25" s="228">
        <v>-0.13</v>
      </c>
      <c r="ED25" s="229">
        <v>-1E-4</v>
      </c>
      <c r="EE25" s="230">
        <v>4748948</v>
      </c>
      <c r="EF25" s="230">
        <v>3797421</v>
      </c>
      <c r="EG25" s="229">
        <v>0.25059999999999999</v>
      </c>
      <c r="EH25" s="229">
        <v>0.54149999999999998</v>
      </c>
      <c r="EI25" s="231">
        <v>977486.74</v>
      </c>
      <c r="EJ25" s="231">
        <v>408867.51</v>
      </c>
      <c r="EK25" s="231">
        <v>262257.94</v>
      </c>
      <c r="EL25" s="231">
        <v>31935</v>
      </c>
      <c r="EM25" s="231">
        <v>1648612.19</v>
      </c>
      <c r="EN25" s="231">
        <v>983258.33</v>
      </c>
      <c r="EO25" s="231">
        <v>665353.86</v>
      </c>
      <c r="EP25" s="229">
        <v>0.67669999999999997</v>
      </c>
      <c r="EQ25" s="231">
        <v>838878</v>
      </c>
      <c r="ER25" s="231">
        <v>368182</v>
      </c>
      <c r="ES25" s="231">
        <v>972829</v>
      </c>
      <c r="ET25" s="231">
        <v>341789333</v>
      </c>
      <c r="EU25" s="231">
        <v>2179890</v>
      </c>
      <c r="EV25" s="231">
        <v>1930846</v>
      </c>
      <c r="EW25" s="231">
        <v>249044</v>
      </c>
      <c r="EX25" s="229">
        <v>0.129</v>
      </c>
      <c r="EY25" s="229">
        <v>0.43</v>
      </c>
    </row>
    <row r="26" spans="1:155" ht="17.25" thickBot="1" x14ac:dyDescent="0.3">
      <c r="A26" s="226">
        <v>45946</v>
      </c>
      <c r="B26" s="227" t="s">
        <v>168</v>
      </c>
      <c r="C26" s="227" t="s">
        <v>242</v>
      </c>
      <c r="D26" s="228">
        <v>406.75</v>
      </c>
      <c r="E26" s="228">
        <v>401.65</v>
      </c>
      <c r="F26" s="228">
        <v>5.0999999999999996</v>
      </c>
      <c r="G26" s="229">
        <v>1.2699999999999999E-2</v>
      </c>
      <c r="H26" s="228">
        <v>405.15</v>
      </c>
      <c r="I26" s="228">
        <v>399.9</v>
      </c>
      <c r="J26" s="228">
        <v>5.25</v>
      </c>
      <c r="K26" s="229">
        <v>1.3100000000000001E-2</v>
      </c>
      <c r="L26" s="228">
        <v>406.75</v>
      </c>
      <c r="M26" s="228">
        <v>401.65</v>
      </c>
      <c r="N26" s="228">
        <v>5.0999999999999996</v>
      </c>
      <c r="O26" s="229">
        <v>1.2699999999999999E-2</v>
      </c>
      <c r="P26" s="228">
        <v>408.85</v>
      </c>
      <c r="Q26" s="228">
        <v>403.6</v>
      </c>
      <c r="R26" s="228">
        <v>5.25</v>
      </c>
      <c r="S26" s="229">
        <v>1.2999999999999999E-2</v>
      </c>
      <c r="T26" s="228">
        <v>411.3</v>
      </c>
      <c r="U26" s="228">
        <v>406.1</v>
      </c>
      <c r="V26" s="228">
        <v>5.2</v>
      </c>
      <c r="W26" s="229">
        <v>1.2800000000000001E-2</v>
      </c>
      <c r="X26" s="228">
        <v>1.6</v>
      </c>
      <c r="Y26" s="228">
        <v>1.75</v>
      </c>
      <c r="Z26" s="228">
        <v>-0.15</v>
      </c>
      <c r="AA26" s="229">
        <v>3.8999999999999998E-3</v>
      </c>
      <c r="AB26" s="228">
        <v>1.6</v>
      </c>
      <c r="AC26" s="228">
        <v>1.75</v>
      </c>
      <c r="AD26" s="228">
        <v>-0.15</v>
      </c>
      <c r="AE26" s="229">
        <v>3.8999999999999998E-3</v>
      </c>
      <c r="AF26" s="228">
        <v>3.7</v>
      </c>
      <c r="AG26" s="228">
        <v>3.7</v>
      </c>
      <c r="AH26" s="228">
        <v>0</v>
      </c>
      <c r="AI26" s="229">
        <v>9.1000000000000004E-3</v>
      </c>
      <c r="AJ26" s="228">
        <v>6.15</v>
      </c>
      <c r="AK26" s="228">
        <v>6.2</v>
      </c>
      <c r="AL26" s="228">
        <v>-0.05</v>
      </c>
      <c r="AM26" s="229">
        <v>1.52E-2</v>
      </c>
      <c r="AN26" s="228">
        <v>405.03</v>
      </c>
      <c r="AO26" s="228">
        <v>407.03</v>
      </c>
      <c r="AP26" s="228">
        <v>0</v>
      </c>
      <c r="AQ26" s="230">
        <v>19503</v>
      </c>
      <c r="AR26" s="230">
        <v>11879</v>
      </c>
      <c r="AS26" s="230">
        <v>7624</v>
      </c>
      <c r="AT26" s="229">
        <v>0.64180000000000004</v>
      </c>
      <c r="AU26" s="230">
        <v>15719</v>
      </c>
      <c r="AV26" s="230">
        <v>9104</v>
      </c>
      <c r="AW26" s="230">
        <v>6615</v>
      </c>
      <c r="AX26" s="229">
        <v>0.72660000000000002</v>
      </c>
      <c r="AY26" s="230">
        <v>3594</v>
      </c>
      <c r="AZ26" s="230">
        <v>2708</v>
      </c>
      <c r="BA26" s="228">
        <v>886</v>
      </c>
      <c r="BB26" s="229">
        <v>0.32719999999999999</v>
      </c>
      <c r="BC26" s="228">
        <v>190</v>
      </c>
      <c r="BD26" s="228">
        <v>67</v>
      </c>
      <c r="BE26" s="228">
        <v>123</v>
      </c>
      <c r="BF26" s="229">
        <v>1.8358000000000001</v>
      </c>
      <c r="BG26" s="230">
        <v>44399</v>
      </c>
      <c r="BH26" s="230">
        <v>22271</v>
      </c>
      <c r="BI26" s="230">
        <v>22128</v>
      </c>
      <c r="BJ26" s="229">
        <v>0.99360000000000004</v>
      </c>
      <c r="BK26" s="230">
        <v>24646</v>
      </c>
      <c r="BL26" s="230">
        <v>15914</v>
      </c>
      <c r="BM26" s="230">
        <v>8732</v>
      </c>
      <c r="BN26" s="229">
        <v>0.54869999999999997</v>
      </c>
      <c r="BO26" s="230">
        <v>88548</v>
      </c>
      <c r="BP26" s="230">
        <v>50064</v>
      </c>
      <c r="BQ26" s="230">
        <v>38484</v>
      </c>
      <c r="BR26" s="229">
        <v>0.76870000000000005</v>
      </c>
      <c r="BS26" s="230">
        <v>24656335</v>
      </c>
      <c r="BT26" s="230">
        <v>16452224</v>
      </c>
      <c r="BU26" s="230">
        <v>8204111</v>
      </c>
      <c r="BV26" s="229">
        <v>0.49869999999999998</v>
      </c>
      <c r="BW26" s="230">
        <v>144361600</v>
      </c>
      <c r="BX26" s="230">
        <v>140361600</v>
      </c>
      <c r="BY26" s="230">
        <v>4000000</v>
      </c>
      <c r="BZ26" s="229">
        <v>2.8500000000000001E-2</v>
      </c>
      <c r="CA26" s="230">
        <v>129587200</v>
      </c>
      <c r="CB26" s="230">
        <v>128432000</v>
      </c>
      <c r="CC26" s="230">
        <v>1155200</v>
      </c>
      <c r="CD26" s="229">
        <v>8.9999999999999993E-3</v>
      </c>
      <c r="CE26" s="230">
        <v>13947200</v>
      </c>
      <c r="CF26" s="230">
        <v>10996800</v>
      </c>
      <c r="CG26" s="230">
        <v>2950400</v>
      </c>
      <c r="CH26" s="229">
        <v>0.26829999999999998</v>
      </c>
      <c r="CI26" s="230">
        <v>827200</v>
      </c>
      <c r="CJ26" s="230">
        <v>932800</v>
      </c>
      <c r="CK26" s="230">
        <v>-105600</v>
      </c>
      <c r="CL26" s="229">
        <v>-0.1132</v>
      </c>
      <c r="CM26" s="230">
        <v>44254400</v>
      </c>
      <c r="CN26" s="230">
        <v>50563200</v>
      </c>
      <c r="CO26" s="230">
        <v>-6308800</v>
      </c>
      <c r="CP26" s="229">
        <v>-0.12479999999999999</v>
      </c>
      <c r="CQ26" s="230">
        <v>32950400</v>
      </c>
      <c r="CR26" s="230">
        <v>33862400</v>
      </c>
      <c r="CS26" s="230">
        <v>-912000</v>
      </c>
      <c r="CT26" s="229">
        <v>-2.69E-2</v>
      </c>
      <c r="CU26" s="230">
        <v>221566400</v>
      </c>
      <c r="CV26" s="230">
        <v>224787200</v>
      </c>
      <c r="CW26" s="230">
        <v>-3220800</v>
      </c>
      <c r="CX26" s="229">
        <v>-1.43E-2</v>
      </c>
      <c r="CY26" s="228">
        <v>15.06</v>
      </c>
      <c r="CZ26" s="228">
        <v>16.28</v>
      </c>
      <c r="DA26" s="228">
        <v>-1.22</v>
      </c>
      <c r="DB26" s="228">
        <v>-1.22</v>
      </c>
      <c r="DC26" s="228">
        <v>19.649999999999999</v>
      </c>
      <c r="DD26" s="228">
        <v>19.62</v>
      </c>
      <c r="DE26" s="228">
        <v>-4.59</v>
      </c>
      <c r="DF26" s="228">
        <v>0.03</v>
      </c>
      <c r="DG26" s="228">
        <v>14.77</v>
      </c>
      <c r="DH26" s="228">
        <v>16.22</v>
      </c>
      <c r="DI26" s="228">
        <v>-1.45</v>
      </c>
      <c r="DJ26" s="228">
        <v>-1.45</v>
      </c>
      <c r="DK26" s="228">
        <v>15.58</v>
      </c>
      <c r="DL26" s="228">
        <v>16.37</v>
      </c>
      <c r="DM26" s="228">
        <v>-0.79</v>
      </c>
      <c r="DN26" s="228">
        <v>-0.79</v>
      </c>
      <c r="DO26" s="228">
        <v>0.74</v>
      </c>
      <c r="DP26" s="228">
        <v>0.67</v>
      </c>
      <c r="DQ26" s="228">
        <v>7.0000000000000007E-2</v>
      </c>
      <c r="DR26" s="229">
        <v>0.1045</v>
      </c>
      <c r="DS26" s="228">
        <v>410</v>
      </c>
      <c r="DT26" s="228">
        <v>400</v>
      </c>
      <c r="DU26" s="228">
        <v>0.56000000000000005</v>
      </c>
      <c r="DV26" s="228">
        <v>0.71</v>
      </c>
      <c r="DW26" s="228">
        <v>-0.15</v>
      </c>
      <c r="DX26" s="229">
        <v>-0.21129999999999999</v>
      </c>
      <c r="DY26" s="229">
        <v>0.1023</v>
      </c>
      <c r="DZ26" s="230">
        <v>11929600</v>
      </c>
      <c r="EA26" s="229">
        <v>5.1999999999999998E-3</v>
      </c>
      <c r="EB26" s="229">
        <v>0.1023</v>
      </c>
      <c r="EC26" s="228">
        <v>2</v>
      </c>
      <c r="ED26" s="229">
        <v>4.8999999999999998E-3</v>
      </c>
      <c r="EE26" s="230">
        <v>17385856</v>
      </c>
      <c r="EF26" s="230">
        <v>12443874</v>
      </c>
      <c r="EG26" s="229">
        <v>0.39710000000000001</v>
      </c>
      <c r="EH26" s="229">
        <v>0.70509999999999995</v>
      </c>
      <c r="EI26" s="231">
        <v>292822.82</v>
      </c>
      <c r="EJ26" s="231">
        <v>158761.48000000001</v>
      </c>
      <c r="EK26" s="231">
        <v>126515.77</v>
      </c>
      <c r="EL26" s="231">
        <v>9231</v>
      </c>
      <c r="EM26" s="231">
        <v>578100.06999999995</v>
      </c>
      <c r="EN26" s="231">
        <v>324640.15999999997</v>
      </c>
      <c r="EO26" s="231">
        <v>253459.91</v>
      </c>
      <c r="EP26" s="229">
        <v>0.78069999999999995</v>
      </c>
      <c r="EQ26" s="231">
        <v>183802</v>
      </c>
      <c r="ER26" s="231">
        <v>131829</v>
      </c>
      <c r="ES26" s="231">
        <v>587521</v>
      </c>
      <c r="ET26" s="231">
        <v>1251412841</v>
      </c>
      <c r="EU26" s="231">
        <v>903153</v>
      </c>
      <c r="EV26" s="231">
        <v>908670</v>
      </c>
      <c r="EW26" s="231">
        <v>-5517</v>
      </c>
      <c r="EX26" s="229">
        <v>-6.1000000000000004E-3</v>
      </c>
      <c r="EY26" s="229">
        <v>0.17710000000000001</v>
      </c>
    </row>
    <row r="27" spans="1:155" ht="17.25" thickBot="1" x14ac:dyDescent="0.3">
      <c r="A27" s="226">
        <v>45946</v>
      </c>
      <c r="B27" s="227" t="s">
        <v>175</v>
      </c>
      <c r="C27" s="227" t="s">
        <v>570</v>
      </c>
      <c r="D27" s="228">
        <v>313.3</v>
      </c>
      <c r="E27" s="228">
        <v>313.95</v>
      </c>
      <c r="F27" s="228">
        <v>-0.65</v>
      </c>
      <c r="G27" s="229">
        <v>-2.0999999999999999E-3</v>
      </c>
      <c r="H27" s="228">
        <v>312.10000000000002</v>
      </c>
      <c r="I27" s="228">
        <v>312.64999999999998</v>
      </c>
      <c r="J27" s="228">
        <v>-0.55000000000000004</v>
      </c>
      <c r="K27" s="229">
        <v>-1.8E-3</v>
      </c>
      <c r="L27" s="228">
        <v>313.3</v>
      </c>
      <c r="M27" s="228">
        <v>313.95</v>
      </c>
      <c r="N27" s="228">
        <v>-0.65</v>
      </c>
      <c r="O27" s="229">
        <v>-2.0999999999999999E-3</v>
      </c>
      <c r="P27" s="228">
        <v>315.05</v>
      </c>
      <c r="Q27" s="228">
        <v>315.60000000000002</v>
      </c>
      <c r="R27" s="228">
        <v>-0.55000000000000004</v>
      </c>
      <c r="S27" s="229">
        <v>-1.6999999999999999E-3</v>
      </c>
      <c r="T27" s="228">
        <v>316.95</v>
      </c>
      <c r="U27" s="228">
        <v>317.55</v>
      </c>
      <c r="V27" s="228">
        <v>-0.6</v>
      </c>
      <c r="W27" s="229">
        <v>-1.9E-3</v>
      </c>
      <c r="X27" s="228">
        <v>1.2</v>
      </c>
      <c r="Y27" s="228">
        <v>1.3</v>
      </c>
      <c r="Z27" s="228">
        <v>-0.1</v>
      </c>
      <c r="AA27" s="229">
        <v>3.8E-3</v>
      </c>
      <c r="AB27" s="228">
        <v>1.2</v>
      </c>
      <c r="AC27" s="228">
        <v>1.3</v>
      </c>
      <c r="AD27" s="228">
        <v>-0.1</v>
      </c>
      <c r="AE27" s="229">
        <v>3.8E-3</v>
      </c>
      <c r="AF27" s="228">
        <v>2.95</v>
      </c>
      <c r="AG27" s="228">
        <v>2.95</v>
      </c>
      <c r="AH27" s="228">
        <v>0</v>
      </c>
      <c r="AI27" s="229">
        <v>9.4999999999999998E-3</v>
      </c>
      <c r="AJ27" s="228">
        <v>4.8499999999999996</v>
      </c>
      <c r="AK27" s="228">
        <v>4.9000000000000004</v>
      </c>
      <c r="AL27" s="228">
        <v>-0.05</v>
      </c>
      <c r="AM27" s="229">
        <v>1.55E-2</v>
      </c>
      <c r="AN27" s="228">
        <v>313.49</v>
      </c>
      <c r="AO27" s="228">
        <v>315.07</v>
      </c>
      <c r="AP27" s="228">
        <v>0</v>
      </c>
      <c r="AQ27" s="230">
        <v>7826</v>
      </c>
      <c r="AR27" s="230">
        <v>12502</v>
      </c>
      <c r="AS27" s="230">
        <v>-4676</v>
      </c>
      <c r="AT27" s="229">
        <v>-0.374</v>
      </c>
      <c r="AU27" s="230">
        <v>5659</v>
      </c>
      <c r="AV27" s="230">
        <v>9343</v>
      </c>
      <c r="AW27" s="230">
        <v>-3684</v>
      </c>
      <c r="AX27" s="229">
        <v>-0.39429999999999998</v>
      </c>
      <c r="AY27" s="230">
        <v>1982</v>
      </c>
      <c r="AZ27" s="230">
        <v>2914</v>
      </c>
      <c r="BA27" s="228">
        <v>-932</v>
      </c>
      <c r="BB27" s="229">
        <v>-0.31979999999999997</v>
      </c>
      <c r="BC27" s="228">
        <v>185</v>
      </c>
      <c r="BD27" s="228">
        <v>245</v>
      </c>
      <c r="BE27" s="228">
        <v>-60</v>
      </c>
      <c r="BF27" s="229">
        <v>-0.24490000000000001</v>
      </c>
      <c r="BG27" s="230">
        <v>33438</v>
      </c>
      <c r="BH27" s="230">
        <v>47347</v>
      </c>
      <c r="BI27" s="230">
        <v>-13909</v>
      </c>
      <c r="BJ27" s="229">
        <v>-0.29380000000000001</v>
      </c>
      <c r="BK27" s="230">
        <v>14836</v>
      </c>
      <c r="BL27" s="230">
        <v>17380</v>
      </c>
      <c r="BM27" s="230">
        <v>-2544</v>
      </c>
      <c r="BN27" s="229">
        <v>-0.1464</v>
      </c>
      <c r="BO27" s="230">
        <v>56100</v>
      </c>
      <c r="BP27" s="230">
        <v>77229</v>
      </c>
      <c r="BQ27" s="230">
        <v>-21129</v>
      </c>
      <c r="BR27" s="229">
        <v>-0.27360000000000001</v>
      </c>
      <c r="BS27" s="230">
        <v>11314434</v>
      </c>
      <c r="BT27" s="230">
        <v>15704187</v>
      </c>
      <c r="BU27" s="230">
        <v>-4389753</v>
      </c>
      <c r="BV27" s="229">
        <v>-0.27950000000000003</v>
      </c>
      <c r="BW27" s="230">
        <v>141307850</v>
      </c>
      <c r="BX27" s="230">
        <v>138116550</v>
      </c>
      <c r="BY27" s="230">
        <v>3191300</v>
      </c>
      <c r="BZ27" s="229">
        <v>2.3099999999999999E-2</v>
      </c>
      <c r="CA27" s="230">
        <v>123116500</v>
      </c>
      <c r="CB27" s="230">
        <v>122568950</v>
      </c>
      <c r="CC27" s="230">
        <v>547550</v>
      </c>
      <c r="CD27" s="229">
        <v>4.4999999999999997E-3</v>
      </c>
      <c r="CE27" s="230">
        <v>16583950</v>
      </c>
      <c r="CF27" s="230">
        <v>14130550</v>
      </c>
      <c r="CG27" s="230">
        <v>2453400</v>
      </c>
      <c r="CH27" s="229">
        <v>0.1736</v>
      </c>
      <c r="CI27" s="230">
        <v>1607400</v>
      </c>
      <c r="CJ27" s="230">
        <v>1417050</v>
      </c>
      <c r="CK27" s="230">
        <v>190350</v>
      </c>
      <c r="CL27" s="229">
        <v>0.1343</v>
      </c>
      <c r="CM27" s="230">
        <v>73566750</v>
      </c>
      <c r="CN27" s="230">
        <v>63036400</v>
      </c>
      <c r="CO27" s="230">
        <v>10530350</v>
      </c>
      <c r="CP27" s="229">
        <v>0.1671</v>
      </c>
      <c r="CQ27" s="230">
        <v>43106050</v>
      </c>
      <c r="CR27" s="230">
        <v>39442400</v>
      </c>
      <c r="CS27" s="230">
        <v>3663650</v>
      </c>
      <c r="CT27" s="229">
        <v>9.2899999999999996E-2</v>
      </c>
      <c r="CU27" s="230">
        <v>257980650</v>
      </c>
      <c r="CV27" s="230">
        <v>240595350</v>
      </c>
      <c r="CW27" s="230">
        <v>17385300</v>
      </c>
      <c r="CX27" s="229">
        <v>7.2300000000000003E-2</v>
      </c>
      <c r="CY27" s="228">
        <v>30.06</v>
      </c>
      <c r="CZ27" s="228">
        <v>29.44</v>
      </c>
      <c r="DA27" s="228">
        <v>0.62</v>
      </c>
      <c r="DB27" s="228">
        <v>0.62</v>
      </c>
      <c r="DC27" s="228">
        <v>36.159999999999997</v>
      </c>
      <c r="DD27" s="228">
        <v>36.25</v>
      </c>
      <c r="DE27" s="228">
        <v>-6.1</v>
      </c>
      <c r="DF27" s="228">
        <v>-0.09</v>
      </c>
      <c r="DG27" s="228">
        <v>30.16</v>
      </c>
      <c r="DH27" s="228">
        <v>29.33</v>
      </c>
      <c r="DI27" s="228">
        <v>0.83</v>
      </c>
      <c r="DJ27" s="228">
        <v>0.83</v>
      </c>
      <c r="DK27" s="228">
        <v>29.85</v>
      </c>
      <c r="DL27" s="228">
        <v>29.73</v>
      </c>
      <c r="DM27" s="228">
        <v>0.12</v>
      </c>
      <c r="DN27" s="228">
        <v>0.12</v>
      </c>
      <c r="DO27" s="228">
        <v>0.59</v>
      </c>
      <c r="DP27" s="228">
        <v>0.63</v>
      </c>
      <c r="DQ27" s="228">
        <v>-0.04</v>
      </c>
      <c r="DR27" s="229">
        <v>-6.3500000000000001E-2</v>
      </c>
      <c r="DS27" s="228">
        <v>320</v>
      </c>
      <c r="DT27" s="228">
        <v>300</v>
      </c>
      <c r="DU27" s="228">
        <v>0.44</v>
      </c>
      <c r="DV27" s="228">
        <v>0.37</v>
      </c>
      <c r="DW27" s="228">
        <v>7.0000000000000007E-2</v>
      </c>
      <c r="DX27" s="229">
        <v>0.18920000000000001</v>
      </c>
      <c r="DY27" s="229">
        <v>0.12870000000000001</v>
      </c>
      <c r="DZ27" s="230">
        <v>15547600</v>
      </c>
      <c r="EA27" s="229">
        <v>5.5999999999999999E-3</v>
      </c>
      <c r="EB27" s="229">
        <v>0.12870000000000001</v>
      </c>
      <c r="EC27" s="228">
        <v>1.58</v>
      </c>
      <c r="ED27" s="229">
        <v>5.0000000000000001E-3</v>
      </c>
      <c r="EE27" s="230">
        <v>5869412</v>
      </c>
      <c r="EF27" s="230">
        <v>7651724</v>
      </c>
      <c r="EG27" s="229">
        <v>-0.2329</v>
      </c>
      <c r="EH27" s="229">
        <v>0.51880000000000004</v>
      </c>
      <c r="EI27" s="231">
        <v>258237.19</v>
      </c>
      <c r="EJ27" s="231">
        <v>107718.36</v>
      </c>
      <c r="EK27" s="231">
        <v>57743.79</v>
      </c>
      <c r="EL27" s="231">
        <v>7222</v>
      </c>
      <c r="EM27" s="231">
        <v>423699.34</v>
      </c>
      <c r="EN27" s="231">
        <v>582058.68000000005</v>
      </c>
      <c r="EO27" s="231">
        <v>-158359.34</v>
      </c>
      <c r="EP27" s="229">
        <v>-0.27210000000000001</v>
      </c>
      <c r="EQ27" s="231">
        <v>240131</v>
      </c>
      <c r="ER27" s="231">
        <v>132215</v>
      </c>
      <c r="ES27" s="231">
        <v>443066</v>
      </c>
      <c r="ET27" s="231">
        <v>446457456</v>
      </c>
      <c r="EU27" s="231">
        <v>815413</v>
      </c>
      <c r="EV27" s="231">
        <v>760283</v>
      </c>
      <c r="EW27" s="231">
        <v>55130</v>
      </c>
      <c r="EX27" s="229">
        <v>7.2499999999999995E-2</v>
      </c>
      <c r="EY27" s="229">
        <v>0.57779999999999998</v>
      </c>
    </row>
    <row r="28" spans="1:155" ht="17.25" thickBot="1" x14ac:dyDescent="0.3">
      <c r="A28" s="226">
        <v>45946</v>
      </c>
      <c r="B28" s="227" t="s">
        <v>227</v>
      </c>
      <c r="C28" s="227" t="s">
        <v>244</v>
      </c>
      <c r="D28" s="231">
        <v>1173.5999999999999</v>
      </c>
      <c r="E28" s="231">
        <v>1165.5</v>
      </c>
      <c r="F28" s="228">
        <v>8.1</v>
      </c>
      <c r="G28" s="229">
        <v>6.8999999999999999E-3</v>
      </c>
      <c r="H28" s="231">
        <v>1172.0999999999999</v>
      </c>
      <c r="I28" s="231">
        <v>1160.8</v>
      </c>
      <c r="J28" s="228">
        <v>11.3</v>
      </c>
      <c r="K28" s="229">
        <v>9.7000000000000003E-3</v>
      </c>
      <c r="L28" s="231">
        <v>1173.5999999999999</v>
      </c>
      <c r="M28" s="231">
        <v>1165.5</v>
      </c>
      <c r="N28" s="228">
        <v>8.1</v>
      </c>
      <c r="O28" s="229">
        <v>6.8999999999999999E-3</v>
      </c>
      <c r="P28" s="231">
        <v>1180.2</v>
      </c>
      <c r="Q28" s="231">
        <v>1172</v>
      </c>
      <c r="R28" s="228">
        <v>8.1999999999999993</v>
      </c>
      <c r="S28" s="229">
        <v>7.0000000000000001E-3</v>
      </c>
      <c r="T28" s="231">
        <v>1186.2</v>
      </c>
      <c r="U28" s="231">
        <v>1178.4000000000001</v>
      </c>
      <c r="V28" s="228">
        <v>7.8</v>
      </c>
      <c r="W28" s="229">
        <v>6.6E-3</v>
      </c>
      <c r="X28" s="228">
        <v>1.5</v>
      </c>
      <c r="Y28" s="228">
        <v>4.7</v>
      </c>
      <c r="Z28" s="228">
        <v>-3.2</v>
      </c>
      <c r="AA28" s="229">
        <v>1.2999999999999999E-3</v>
      </c>
      <c r="AB28" s="228">
        <v>1.5</v>
      </c>
      <c r="AC28" s="228">
        <v>4.7</v>
      </c>
      <c r="AD28" s="228">
        <v>-3.2</v>
      </c>
      <c r="AE28" s="229">
        <v>1.2999999999999999E-3</v>
      </c>
      <c r="AF28" s="228">
        <v>8.1</v>
      </c>
      <c r="AG28" s="228">
        <v>11.2</v>
      </c>
      <c r="AH28" s="228">
        <v>-3.1</v>
      </c>
      <c r="AI28" s="229">
        <v>6.8999999999999999E-3</v>
      </c>
      <c r="AJ28" s="228">
        <v>14.1</v>
      </c>
      <c r="AK28" s="228">
        <v>17.600000000000001</v>
      </c>
      <c r="AL28" s="228">
        <v>-3.5</v>
      </c>
      <c r="AM28" s="229">
        <v>1.2E-2</v>
      </c>
      <c r="AN28" s="231">
        <v>1171.6600000000001</v>
      </c>
      <c r="AO28" s="231">
        <v>1177.78</v>
      </c>
      <c r="AP28" s="228">
        <v>0</v>
      </c>
      <c r="AQ28" s="230">
        <v>3198</v>
      </c>
      <c r="AR28" s="230">
        <v>2851</v>
      </c>
      <c r="AS28" s="228">
        <v>347</v>
      </c>
      <c r="AT28" s="229">
        <v>0.1217</v>
      </c>
      <c r="AU28" s="230">
        <v>2910</v>
      </c>
      <c r="AV28" s="230">
        <v>2505</v>
      </c>
      <c r="AW28" s="228">
        <v>405</v>
      </c>
      <c r="AX28" s="229">
        <v>0.16170000000000001</v>
      </c>
      <c r="AY28" s="228">
        <v>259</v>
      </c>
      <c r="AZ28" s="228">
        <v>323</v>
      </c>
      <c r="BA28" s="228">
        <v>-64</v>
      </c>
      <c r="BB28" s="229">
        <v>-0.1981</v>
      </c>
      <c r="BC28" s="228">
        <v>29</v>
      </c>
      <c r="BD28" s="228">
        <v>23</v>
      </c>
      <c r="BE28" s="228">
        <v>6</v>
      </c>
      <c r="BF28" s="229">
        <v>0.26090000000000002</v>
      </c>
      <c r="BG28" s="230">
        <v>7498</v>
      </c>
      <c r="BH28" s="230">
        <v>6181</v>
      </c>
      <c r="BI28" s="230">
        <v>1317</v>
      </c>
      <c r="BJ28" s="229">
        <v>0.21310000000000001</v>
      </c>
      <c r="BK28" s="230">
        <v>3586</v>
      </c>
      <c r="BL28" s="230">
        <v>2911</v>
      </c>
      <c r="BM28" s="228">
        <v>675</v>
      </c>
      <c r="BN28" s="229">
        <v>0.2319</v>
      </c>
      <c r="BO28" s="230">
        <v>14282</v>
      </c>
      <c r="BP28" s="230">
        <v>11943</v>
      </c>
      <c r="BQ28" s="230">
        <v>2339</v>
      </c>
      <c r="BR28" s="229">
        <v>0.1958</v>
      </c>
      <c r="BS28" s="230">
        <v>743187</v>
      </c>
      <c r="BT28" s="230">
        <v>1299409</v>
      </c>
      <c r="BU28" s="230">
        <v>-556222</v>
      </c>
      <c r="BV28" s="229">
        <v>-0.42809999999999998</v>
      </c>
      <c r="BW28" s="230">
        <v>45105525</v>
      </c>
      <c r="BX28" s="230">
        <v>45100800</v>
      </c>
      <c r="BY28" s="230">
        <v>4725</v>
      </c>
      <c r="BZ28" s="229">
        <v>1E-4</v>
      </c>
      <c r="CA28" s="230">
        <v>44496000</v>
      </c>
      <c r="CB28" s="230">
        <v>44520975</v>
      </c>
      <c r="CC28" s="230">
        <v>-24975</v>
      </c>
      <c r="CD28" s="229">
        <v>-5.9999999999999995E-4</v>
      </c>
      <c r="CE28" s="230">
        <v>560925</v>
      </c>
      <c r="CF28" s="230">
        <v>529875</v>
      </c>
      <c r="CG28" s="230">
        <v>31050</v>
      </c>
      <c r="CH28" s="229">
        <v>5.8599999999999999E-2</v>
      </c>
      <c r="CI28" s="230">
        <v>48600</v>
      </c>
      <c r="CJ28" s="230">
        <v>49950</v>
      </c>
      <c r="CK28" s="230">
        <v>-1350</v>
      </c>
      <c r="CL28" s="229">
        <v>-2.7E-2</v>
      </c>
      <c r="CM28" s="230">
        <v>6222150</v>
      </c>
      <c r="CN28" s="230">
        <v>6220125</v>
      </c>
      <c r="CO28" s="230">
        <v>2025</v>
      </c>
      <c r="CP28" s="229">
        <v>2.9999999999999997E-4</v>
      </c>
      <c r="CQ28" s="230">
        <v>4274775</v>
      </c>
      <c r="CR28" s="230">
        <v>4033800</v>
      </c>
      <c r="CS28" s="230">
        <v>240975</v>
      </c>
      <c r="CT28" s="229">
        <v>5.9700000000000003E-2</v>
      </c>
      <c r="CU28" s="230">
        <v>55602450</v>
      </c>
      <c r="CV28" s="230">
        <v>55354725</v>
      </c>
      <c r="CW28" s="230">
        <v>247725</v>
      </c>
      <c r="CX28" s="229">
        <v>4.4999999999999997E-3</v>
      </c>
      <c r="CY28" s="228">
        <v>25.73</v>
      </c>
      <c r="CZ28" s="228">
        <v>26.36</v>
      </c>
      <c r="DA28" s="228">
        <v>-0.63</v>
      </c>
      <c r="DB28" s="228">
        <v>-0.63</v>
      </c>
      <c r="DC28" s="228">
        <v>29.52</v>
      </c>
      <c r="DD28" s="228">
        <v>29.58</v>
      </c>
      <c r="DE28" s="228">
        <v>-3.79</v>
      </c>
      <c r="DF28" s="228">
        <v>-0.06</v>
      </c>
      <c r="DG28" s="228">
        <v>25.54</v>
      </c>
      <c r="DH28" s="228">
        <v>26.17</v>
      </c>
      <c r="DI28" s="228">
        <v>-0.63</v>
      </c>
      <c r="DJ28" s="228">
        <v>-0.63</v>
      </c>
      <c r="DK28" s="228">
        <v>26.13</v>
      </c>
      <c r="DL28" s="228">
        <v>26.78</v>
      </c>
      <c r="DM28" s="228">
        <v>-0.65</v>
      </c>
      <c r="DN28" s="228">
        <v>-0.65</v>
      </c>
      <c r="DO28" s="228">
        <v>0.69</v>
      </c>
      <c r="DP28" s="228">
        <v>0.65</v>
      </c>
      <c r="DQ28" s="228">
        <v>0.04</v>
      </c>
      <c r="DR28" s="229">
        <v>6.1499999999999999E-2</v>
      </c>
      <c r="DS28" s="231">
        <v>1300</v>
      </c>
      <c r="DT28" s="231">
        <v>1100</v>
      </c>
      <c r="DU28" s="228">
        <v>0.48</v>
      </c>
      <c r="DV28" s="228">
        <v>0.47</v>
      </c>
      <c r="DW28" s="228">
        <v>0.01</v>
      </c>
      <c r="DX28" s="229">
        <v>2.1299999999999999E-2</v>
      </c>
      <c r="DY28" s="229">
        <v>1.35E-2</v>
      </c>
      <c r="DZ28" s="230">
        <v>579825</v>
      </c>
      <c r="EA28" s="229">
        <v>5.5999999999999999E-3</v>
      </c>
      <c r="EB28" s="229">
        <v>1.35E-2</v>
      </c>
      <c r="EC28" s="228">
        <v>6.12</v>
      </c>
      <c r="ED28" s="229">
        <v>5.1999999999999998E-3</v>
      </c>
      <c r="EE28" s="230">
        <v>405453</v>
      </c>
      <c r="EF28" s="230">
        <v>841878</v>
      </c>
      <c r="EG28" s="229">
        <v>-0.51839999999999997</v>
      </c>
      <c r="EH28" s="229">
        <v>0.54559999999999997</v>
      </c>
      <c r="EI28" s="231">
        <v>60966.26</v>
      </c>
      <c r="EJ28" s="231">
        <v>27898.59</v>
      </c>
      <c r="EK28" s="231">
        <v>25304.93</v>
      </c>
      <c r="EL28" s="231">
        <v>4200</v>
      </c>
      <c r="EM28" s="231">
        <v>114169.78</v>
      </c>
      <c r="EN28" s="231">
        <v>95129.07</v>
      </c>
      <c r="EO28" s="231">
        <v>19040.71</v>
      </c>
      <c r="EP28" s="229">
        <v>0.20019999999999999</v>
      </c>
      <c r="EQ28" s="231">
        <v>75222</v>
      </c>
      <c r="ER28" s="231">
        <v>47074</v>
      </c>
      <c r="ES28" s="231">
        <v>529402</v>
      </c>
      <c r="ET28" s="231">
        <v>133166619</v>
      </c>
      <c r="EU28" s="231">
        <v>651697</v>
      </c>
      <c r="EV28" s="231">
        <v>645133</v>
      </c>
      <c r="EW28" s="231">
        <v>6564</v>
      </c>
      <c r="EX28" s="229">
        <v>1.0200000000000001E-2</v>
      </c>
      <c r="EY28" s="229">
        <v>0.41749999999999998</v>
      </c>
    </row>
    <row r="29" spans="1:155" ht="17.25" thickBot="1" x14ac:dyDescent="0.3">
      <c r="A29" s="226">
        <v>45946</v>
      </c>
      <c r="B29" s="227" t="s">
        <v>172</v>
      </c>
      <c r="C29" s="227" t="s">
        <v>246</v>
      </c>
      <c r="D29" s="231">
        <v>2208</v>
      </c>
      <c r="E29" s="231">
        <v>2153</v>
      </c>
      <c r="F29" s="228">
        <v>55</v>
      </c>
      <c r="G29" s="229">
        <v>2.5499999999999998E-2</v>
      </c>
      <c r="H29" s="231">
        <v>2205.4</v>
      </c>
      <c r="I29" s="231">
        <v>2149.6</v>
      </c>
      <c r="J29" s="228">
        <v>55.8</v>
      </c>
      <c r="K29" s="229">
        <v>2.5999999999999999E-2</v>
      </c>
      <c r="L29" s="231">
        <v>2208</v>
      </c>
      <c r="M29" s="231">
        <v>2153</v>
      </c>
      <c r="N29" s="228">
        <v>55</v>
      </c>
      <c r="O29" s="229">
        <v>2.5499999999999998E-2</v>
      </c>
      <c r="P29" s="231">
        <v>2218.6</v>
      </c>
      <c r="Q29" s="231">
        <v>2165.6999999999998</v>
      </c>
      <c r="R29" s="228">
        <v>52.9</v>
      </c>
      <c r="S29" s="229">
        <v>2.4400000000000002E-2</v>
      </c>
      <c r="T29" s="231">
        <v>2233</v>
      </c>
      <c r="U29" s="231">
        <v>2178.5</v>
      </c>
      <c r="V29" s="228">
        <v>54.5</v>
      </c>
      <c r="W29" s="229">
        <v>2.5000000000000001E-2</v>
      </c>
      <c r="X29" s="228">
        <v>2.6</v>
      </c>
      <c r="Y29" s="228">
        <v>3.4</v>
      </c>
      <c r="Z29" s="228">
        <v>-0.8</v>
      </c>
      <c r="AA29" s="229">
        <v>1.1999999999999999E-3</v>
      </c>
      <c r="AB29" s="228">
        <v>2.6</v>
      </c>
      <c r="AC29" s="228">
        <v>3.4</v>
      </c>
      <c r="AD29" s="228">
        <v>-0.8</v>
      </c>
      <c r="AE29" s="229">
        <v>1.1999999999999999E-3</v>
      </c>
      <c r="AF29" s="228">
        <v>13.2</v>
      </c>
      <c r="AG29" s="228">
        <v>16.100000000000001</v>
      </c>
      <c r="AH29" s="228">
        <v>-2.9</v>
      </c>
      <c r="AI29" s="229">
        <v>6.0000000000000001E-3</v>
      </c>
      <c r="AJ29" s="228">
        <v>27.6</v>
      </c>
      <c r="AK29" s="228">
        <v>28.9</v>
      </c>
      <c r="AL29" s="228">
        <v>-1.3</v>
      </c>
      <c r="AM29" s="229">
        <v>1.2500000000000001E-2</v>
      </c>
      <c r="AN29" s="231">
        <v>2194.96</v>
      </c>
      <c r="AO29" s="231">
        <v>2204.1</v>
      </c>
      <c r="AP29" s="228">
        <v>0</v>
      </c>
      <c r="AQ29" s="230">
        <v>22636</v>
      </c>
      <c r="AR29" s="230">
        <v>6743</v>
      </c>
      <c r="AS29" s="230">
        <v>15893</v>
      </c>
      <c r="AT29" s="229">
        <v>2.3570000000000002</v>
      </c>
      <c r="AU29" s="230">
        <v>20561</v>
      </c>
      <c r="AV29" s="230">
        <v>5963</v>
      </c>
      <c r="AW29" s="230">
        <v>14598</v>
      </c>
      <c r="AX29" s="229">
        <v>2.4481000000000002</v>
      </c>
      <c r="AY29" s="230">
        <v>1952</v>
      </c>
      <c r="AZ29" s="228">
        <v>755</v>
      </c>
      <c r="BA29" s="230">
        <v>1197</v>
      </c>
      <c r="BB29" s="229">
        <v>1.5853999999999999</v>
      </c>
      <c r="BC29" s="228">
        <v>123</v>
      </c>
      <c r="BD29" s="228">
        <v>25</v>
      </c>
      <c r="BE29" s="228">
        <v>98</v>
      </c>
      <c r="BF29" s="229">
        <v>3.92</v>
      </c>
      <c r="BG29" s="230">
        <v>70399</v>
      </c>
      <c r="BH29" s="230">
        <v>17979</v>
      </c>
      <c r="BI29" s="230">
        <v>52420</v>
      </c>
      <c r="BJ29" s="229">
        <v>2.9156</v>
      </c>
      <c r="BK29" s="230">
        <v>46344</v>
      </c>
      <c r="BL29" s="230">
        <v>12016</v>
      </c>
      <c r="BM29" s="230">
        <v>34328</v>
      </c>
      <c r="BN29" s="229">
        <v>2.8569</v>
      </c>
      <c r="BO29" s="230">
        <v>139379</v>
      </c>
      <c r="BP29" s="230">
        <v>36738</v>
      </c>
      <c r="BQ29" s="230">
        <v>102641</v>
      </c>
      <c r="BR29" s="229">
        <v>2.7938999999999998</v>
      </c>
      <c r="BS29" s="230">
        <v>7163163</v>
      </c>
      <c r="BT29" s="230">
        <v>2362248</v>
      </c>
      <c r="BU29" s="230">
        <v>4800915</v>
      </c>
      <c r="BV29" s="229">
        <v>2.0324</v>
      </c>
      <c r="BW29" s="230">
        <v>33785200</v>
      </c>
      <c r="BX29" s="230">
        <v>33386400</v>
      </c>
      <c r="BY29" s="230">
        <v>398800</v>
      </c>
      <c r="BZ29" s="229">
        <v>1.1900000000000001E-2</v>
      </c>
      <c r="CA29" s="230">
        <v>31769600</v>
      </c>
      <c r="CB29" s="230">
        <v>31705200</v>
      </c>
      <c r="CC29" s="230">
        <v>64400</v>
      </c>
      <c r="CD29" s="229">
        <v>2E-3</v>
      </c>
      <c r="CE29" s="230">
        <v>1263200</v>
      </c>
      <c r="CF29" s="230">
        <v>933200</v>
      </c>
      <c r="CG29" s="230">
        <v>330000</v>
      </c>
      <c r="CH29" s="229">
        <v>0.35360000000000003</v>
      </c>
      <c r="CI29" s="230">
        <v>752400</v>
      </c>
      <c r="CJ29" s="230">
        <v>748000</v>
      </c>
      <c r="CK29" s="230">
        <v>4400</v>
      </c>
      <c r="CL29" s="229">
        <v>5.8999999999999999E-3</v>
      </c>
      <c r="CM29" s="230">
        <v>8724800</v>
      </c>
      <c r="CN29" s="230">
        <v>8568800</v>
      </c>
      <c r="CO29" s="230">
        <v>156000</v>
      </c>
      <c r="CP29" s="229">
        <v>1.8200000000000001E-2</v>
      </c>
      <c r="CQ29" s="230">
        <v>9495200</v>
      </c>
      <c r="CR29" s="230">
        <v>8682400</v>
      </c>
      <c r="CS29" s="230">
        <v>812800</v>
      </c>
      <c r="CT29" s="229">
        <v>9.3600000000000003E-2</v>
      </c>
      <c r="CU29" s="230">
        <v>52005200</v>
      </c>
      <c r="CV29" s="230">
        <v>50637600</v>
      </c>
      <c r="CW29" s="230">
        <v>1367600</v>
      </c>
      <c r="CX29" s="229">
        <v>2.7E-2</v>
      </c>
      <c r="CY29" s="228">
        <v>24.81</v>
      </c>
      <c r="CZ29" s="228">
        <v>23.05</v>
      </c>
      <c r="DA29" s="228">
        <v>1.76</v>
      </c>
      <c r="DB29" s="228">
        <v>1.76</v>
      </c>
      <c r="DC29" s="228">
        <v>27.62</v>
      </c>
      <c r="DD29" s="228">
        <v>27.47</v>
      </c>
      <c r="DE29" s="228">
        <v>-2.81</v>
      </c>
      <c r="DF29" s="228">
        <v>0.15</v>
      </c>
      <c r="DG29" s="228">
        <v>22.94</v>
      </c>
      <c r="DH29" s="228">
        <v>22.61</v>
      </c>
      <c r="DI29" s="228">
        <v>0.33</v>
      </c>
      <c r="DJ29" s="228">
        <v>0.33</v>
      </c>
      <c r="DK29" s="228">
        <v>27.67</v>
      </c>
      <c r="DL29" s="228">
        <v>23.72</v>
      </c>
      <c r="DM29" s="228">
        <v>3.95</v>
      </c>
      <c r="DN29" s="228">
        <v>3.95</v>
      </c>
      <c r="DO29" s="228">
        <v>1.0900000000000001</v>
      </c>
      <c r="DP29" s="228">
        <v>1.01</v>
      </c>
      <c r="DQ29" s="228">
        <v>0.08</v>
      </c>
      <c r="DR29" s="229">
        <v>7.9200000000000007E-2</v>
      </c>
      <c r="DS29" s="231">
        <v>2200</v>
      </c>
      <c r="DT29" s="231">
        <v>2100</v>
      </c>
      <c r="DU29" s="228">
        <v>0.66</v>
      </c>
      <c r="DV29" s="228">
        <v>0.67</v>
      </c>
      <c r="DW29" s="228">
        <v>-0.01</v>
      </c>
      <c r="DX29" s="229">
        <v>-1.49E-2</v>
      </c>
      <c r="DY29" s="229">
        <v>5.9700000000000003E-2</v>
      </c>
      <c r="DZ29" s="230">
        <v>1681200</v>
      </c>
      <c r="EA29" s="229">
        <v>4.7999999999999996E-3</v>
      </c>
      <c r="EB29" s="229">
        <v>5.9700000000000003E-2</v>
      </c>
      <c r="EC29" s="228">
        <v>9.14</v>
      </c>
      <c r="ED29" s="229">
        <v>4.1999999999999997E-3</v>
      </c>
      <c r="EE29" s="230">
        <v>4577329</v>
      </c>
      <c r="EF29" s="230">
        <v>1697493</v>
      </c>
      <c r="EG29" s="229">
        <v>1.6964999999999999</v>
      </c>
      <c r="EH29" s="229">
        <v>0.63900000000000001</v>
      </c>
      <c r="EI29" s="231">
        <v>634466.57999999996</v>
      </c>
      <c r="EJ29" s="231">
        <v>395428.01</v>
      </c>
      <c r="EK29" s="231">
        <v>198824.7</v>
      </c>
      <c r="EL29" s="231">
        <v>7523</v>
      </c>
      <c r="EM29" s="231">
        <v>1228719.29</v>
      </c>
      <c r="EN29" s="231">
        <v>319907.28000000003</v>
      </c>
      <c r="EO29" s="231">
        <v>908812.01</v>
      </c>
      <c r="EP29" s="229">
        <v>2.8409</v>
      </c>
      <c r="EQ29" s="231">
        <v>190265</v>
      </c>
      <c r="ER29" s="231">
        <v>196506</v>
      </c>
      <c r="ES29" s="231">
        <v>746299</v>
      </c>
      <c r="ET29" s="231">
        <v>215751979</v>
      </c>
      <c r="EU29" s="231">
        <v>1133070</v>
      </c>
      <c r="EV29" s="231">
        <v>1083050</v>
      </c>
      <c r="EW29" s="231">
        <v>50020</v>
      </c>
      <c r="EX29" s="229">
        <v>4.6199999999999998E-2</v>
      </c>
      <c r="EY29" s="229">
        <v>0.24099999999999999</v>
      </c>
    </row>
    <row r="30" spans="1:155" ht="17.25" thickBot="1" x14ac:dyDescent="0.3">
      <c r="A30" s="226">
        <v>45946</v>
      </c>
      <c r="B30" s="227" t="s">
        <v>184</v>
      </c>
      <c r="C30" s="227" t="s">
        <v>249</v>
      </c>
      <c r="D30" s="231">
        <v>3866.7</v>
      </c>
      <c r="E30" s="231">
        <v>3836.6</v>
      </c>
      <c r="F30" s="228">
        <v>30.1</v>
      </c>
      <c r="G30" s="229">
        <v>7.7999999999999996E-3</v>
      </c>
      <c r="H30" s="231">
        <v>3861.8</v>
      </c>
      <c r="I30" s="231">
        <v>3828.7</v>
      </c>
      <c r="J30" s="228">
        <v>33.1</v>
      </c>
      <c r="K30" s="229">
        <v>8.6E-3</v>
      </c>
      <c r="L30" s="231">
        <v>3866.7</v>
      </c>
      <c r="M30" s="231">
        <v>3836.6</v>
      </c>
      <c r="N30" s="228">
        <v>30.1</v>
      </c>
      <c r="O30" s="229">
        <v>7.7999999999999996E-3</v>
      </c>
      <c r="P30" s="231">
        <v>3888.6</v>
      </c>
      <c r="Q30" s="231">
        <v>3857.5</v>
      </c>
      <c r="R30" s="228">
        <v>31.1</v>
      </c>
      <c r="S30" s="229">
        <v>8.0999999999999996E-3</v>
      </c>
      <c r="T30" s="231">
        <v>3911.6</v>
      </c>
      <c r="U30" s="231">
        <v>3879.8</v>
      </c>
      <c r="V30" s="228">
        <v>31.8</v>
      </c>
      <c r="W30" s="229">
        <v>8.2000000000000007E-3</v>
      </c>
      <c r="X30" s="228">
        <v>4.9000000000000004</v>
      </c>
      <c r="Y30" s="228">
        <v>7.9</v>
      </c>
      <c r="Z30" s="228">
        <v>-3</v>
      </c>
      <c r="AA30" s="229">
        <v>1.2999999999999999E-3</v>
      </c>
      <c r="AB30" s="228">
        <v>4.9000000000000004</v>
      </c>
      <c r="AC30" s="228">
        <v>7.9</v>
      </c>
      <c r="AD30" s="228">
        <v>-3</v>
      </c>
      <c r="AE30" s="229">
        <v>1.2999999999999999E-3</v>
      </c>
      <c r="AF30" s="228">
        <v>26.8</v>
      </c>
      <c r="AG30" s="228">
        <v>28.8</v>
      </c>
      <c r="AH30" s="228">
        <v>-2</v>
      </c>
      <c r="AI30" s="229">
        <v>6.8999999999999999E-3</v>
      </c>
      <c r="AJ30" s="228">
        <v>49.8</v>
      </c>
      <c r="AK30" s="228">
        <v>51.1</v>
      </c>
      <c r="AL30" s="228">
        <v>-1.3</v>
      </c>
      <c r="AM30" s="229">
        <v>1.29E-2</v>
      </c>
      <c r="AN30" s="231">
        <v>3867.7</v>
      </c>
      <c r="AO30" s="231">
        <v>3888.68</v>
      </c>
      <c r="AP30" s="228">
        <v>0</v>
      </c>
      <c r="AQ30" s="230">
        <v>14429</v>
      </c>
      <c r="AR30" s="230">
        <v>17931</v>
      </c>
      <c r="AS30" s="230">
        <v>-3502</v>
      </c>
      <c r="AT30" s="229">
        <v>-0.1953</v>
      </c>
      <c r="AU30" s="230">
        <v>12954</v>
      </c>
      <c r="AV30" s="230">
        <v>15898</v>
      </c>
      <c r="AW30" s="230">
        <v>-2944</v>
      </c>
      <c r="AX30" s="229">
        <v>-0.1852</v>
      </c>
      <c r="AY30" s="230">
        <v>1398</v>
      </c>
      <c r="AZ30" s="230">
        <v>1922</v>
      </c>
      <c r="BA30" s="228">
        <v>-524</v>
      </c>
      <c r="BB30" s="229">
        <v>-0.27260000000000001</v>
      </c>
      <c r="BC30" s="228">
        <v>77</v>
      </c>
      <c r="BD30" s="228">
        <v>111</v>
      </c>
      <c r="BE30" s="228">
        <v>-34</v>
      </c>
      <c r="BF30" s="229">
        <v>-0.30630000000000002</v>
      </c>
      <c r="BG30" s="230">
        <v>71541</v>
      </c>
      <c r="BH30" s="230">
        <v>100456</v>
      </c>
      <c r="BI30" s="230">
        <v>-28915</v>
      </c>
      <c r="BJ30" s="229">
        <v>-0.2878</v>
      </c>
      <c r="BK30" s="230">
        <v>41515</v>
      </c>
      <c r="BL30" s="230">
        <v>51423</v>
      </c>
      <c r="BM30" s="230">
        <v>-9908</v>
      </c>
      <c r="BN30" s="229">
        <v>-0.19270000000000001</v>
      </c>
      <c r="BO30" s="230">
        <v>127485</v>
      </c>
      <c r="BP30" s="230">
        <v>169810</v>
      </c>
      <c r="BQ30" s="230">
        <v>-42325</v>
      </c>
      <c r="BR30" s="229">
        <v>-0.2492</v>
      </c>
      <c r="BS30" s="230">
        <v>2646465</v>
      </c>
      <c r="BT30" s="230">
        <v>2795852</v>
      </c>
      <c r="BU30" s="230">
        <v>-149387</v>
      </c>
      <c r="BV30" s="229">
        <v>-5.3400000000000003E-2</v>
      </c>
      <c r="BW30" s="230">
        <v>15795850</v>
      </c>
      <c r="BX30" s="230">
        <v>15737225</v>
      </c>
      <c r="BY30" s="230">
        <v>58625</v>
      </c>
      <c r="BZ30" s="229">
        <v>3.7000000000000002E-3</v>
      </c>
      <c r="CA30" s="230">
        <v>14962850</v>
      </c>
      <c r="CB30" s="230">
        <v>15002575</v>
      </c>
      <c r="CC30" s="230">
        <v>-39725</v>
      </c>
      <c r="CD30" s="229">
        <v>-2.5999999999999999E-3</v>
      </c>
      <c r="CE30" s="230">
        <v>597800</v>
      </c>
      <c r="CF30" s="230">
        <v>502250</v>
      </c>
      <c r="CG30" s="230">
        <v>95550</v>
      </c>
      <c r="CH30" s="229">
        <v>0.19020000000000001</v>
      </c>
      <c r="CI30" s="230">
        <v>235200</v>
      </c>
      <c r="CJ30" s="230">
        <v>232400</v>
      </c>
      <c r="CK30" s="230">
        <v>2800</v>
      </c>
      <c r="CL30" s="229">
        <v>1.2E-2</v>
      </c>
      <c r="CM30" s="230">
        <v>7810250</v>
      </c>
      <c r="CN30" s="230">
        <v>7855050</v>
      </c>
      <c r="CO30" s="230">
        <v>-44800</v>
      </c>
      <c r="CP30" s="229">
        <v>-5.7000000000000002E-3</v>
      </c>
      <c r="CQ30" s="230">
        <v>4865525</v>
      </c>
      <c r="CR30" s="230">
        <v>4304125</v>
      </c>
      <c r="CS30" s="230">
        <v>561400</v>
      </c>
      <c r="CT30" s="229">
        <v>0.13039999999999999</v>
      </c>
      <c r="CU30" s="230">
        <v>28471625</v>
      </c>
      <c r="CV30" s="230">
        <v>27896400</v>
      </c>
      <c r="CW30" s="230">
        <v>575225</v>
      </c>
      <c r="CX30" s="229">
        <v>2.06E-2</v>
      </c>
      <c r="CY30" s="228">
        <v>14.38</v>
      </c>
      <c r="CZ30" s="228">
        <v>16.04</v>
      </c>
      <c r="DA30" s="228">
        <v>-1.66</v>
      </c>
      <c r="DB30" s="228">
        <v>-1.66</v>
      </c>
      <c r="DC30" s="228">
        <v>28.01</v>
      </c>
      <c r="DD30" s="228">
        <v>28.06</v>
      </c>
      <c r="DE30" s="228">
        <v>-13.63</v>
      </c>
      <c r="DF30" s="228">
        <v>-0.05</v>
      </c>
      <c r="DG30" s="228">
        <v>14.07</v>
      </c>
      <c r="DH30" s="228">
        <v>15.55</v>
      </c>
      <c r="DI30" s="228">
        <v>-1.48</v>
      </c>
      <c r="DJ30" s="228">
        <v>-1.48</v>
      </c>
      <c r="DK30" s="228">
        <v>14.91</v>
      </c>
      <c r="DL30" s="228">
        <v>17.010000000000002</v>
      </c>
      <c r="DM30" s="228">
        <v>-2.1</v>
      </c>
      <c r="DN30" s="228">
        <v>-2.1</v>
      </c>
      <c r="DO30" s="228">
        <v>0.62</v>
      </c>
      <c r="DP30" s="228">
        <v>0.55000000000000004</v>
      </c>
      <c r="DQ30" s="228">
        <v>7.0000000000000007E-2</v>
      </c>
      <c r="DR30" s="229">
        <v>0.1273</v>
      </c>
      <c r="DS30" s="231">
        <v>3800</v>
      </c>
      <c r="DT30" s="231">
        <v>3800</v>
      </c>
      <c r="DU30" s="228">
        <v>0.57999999999999996</v>
      </c>
      <c r="DV30" s="228">
        <v>0.51</v>
      </c>
      <c r="DW30" s="228">
        <v>7.0000000000000007E-2</v>
      </c>
      <c r="DX30" s="229">
        <v>0.13730000000000001</v>
      </c>
      <c r="DY30" s="229">
        <v>5.2699999999999997E-2</v>
      </c>
      <c r="DZ30" s="230">
        <v>734650</v>
      </c>
      <c r="EA30" s="229">
        <v>5.7000000000000002E-3</v>
      </c>
      <c r="EB30" s="229">
        <v>5.2699999999999997E-2</v>
      </c>
      <c r="EC30" s="228">
        <v>20.98</v>
      </c>
      <c r="ED30" s="229">
        <v>5.4000000000000003E-3</v>
      </c>
      <c r="EE30" s="230">
        <v>1514656</v>
      </c>
      <c r="EF30" s="230">
        <v>1782309</v>
      </c>
      <c r="EG30" s="229">
        <v>-0.1502</v>
      </c>
      <c r="EH30" s="229">
        <v>0.57230000000000003</v>
      </c>
      <c r="EI30" s="231">
        <v>492696.06</v>
      </c>
      <c r="EJ30" s="231">
        <v>277214.75</v>
      </c>
      <c r="EK30" s="231">
        <v>97718.97</v>
      </c>
      <c r="EL30" s="231">
        <v>11813</v>
      </c>
      <c r="EM30" s="231">
        <v>867629.78</v>
      </c>
      <c r="EN30" s="231">
        <v>1145111.1599999999</v>
      </c>
      <c r="EO30" s="231">
        <v>-277481.38</v>
      </c>
      <c r="EP30" s="229">
        <v>-0.24229999999999999</v>
      </c>
      <c r="EQ30" s="231">
        <v>302479</v>
      </c>
      <c r="ER30" s="231">
        <v>180713</v>
      </c>
      <c r="ES30" s="231">
        <v>611015</v>
      </c>
      <c r="ET30" s="231">
        <v>136007303</v>
      </c>
      <c r="EU30" s="231">
        <v>1094207</v>
      </c>
      <c r="EV30" s="231">
        <v>1066913</v>
      </c>
      <c r="EW30" s="231">
        <v>27294</v>
      </c>
      <c r="EX30" s="229">
        <v>2.5600000000000001E-2</v>
      </c>
      <c r="EY30" s="229">
        <v>0.20930000000000001</v>
      </c>
    </row>
    <row r="31" spans="1:155" ht="17.25" thickBot="1" x14ac:dyDescent="0.3">
      <c r="A31" s="226">
        <v>45946</v>
      </c>
      <c r="B31" s="227" t="s">
        <v>162</v>
      </c>
      <c r="C31" s="227" t="s">
        <v>251</v>
      </c>
      <c r="D31" s="231">
        <v>3567.2</v>
      </c>
      <c r="E31" s="231">
        <v>3501.8</v>
      </c>
      <c r="F31" s="228">
        <v>65.400000000000006</v>
      </c>
      <c r="G31" s="229">
        <v>1.8700000000000001E-2</v>
      </c>
      <c r="H31" s="231">
        <v>3560.8</v>
      </c>
      <c r="I31" s="231">
        <v>3497.2</v>
      </c>
      <c r="J31" s="228">
        <v>63.6</v>
      </c>
      <c r="K31" s="229">
        <v>1.8200000000000001E-2</v>
      </c>
      <c r="L31" s="231">
        <v>3567.2</v>
      </c>
      <c r="M31" s="231">
        <v>3501.8</v>
      </c>
      <c r="N31" s="228">
        <v>65.400000000000006</v>
      </c>
      <c r="O31" s="229">
        <v>1.8700000000000001E-2</v>
      </c>
      <c r="P31" s="231">
        <v>3587.6</v>
      </c>
      <c r="Q31" s="231">
        <v>3520.6</v>
      </c>
      <c r="R31" s="228">
        <v>67</v>
      </c>
      <c r="S31" s="229">
        <v>1.9E-2</v>
      </c>
      <c r="T31" s="231">
        <v>3606.5</v>
      </c>
      <c r="U31" s="231">
        <v>3540.7</v>
      </c>
      <c r="V31" s="228">
        <v>65.8</v>
      </c>
      <c r="W31" s="229">
        <v>1.8599999999999998E-2</v>
      </c>
      <c r="X31" s="228">
        <v>6.4</v>
      </c>
      <c r="Y31" s="228">
        <v>4.5999999999999996</v>
      </c>
      <c r="Z31" s="228">
        <v>1.8</v>
      </c>
      <c r="AA31" s="229">
        <v>1.8E-3</v>
      </c>
      <c r="AB31" s="228">
        <v>6.4</v>
      </c>
      <c r="AC31" s="228">
        <v>4.5999999999999996</v>
      </c>
      <c r="AD31" s="228">
        <v>1.8</v>
      </c>
      <c r="AE31" s="229">
        <v>1.8E-3</v>
      </c>
      <c r="AF31" s="228">
        <v>26.8</v>
      </c>
      <c r="AG31" s="228">
        <v>23.4</v>
      </c>
      <c r="AH31" s="228">
        <v>3.4</v>
      </c>
      <c r="AI31" s="229">
        <v>7.4999999999999997E-3</v>
      </c>
      <c r="AJ31" s="228">
        <v>45.7</v>
      </c>
      <c r="AK31" s="228">
        <v>43.5</v>
      </c>
      <c r="AL31" s="228">
        <v>2.2000000000000002</v>
      </c>
      <c r="AM31" s="229">
        <v>1.2800000000000001E-2</v>
      </c>
      <c r="AN31" s="231">
        <v>3558.36</v>
      </c>
      <c r="AO31" s="231">
        <v>3577.38</v>
      </c>
      <c r="AP31" s="228">
        <v>0</v>
      </c>
      <c r="AQ31" s="230">
        <v>13437</v>
      </c>
      <c r="AR31" s="230">
        <v>9339</v>
      </c>
      <c r="AS31" s="230">
        <v>4098</v>
      </c>
      <c r="AT31" s="229">
        <v>0.43880000000000002</v>
      </c>
      <c r="AU31" s="230">
        <v>11559</v>
      </c>
      <c r="AV31" s="230">
        <v>8420</v>
      </c>
      <c r="AW31" s="230">
        <v>3139</v>
      </c>
      <c r="AX31" s="229">
        <v>0.37280000000000002</v>
      </c>
      <c r="AY31" s="230">
        <v>1768</v>
      </c>
      <c r="AZ31" s="228">
        <v>844</v>
      </c>
      <c r="BA31" s="228">
        <v>924</v>
      </c>
      <c r="BB31" s="229">
        <v>1.0948</v>
      </c>
      <c r="BC31" s="228">
        <v>110</v>
      </c>
      <c r="BD31" s="228">
        <v>75</v>
      </c>
      <c r="BE31" s="228">
        <v>35</v>
      </c>
      <c r="BF31" s="229">
        <v>0.4667</v>
      </c>
      <c r="BG31" s="230">
        <v>73486</v>
      </c>
      <c r="BH31" s="230">
        <v>30603</v>
      </c>
      <c r="BI31" s="230">
        <v>42883</v>
      </c>
      <c r="BJ31" s="229">
        <v>1.4013</v>
      </c>
      <c r="BK31" s="230">
        <v>29529</v>
      </c>
      <c r="BL31" s="230">
        <v>13714</v>
      </c>
      <c r="BM31" s="230">
        <v>15815</v>
      </c>
      <c r="BN31" s="229">
        <v>1.1532</v>
      </c>
      <c r="BO31" s="230">
        <v>116452</v>
      </c>
      <c r="BP31" s="230">
        <v>53656</v>
      </c>
      <c r="BQ31" s="230">
        <v>62796</v>
      </c>
      <c r="BR31" s="229">
        <v>1.1702999999999999</v>
      </c>
      <c r="BS31" s="230">
        <v>2406692</v>
      </c>
      <c r="BT31" s="230">
        <v>1366621</v>
      </c>
      <c r="BU31" s="230">
        <v>1040071</v>
      </c>
      <c r="BV31" s="229">
        <v>0.7611</v>
      </c>
      <c r="BW31" s="230">
        <v>19674600</v>
      </c>
      <c r="BX31" s="230">
        <v>19809000</v>
      </c>
      <c r="BY31" s="230">
        <v>-134400</v>
      </c>
      <c r="BZ31" s="229">
        <v>-6.7999999999999996E-3</v>
      </c>
      <c r="CA31" s="230">
        <v>18945400</v>
      </c>
      <c r="CB31" s="230">
        <v>19218200</v>
      </c>
      <c r="CC31" s="230">
        <v>-272800</v>
      </c>
      <c r="CD31" s="229">
        <v>-1.4200000000000001E-2</v>
      </c>
      <c r="CE31" s="230">
        <v>579800</v>
      </c>
      <c r="CF31" s="230">
        <v>441000</v>
      </c>
      <c r="CG31" s="230">
        <v>138800</v>
      </c>
      <c r="CH31" s="229">
        <v>0.31469999999999998</v>
      </c>
      <c r="CI31" s="230">
        <v>149400</v>
      </c>
      <c r="CJ31" s="230">
        <v>149800</v>
      </c>
      <c r="CK31" s="228">
        <v>-400</v>
      </c>
      <c r="CL31" s="229">
        <v>-2.7000000000000001E-3</v>
      </c>
      <c r="CM31" s="230">
        <v>5914200</v>
      </c>
      <c r="CN31" s="230">
        <v>6324200</v>
      </c>
      <c r="CO31" s="230">
        <v>-410000</v>
      </c>
      <c r="CP31" s="229">
        <v>-6.4799999999999996E-2</v>
      </c>
      <c r="CQ31" s="230">
        <v>3083000</v>
      </c>
      <c r="CR31" s="230">
        <v>2884400</v>
      </c>
      <c r="CS31" s="230">
        <v>198600</v>
      </c>
      <c r="CT31" s="229">
        <v>6.8900000000000003E-2</v>
      </c>
      <c r="CU31" s="230">
        <v>28671800</v>
      </c>
      <c r="CV31" s="230">
        <v>29017600</v>
      </c>
      <c r="CW31" s="230">
        <v>-345800</v>
      </c>
      <c r="CX31" s="229">
        <v>-1.1900000000000001E-2</v>
      </c>
      <c r="CY31" s="228">
        <v>22.45</v>
      </c>
      <c r="CZ31" s="228">
        <v>24.01</v>
      </c>
      <c r="DA31" s="228">
        <v>-1.56</v>
      </c>
      <c r="DB31" s="228">
        <v>-1.56</v>
      </c>
      <c r="DC31" s="228">
        <v>34.229999999999997</v>
      </c>
      <c r="DD31" s="228">
        <v>34.229999999999997</v>
      </c>
      <c r="DE31" s="228">
        <v>-11.78</v>
      </c>
      <c r="DF31" s="228">
        <v>0</v>
      </c>
      <c r="DG31" s="228">
        <v>22.18</v>
      </c>
      <c r="DH31" s="228">
        <v>24.01</v>
      </c>
      <c r="DI31" s="228">
        <v>-1.83</v>
      </c>
      <c r="DJ31" s="228">
        <v>-1.83</v>
      </c>
      <c r="DK31" s="228">
        <v>23.13</v>
      </c>
      <c r="DL31" s="228">
        <v>24.02</v>
      </c>
      <c r="DM31" s="228">
        <v>-0.89</v>
      </c>
      <c r="DN31" s="228">
        <v>-0.89</v>
      </c>
      <c r="DO31" s="228">
        <v>0.52</v>
      </c>
      <c r="DP31" s="228">
        <v>0.46</v>
      </c>
      <c r="DQ31" s="228">
        <v>0.06</v>
      </c>
      <c r="DR31" s="229">
        <v>0.13039999999999999</v>
      </c>
      <c r="DS31" s="231">
        <v>3600</v>
      </c>
      <c r="DT31" s="231">
        <v>3450</v>
      </c>
      <c r="DU31" s="228">
        <v>0.4</v>
      </c>
      <c r="DV31" s="228">
        <v>0.45</v>
      </c>
      <c r="DW31" s="228">
        <v>-0.05</v>
      </c>
      <c r="DX31" s="229">
        <v>-0.1111</v>
      </c>
      <c r="DY31" s="229">
        <v>3.7100000000000001E-2</v>
      </c>
      <c r="DZ31" s="230">
        <v>590800</v>
      </c>
      <c r="EA31" s="229">
        <v>5.7000000000000002E-3</v>
      </c>
      <c r="EB31" s="229">
        <v>3.7100000000000001E-2</v>
      </c>
      <c r="EC31" s="228">
        <v>19.02</v>
      </c>
      <c r="ED31" s="229">
        <v>5.3E-3</v>
      </c>
      <c r="EE31" s="230">
        <v>1185724</v>
      </c>
      <c r="EF31" s="230">
        <v>868196</v>
      </c>
      <c r="EG31" s="229">
        <v>0.36570000000000003</v>
      </c>
      <c r="EH31" s="229">
        <v>0.49270000000000003</v>
      </c>
      <c r="EI31" s="231">
        <v>538727.53</v>
      </c>
      <c r="EJ31" s="231">
        <v>206382.82</v>
      </c>
      <c r="EK31" s="231">
        <v>95702.49</v>
      </c>
      <c r="EL31" s="231">
        <v>9040</v>
      </c>
      <c r="EM31" s="231">
        <v>840812.84</v>
      </c>
      <c r="EN31" s="231">
        <v>381833.62</v>
      </c>
      <c r="EO31" s="231">
        <v>458979.22</v>
      </c>
      <c r="EP31" s="229">
        <v>1.202</v>
      </c>
      <c r="EQ31" s="231">
        <v>217294</v>
      </c>
      <c r="ER31" s="231">
        <v>104451</v>
      </c>
      <c r="ES31" s="231">
        <v>702009</v>
      </c>
      <c r="ET31" s="231">
        <v>100261459</v>
      </c>
      <c r="EU31" s="231">
        <v>1023754</v>
      </c>
      <c r="EV31" s="231">
        <v>1022548</v>
      </c>
      <c r="EW31" s="231">
        <v>1206</v>
      </c>
      <c r="EX31" s="229">
        <v>1.1999999999999999E-3</v>
      </c>
      <c r="EY31" s="229">
        <v>0.28599999999999998</v>
      </c>
    </row>
    <row r="32" spans="1:155" ht="17.25" thickBot="1" x14ac:dyDescent="0.3">
      <c r="A32" s="226">
        <v>45946</v>
      </c>
      <c r="B32" s="227" t="s">
        <v>162</v>
      </c>
      <c r="C32" s="227" t="s">
        <v>255</v>
      </c>
      <c r="D32" s="231">
        <v>16354</v>
      </c>
      <c r="E32" s="231">
        <v>16273</v>
      </c>
      <c r="F32" s="228">
        <v>81</v>
      </c>
      <c r="G32" s="229">
        <v>5.0000000000000001E-3</v>
      </c>
      <c r="H32" s="231">
        <v>16298</v>
      </c>
      <c r="I32" s="231">
        <v>16212</v>
      </c>
      <c r="J32" s="228">
        <v>86</v>
      </c>
      <c r="K32" s="229">
        <v>5.3E-3</v>
      </c>
      <c r="L32" s="231">
        <v>16354</v>
      </c>
      <c r="M32" s="231">
        <v>16273</v>
      </c>
      <c r="N32" s="228">
        <v>81</v>
      </c>
      <c r="O32" s="229">
        <v>5.0000000000000001E-3</v>
      </c>
      <c r="P32" s="231">
        <v>16446</v>
      </c>
      <c r="Q32" s="231">
        <v>16357</v>
      </c>
      <c r="R32" s="228">
        <v>89</v>
      </c>
      <c r="S32" s="229">
        <v>5.4000000000000003E-3</v>
      </c>
      <c r="T32" s="231">
        <v>16536</v>
      </c>
      <c r="U32" s="231">
        <v>16458</v>
      </c>
      <c r="V32" s="228">
        <v>78</v>
      </c>
      <c r="W32" s="229">
        <v>4.7000000000000002E-3</v>
      </c>
      <c r="X32" s="228">
        <v>56</v>
      </c>
      <c r="Y32" s="228">
        <v>61</v>
      </c>
      <c r="Z32" s="228">
        <v>-5</v>
      </c>
      <c r="AA32" s="229">
        <v>3.3999999999999998E-3</v>
      </c>
      <c r="AB32" s="228">
        <v>56</v>
      </c>
      <c r="AC32" s="228">
        <v>61</v>
      </c>
      <c r="AD32" s="228">
        <v>-5</v>
      </c>
      <c r="AE32" s="229">
        <v>3.3999999999999998E-3</v>
      </c>
      <c r="AF32" s="228">
        <v>148</v>
      </c>
      <c r="AG32" s="228">
        <v>145</v>
      </c>
      <c r="AH32" s="228">
        <v>3</v>
      </c>
      <c r="AI32" s="229">
        <v>9.1000000000000004E-3</v>
      </c>
      <c r="AJ32" s="228">
        <v>238</v>
      </c>
      <c r="AK32" s="228">
        <v>246</v>
      </c>
      <c r="AL32" s="228">
        <v>-8</v>
      </c>
      <c r="AM32" s="229">
        <v>1.46E-2</v>
      </c>
      <c r="AN32" s="231">
        <v>16336.88</v>
      </c>
      <c r="AO32" s="231">
        <v>16432.169999999998</v>
      </c>
      <c r="AP32" s="228">
        <v>0</v>
      </c>
      <c r="AQ32" s="230">
        <v>7472</v>
      </c>
      <c r="AR32" s="230">
        <v>7753</v>
      </c>
      <c r="AS32" s="228">
        <v>-281</v>
      </c>
      <c r="AT32" s="229">
        <v>-3.6200000000000003E-2</v>
      </c>
      <c r="AU32" s="230">
        <v>6427</v>
      </c>
      <c r="AV32" s="230">
        <v>6815</v>
      </c>
      <c r="AW32" s="228">
        <v>-388</v>
      </c>
      <c r="AX32" s="229">
        <v>-5.6899999999999999E-2</v>
      </c>
      <c r="AY32" s="228">
        <v>994</v>
      </c>
      <c r="AZ32" s="228">
        <v>860</v>
      </c>
      <c r="BA32" s="228">
        <v>134</v>
      </c>
      <c r="BB32" s="229">
        <v>0.15579999999999999</v>
      </c>
      <c r="BC32" s="228">
        <v>51</v>
      </c>
      <c r="BD32" s="228">
        <v>78</v>
      </c>
      <c r="BE32" s="228">
        <v>-27</v>
      </c>
      <c r="BF32" s="229">
        <v>-0.34620000000000001</v>
      </c>
      <c r="BG32" s="230">
        <v>52013</v>
      </c>
      <c r="BH32" s="230">
        <v>60673</v>
      </c>
      <c r="BI32" s="230">
        <v>-8660</v>
      </c>
      <c r="BJ32" s="229">
        <v>-0.14269999999999999</v>
      </c>
      <c r="BK32" s="230">
        <v>28302</v>
      </c>
      <c r="BL32" s="230">
        <v>42113</v>
      </c>
      <c r="BM32" s="230">
        <v>-13811</v>
      </c>
      <c r="BN32" s="229">
        <v>-0.32800000000000001</v>
      </c>
      <c r="BO32" s="230">
        <v>87787</v>
      </c>
      <c r="BP32" s="230">
        <v>110539</v>
      </c>
      <c r="BQ32" s="230">
        <v>-22752</v>
      </c>
      <c r="BR32" s="229">
        <v>-0.20580000000000001</v>
      </c>
      <c r="BS32" s="230">
        <v>291439</v>
      </c>
      <c r="BT32" s="230">
        <v>271764</v>
      </c>
      <c r="BU32" s="230">
        <v>19675</v>
      </c>
      <c r="BV32" s="229">
        <v>7.2400000000000006E-2</v>
      </c>
      <c r="BW32" s="230">
        <v>2820700</v>
      </c>
      <c r="BX32" s="230">
        <v>2826650</v>
      </c>
      <c r="BY32" s="230">
        <v>-5950</v>
      </c>
      <c r="BZ32" s="229">
        <v>-2.0999999999999999E-3</v>
      </c>
      <c r="CA32" s="230">
        <v>2663950</v>
      </c>
      <c r="CB32" s="230">
        <v>2695350</v>
      </c>
      <c r="CC32" s="230">
        <v>-31400</v>
      </c>
      <c r="CD32" s="229">
        <v>-1.1599999999999999E-2</v>
      </c>
      <c r="CE32" s="230">
        <v>137200</v>
      </c>
      <c r="CF32" s="230">
        <v>111950</v>
      </c>
      <c r="CG32" s="230">
        <v>25250</v>
      </c>
      <c r="CH32" s="229">
        <v>0.22550000000000001</v>
      </c>
      <c r="CI32" s="230">
        <v>19550</v>
      </c>
      <c r="CJ32" s="230">
        <v>19350</v>
      </c>
      <c r="CK32" s="228">
        <v>200</v>
      </c>
      <c r="CL32" s="229">
        <v>1.03E-2</v>
      </c>
      <c r="CM32" s="230">
        <v>3058100</v>
      </c>
      <c r="CN32" s="230">
        <v>3181300</v>
      </c>
      <c r="CO32" s="230">
        <v>-123200</v>
      </c>
      <c r="CP32" s="229">
        <v>-3.8699999999999998E-2</v>
      </c>
      <c r="CQ32" s="230">
        <v>1781400</v>
      </c>
      <c r="CR32" s="230">
        <v>1741250</v>
      </c>
      <c r="CS32" s="230">
        <v>40150</v>
      </c>
      <c r="CT32" s="229">
        <v>2.3099999999999999E-2</v>
      </c>
      <c r="CU32" s="230">
        <v>7660200</v>
      </c>
      <c r="CV32" s="230">
        <v>7749200</v>
      </c>
      <c r="CW32" s="230">
        <v>-89000</v>
      </c>
      <c r="CX32" s="229">
        <v>-1.15E-2</v>
      </c>
      <c r="CY32" s="228">
        <v>18.899999999999999</v>
      </c>
      <c r="CZ32" s="228">
        <v>19.72</v>
      </c>
      <c r="DA32" s="228">
        <v>-0.82</v>
      </c>
      <c r="DB32" s="228">
        <v>-0.82</v>
      </c>
      <c r="DC32" s="228">
        <v>25.73</v>
      </c>
      <c r="DD32" s="228">
        <v>25.78</v>
      </c>
      <c r="DE32" s="228">
        <v>-6.83</v>
      </c>
      <c r="DF32" s="228">
        <v>-0.05</v>
      </c>
      <c r="DG32" s="228">
        <v>18.600000000000001</v>
      </c>
      <c r="DH32" s="228">
        <v>19.600000000000001</v>
      </c>
      <c r="DI32" s="228">
        <v>-1</v>
      </c>
      <c r="DJ32" s="228">
        <v>-1</v>
      </c>
      <c r="DK32" s="228">
        <v>19.47</v>
      </c>
      <c r="DL32" s="228">
        <v>19.88</v>
      </c>
      <c r="DM32" s="228">
        <v>-0.41</v>
      </c>
      <c r="DN32" s="228">
        <v>-0.41</v>
      </c>
      <c r="DO32" s="228">
        <v>0.57999999999999996</v>
      </c>
      <c r="DP32" s="228">
        <v>0.55000000000000004</v>
      </c>
      <c r="DQ32" s="228">
        <v>0.03</v>
      </c>
      <c r="DR32" s="229">
        <v>5.45E-2</v>
      </c>
      <c r="DS32" s="231">
        <v>17000</v>
      </c>
      <c r="DT32" s="231">
        <v>15000</v>
      </c>
      <c r="DU32" s="228">
        <v>0.54</v>
      </c>
      <c r="DV32" s="228">
        <v>0.69</v>
      </c>
      <c r="DW32" s="228">
        <v>-0.15</v>
      </c>
      <c r="DX32" s="229">
        <v>-0.21740000000000001</v>
      </c>
      <c r="DY32" s="229">
        <v>5.5599999999999997E-2</v>
      </c>
      <c r="DZ32" s="230">
        <v>131300</v>
      </c>
      <c r="EA32" s="229">
        <v>5.5999999999999999E-3</v>
      </c>
      <c r="EB32" s="229">
        <v>5.5599999999999997E-2</v>
      </c>
      <c r="EC32" s="228">
        <v>95.29</v>
      </c>
      <c r="ED32" s="229">
        <v>5.7999999999999996E-3</v>
      </c>
      <c r="EE32" s="230">
        <v>170211</v>
      </c>
      <c r="EF32" s="230">
        <v>166692</v>
      </c>
      <c r="EG32" s="229">
        <v>2.1100000000000001E-2</v>
      </c>
      <c r="EH32" s="229">
        <v>0.58399999999999996</v>
      </c>
      <c r="EI32" s="231">
        <v>437261.39</v>
      </c>
      <c r="EJ32" s="231">
        <v>226651.51</v>
      </c>
      <c r="EK32" s="231">
        <v>61086.66</v>
      </c>
      <c r="EL32" s="231">
        <v>11328</v>
      </c>
      <c r="EM32" s="231">
        <v>724999.56</v>
      </c>
      <c r="EN32" s="231">
        <v>910799.86</v>
      </c>
      <c r="EO32" s="231">
        <v>-185800.3</v>
      </c>
      <c r="EP32" s="229">
        <v>-0.20399999999999999</v>
      </c>
      <c r="EQ32" s="231">
        <v>511951</v>
      </c>
      <c r="ER32" s="231">
        <v>274750</v>
      </c>
      <c r="ES32" s="231">
        <v>461459</v>
      </c>
      <c r="ET32" s="231">
        <v>16752897</v>
      </c>
      <c r="EU32" s="231">
        <v>1248160</v>
      </c>
      <c r="EV32" s="231">
        <v>1260935</v>
      </c>
      <c r="EW32" s="231">
        <v>-12775</v>
      </c>
      <c r="EX32" s="229">
        <v>-1.01E-2</v>
      </c>
      <c r="EY32" s="229">
        <v>0.4572</v>
      </c>
    </row>
    <row r="33" spans="1:155" ht="17.25" thickBot="1" x14ac:dyDescent="0.3">
      <c r="A33" s="226">
        <v>45946</v>
      </c>
      <c r="B33" s="227" t="s">
        <v>170</v>
      </c>
      <c r="C33" s="227" t="s">
        <v>603</v>
      </c>
      <c r="D33" s="231">
        <v>1178.7</v>
      </c>
      <c r="E33" s="231">
        <v>1159.3</v>
      </c>
      <c r="F33" s="228">
        <v>19.399999999999999</v>
      </c>
      <c r="G33" s="229">
        <v>1.67E-2</v>
      </c>
      <c r="H33" s="231">
        <v>1175.3</v>
      </c>
      <c r="I33" s="231">
        <v>1155.8</v>
      </c>
      <c r="J33" s="228">
        <v>19.5</v>
      </c>
      <c r="K33" s="229">
        <v>1.6899999999999998E-2</v>
      </c>
      <c r="L33" s="231">
        <v>1178.7</v>
      </c>
      <c r="M33" s="231">
        <v>1159.3</v>
      </c>
      <c r="N33" s="228">
        <v>19.399999999999999</v>
      </c>
      <c r="O33" s="229">
        <v>1.67E-2</v>
      </c>
      <c r="P33" s="231">
        <v>1185.3</v>
      </c>
      <c r="Q33" s="231">
        <v>1166</v>
      </c>
      <c r="R33" s="228">
        <v>19.3</v>
      </c>
      <c r="S33" s="229">
        <v>1.66E-2</v>
      </c>
      <c r="T33" s="231">
        <v>1192.2</v>
      </c>
      <c r="U33" s="231">
        <v>1173</v>
      </c>
      <c r="V33" s="228">
        <v>19.2</v>
      </c>
      <c r="W33" s="229">
        <v>1.6400000000000001E-2</v>
      </c>
      <c r="X33" s="228">
        <v>3.4</v>
      </c>
      <c r="Y33" s="228">
        <v>3.5</v>
      </c>
      <c r="Z33" s="228">
        <v>-0.1</v>
      </c>
      <c r="AA33" s="229">
        <v>2.8999999999999998E-3</v>
      </c>
      <c r="AB33" s="228">
        <v>3.4</v>
      </c>
      <c r="AC33" s="228">
        <v>3.5</v>
      </c>
      <c r="AD33" s="228">
        <v>-0.1</v>
      </c>
      <c r="AE33" s="229">
        <v>2.8999999999999998E-3</v>
      </c>
      <c r="AF33" s="228">
        <v>10</v>
      </c>
      <c r="AG33" s="228">
        <v>10.199999999999999</v>
      </c>
      <c r="AH33" s="228">
        <v>-0.2</v>
      </c>
      <c r="AI33" s="229">
        <v>8.5000000000000006E-3</v>
      </c>
      <c r="AJ33" s="228">
        <v>16.899999999999999</v>
      </c>
      <c r="AK33" s="228">
        <v>17.2</v>
      </c>
      <c r="AL33" s="228">
        <v>-0.3</v>
      </c>
      <c r="AM33" s="229">
        <v>1.44E-2</v>
      </c>
      <c r="AN33" s="231">
        <v>1171.8800000000001</v>
      </c>
      <c r="AO33" s="231">
        <v>1179.1199999999999</v>
      </c>
      <c r="AP33" s="228">
        <v>0</v>
      </c>
      <c r="AQ33" s="230">
        <v>3829</v>
      </c>
      <c r="AR33" s="230">
        <v>2964</v>
      </c>
      <c r="AS33" s="228">
        <v>865</v>
      </c>
      <c r="AT33" s="229">
        <v>0.2918</v>
      </c>
      <c r="AU33" s="230">
        <v>3551</v>
      </c>
      <c r="AV33" s="230">
        <v>2644</v>
      </c>
      <c r="AW33" s="228">
        <v>907</v>
      </c>
      <c r="AX33" s="229">
        <v>0.34300000000000003</v>
      </c>
      <c r="AY33" s="228">
        <v>270</v>
      </c>
      <c r="AZ33" s="228">
        <v>308</v>
      </c>
      <c r="BA33" s="228">
        <v>-38</v>
      </c>
      <c r="BB33" s="229">
        <v>-0.1234</v>
      </c>
      <c r="BC33" s="228">
        <v>8</v>
      </c>
      <c r="BD33" s="228">
        <v>12</v>
      </c>
      <c r="BE33" s="228">
        <v>-4</v>
      </c>
      <c r="BF33" s="229">
        <v>-0.33329999999999999</v>
      </c>
      <c r="BG33" s="230">
        <v>11354</v>
      </c>
      <c r="BH33" s="230">
        <v>8536</v>
      </c>
      <c r="BI33" s="230">
        <v>2818</v>
      </c>
      <c r="BJ33" s="229">
        <v>0.3301</v>
      </c>
      <c r="BK33" s="230">
        <v>3929</v>
      </c>
      <c r="BL33" s="230">
        <v>4543</v>
      </c>
      <c r="BM33" s="228">
        <v>-614</v>
      </c>
      <c r="BN33" s="229">
        <v>-0.13519999999999999</v>
      </c>
      <c r="BO33" s="230">
        <v>19112</v>
      </c>
      <c r="BP33" s="230">
        <v>16043</v>
      </c>
      <c r="BQ33" s="230">
        <v>3069</v>
      </c>
      <c r="BR33" s="229">
        <v>0.1913</v>
      </c>
      <c r="BS33" s="230">
        <v>2399211</v>
      </c>
      <c r="BT33" s="230">
        <v>1816746</v>
      </c>
      <c r="BU33" s="230">
        <v>582465</v>
      </c>
      <c r="BV33" s="229">
        <v>0.3206</v>
      </c>
      <c r="BW33" s="230">
        <v>16456650</v>
      </c>
      <c r="BX33" s="230">
        <v>16507575</v>
      </c>
      <c r="BY33" s="230">
        <v>-50925</v>
      </c>
      <c r="BZ33" s="229">
        <v>-3.0999999999999999E-3</v>
      </c>
      <c r="CA33" s="230">
        <v>16015650</v>
      </c>
      <c r="CB33" s="230">
        <v>16100175</v>
      </c>
      <c r="CC33" s="230">
        <v>-84525</v>
      </c>
      <c r="CD33" s="229">
        <v>-5.1999999999999998E-3</v>
      </c>
      <c r="CE33" s="230">
        <v>401100</v>
      </c>
      <c r="CF33" s="230">
        <v>367500</v>
      </c>
      <c r="CG33" s="230">
        <v>33600</v>
      </c>
      <c r="CH33" s="229">
        <v>9.1399999999999995E-2</v>
      </c>
      <c r="CI33" s="230">
        <v>39900</v>
      </c>
      <c r="CJ33" s="230">
        <v>39900</v>
      </c>
      <c r="CK33" s="228">
        <v>0</v>
      </c>
      <c r="CL33" s="229">
        <v>0</v>
      </c>
      <c r="CM33" s="230">
        <v>4208925</v>
      </c>
      <c r="CN33" s="230">
        <v>3971100</v>
      </c>
      <c r="CO33" s="230">
        <v>237825</v>
      </c>
      <c r="CP33" s="229">
        <v>5.9900000000000002E-2</v>
      </c>
      <c r="CQ33" s="230">
        <v>2842875</v>
      </c>
      <c r="CR33" s="230">
        <v>2767275</v>
      </c>
      <c r="CS33" s="230">
        <v>75600</v>
      </c>
      <c r="CT33" s="229">
        <v>2.7300000000000001E-2</v>
      </c>
      <c r="CU33" s="230">
        <v>23508450</v>
      </c>
      <c r="CV33" s="230">
        <v>23245950</v>
      </c>
      <c r="CW33" s="230">
        <v>262500</v>
      </c>
      <c r="CX33" s="229">
        <v>1.1299999999999999E-2</v>
      </c>
      <c r="CY33" s="228">
        <v>28.27</v>
      </c>
      <c r="CZ33" s="228">
        <v>28.04</v>
      </c>
      <c r="DA33" s="228">
        <v>0.23</v>
      </c>
      <c r="DB33" s="228">
        <v>0.23</v>
      </c>
      <c r="DC33" s="228">
        <v>41.16</v>
      </c>
      <c r="DD33" s="228">
        <v>41.2</v>
      </c>
      <c r="DE33" s="228">
        <v>-12.89</v>
      </c>
      <c r="DF33" s="228">
        <v>-0.04</v>
      </c>
      <c r="DG33" s="228">
        <v>27.92</v>
      </c>
      <c r="DH33" s="228">
        <v>27.81</v>
      </c>
      <c r="DI33" s="228">
        <v>0.11</v>
      </c>
      <c r="DJ33" s="228">
        <v>0.11</v>
      </c>
      <c r="DK33" s="228">
        <v>29.3</v>
      </c>
      <c r="DL33" s="228">
        <v>28.48</v>
      </c>
      <c r="DM33" s="228">
        <v>0.82</v>
      </c>
      <c r="DN33" s="228">
        <v>0.82</v>
      </c>
      <c r="DO33" s="228">
        <v>0.68</v>
      </c>
      <c r="DP33" s="228">
        <v>0.7</v>
      </c>
      <c r="DQ33" s="228">
        <v>-0.02</v>
      </c>
      <c r="DR33" s="229">
        <v>-2.86E-2</v>
      </c>
      <c r="DS33" s="231">
        <v>1200</v>
      </c>
      <c r="DT33" s="231">
        <v>1060</v>
      </c>
      <c r="DU33" s="228">
        <v>0.35</v>
      </c>
      <c r="DV33" s="228">
        <v>0.53</v>
      </c>
      <c r="DW33" s="228">
        <v>-0.18</v>
      </c>
      <c r="DX33" s="229">
        <v>-0.33960000000000001</v>
      </c>
      <c r="DY33" s="229">
        <v>2.6800000000000001E-2</v>
      </c>
      <c r="DZ33" s="230">
        <v>407400</v>
      </c>
      <c r="EA33" s="229">
        <v>5.5999999999999999E-3</v>
      </c>
      <c r="EB33" s="229">
        <v>2.6800000000000001E-2</v>
      </c>
      <c r="EC33" s="228">
        <v>7.24</v>
      </c>
      <c r="ED33" s="229">
        <v>6.1999999999999998E-3</v>
      </c>
      <c r="EE33" s="230">
        <v>1651141</v>
      </c>
      <c r="EF33" s="230">
        <v>1171648</v>
      </c>
      <c r="EG33" s="229">
        <v>0.40920000000000001</v>
      </c>
      <c r="EH33" s="229">
        <v>0.68820000000000003</v>
      </c>
      <c r="EI33" s="231">
        <v>72201.16</v>
      </c>
      <c r="EJ33" s="231">
        <v>23449.78</v>
      </c>
      <c r="EK33" s="231">
        <v>23568.31</v>
      </c>
      <c r="EL33" s="231">
        <v>3421</v>
      </c>
      <c r="EM33" s="231">
        <v>119219.25</v>
      </c>
      <c r="EN33" s="231">
        <v>99328.06</v>
      </c>
      <c r="EO33" s="231">
        <v>19891.189999999999</v>
      </c>
      <c r="EP33" s="229">
        <v>0.20030000000000001</v>
      </c>
      <c r="EQ33" s="231">
        <v>50237</v>
      </c>
      <c r="ER33" s="231">
        <v>31890</v>
      </c>
      <c r="ES33" s="231">
        <v>194006</v>
      </c>
      <c r="ET33" s="231">
        <v>97211768</v>
      </c>
      <c r="EU33" s="231">
        <v>276133</v>
      </c>
      <c r="EV33" s="231">
        <v>269608</v>
      </c>
      <c r="EW33" s="231">
        <v>6525</v>
      </c>
      <c r="EX33" s="229">
        <v>2.4199999999999999E-2</v>
      </c>
      <c r="EY33" s="229">
        <v>0.24179999999999999</v>
      </c>
    </row>
    <row r="34" spans="1:155" ht="17.25" thickBot="1" x14ac:dyDescent="0.3">
      <c r="A34" s="226">
        <v>45946</v>
      </c>
      <c r="B34" s="227" t="s">
        <v>168</v>
      </c>
      <c r="C34" s="227" t="s">
        <v>265</v>
      </c>
      <c r="D34" s="231">
        <v>1282</v>
      </c>
      <c r="E34" s="231">
        <v>1226.5999999999999</v>
      </c>
      <c r="F34" s="228">
        <v>55.4</v>
      </c>
      <c r="G34" s="229">
        <v>4.5199999999999997E-2</v>
      </c>
      <c r="H34" s="231">
        <v>1276.5999999999999</v>
      </c>
      <c r="I34" s="231">
        <v>1221.4000000000001</v>
      </c>
      <c r="J34" s="228">
        <v>55.2</v>
      </c>
      <c r="K34" s="229">
        <v>4.5199999999999997E-2</v>
      </c>
      <c r="L34" s="231">
        <v>1282</v>
      </c>
      <c r="M34" s="231">
        <v>1226.5999999999999</v>
      </c>
      <c r="N34" s="228">
        <v>55.4</v>
      </c>
      <c r="O34" s="229">
        <v>4.5199999999999997E-2</v>
      </c>
      <c r="P34" s="231">
        <v>1288.8</v>
      </c>
      <c r="Q34" s="231">
        <v>1232.9000000000001</v>
      </c>
      <c r="R34" s="228">
        <v>55.9</v>
      </c>
      <c r="S34" s="229">
        <v>4.53E-2</v>
      </c>
      <c r="T34" s="231">
        <v>1295.2</v>
      </c>
      <c r="U34" s="231">
        <v>1240</v>
      </c>
      <c r="V34" s="228">
        <v>55.2</v>
      </c>
      <c r="W34" s="229">
        <v>4.4499999999999998E-2</v>
      </c>
      <c r="X34" s="228">
        <v>5.4</v>
      </c>
      <c r="Y34" s="228">
        <v>5.2</v>
      </c>
      <c r="Z34" s="228">
        <v>0.2</v>
      </c>
      <c r="AA34" s="229">
        <v>4.1999999999999997E-3</v>
      </c>
      <c r="AB34" s="228">
        <v>5.4</v>
      </c>
      <c r="AC34" s="228">
        <v>5.2</v>
      </c>
      <c r="AD34" s="228">
        <v>0.2</v>
      </c>
      <c r="AE34" s="229">
        <v>4.1999999999999997E-3</v>
      </c>
      <c r="AF34" s="228">
        <v>12.2</v>
      </c>
      <c r="AG34" s="228">
        <v>11.5</v>
      </c>
      <c r="AH34" s="228">
        <v>0.7</v>
      </c>
      <c r="AI34" s="229">
        <v>9.5999999999999992E-3</v>
      </c>
      <c r="AJ34" s="228">
        <v>18.600000000000001</v>
      </c>
      <c r="AK34" s="228">
        <v>18.600000000000001</v>
      </c>
      <c r="AL34" s="228">
        <v>0</v>
      </c>
      <c r="AM34" s="229">
        <v>1.46E-2</v>
      </c>
      <c r="AN34" s="231">
        <v>1266</v>
      </c>
      <c r="AO34" s="231">
        <v>1273.1400000000001</v>
      </c>
      <c r="AP34" s="228">
        <v>0</v>
      </c>
      <c r="AQ34" s="230">
        <v>29206</v>
      </c>
      <c r="AR34" s="230">
        <v>13358</v>
      </c>
      <c r="AS34" s="230">
        <v>15848</v>
      </c>
      <c r="AT34" s="229">
        <v>1.1863999999999999</v>
      </c>
      <c r="AU34" s="230">
        <v>25503</v>
      </c>
      <c r="AV34" s="230">
        <v>9916</v>
      </c>
      <c r="AW34" s="230">
        <v>15587</v>
      </c>
      <c r="AX34" s="229">
        <v>1.5719000000000001</v>
      </c>
      <c r="AY34" s="230">
        <v>3560</v>
      </c>
      <c r="AZ34" s="230">
        <v>3413</v>
      </c>
      <c r="BA34" s="228">
        <v>147</v>
      </c>
      <c r="BB34" s="229">
        <v>4.3099999999999999E-2</v>
      </c>
      <c r="BC34" s="228">
        <v>143</v>
      </c>
      <c r="BD34" s="228">
        <v>29</v>
      </c>
      <c r="BE34" s="228">
        <v>114</v>
      </c>
      <c r="BF34" s="229">
        <v>3.931</v>
      </c>
      <c r="BG34" s="230">
        <v>144143</v>
      </c>
      <c r="BH34" s="230">
        <v>37283</v>
      </c>
      <c r="BI34" s="230">
        <v>106860</v>
      </c>
      <c r="BJ34" s="229">
        <v>2.8662000000000001</v>
      </c>
      <c r="BK34" s="230">
        <v>99874</v>
      </c>
      <c r="BL34" s="230">
        <v>17945</v>
      </c>
      <c r="BM34" s="230">
        <v>81929</v>
      </c>
      <c r="BN34" s="229">
        <v>4.5655999999999999</v>
      </c>
      <c r="BO34" s="230">
        <v>273223</v>
      </c>
      <c r="BP34" s="230">
        <v>68586</v>
      </c>
      <c r="BQ34" s="230">
        <v>204637</v>
      </c>
      <c r="BR34" s="229">
        <v>2.9836999999999998</v>
      </c>
      <c r="BS34" s="230">
        <v>7325053</v>
      </c>
      <c r="BT34" s="230">
        <v>2360473</v>
      </c>
      <c r="BU34" s="230">
        <v>4964580</v>
      </c>
      <c r="BV34" s="229">
        <v>2.1032000000000002</v>
      </c>
      <c r="BW34" s="230">
        <v>20317500</v>
      </c>
      <c r="BX34" s="230">
        <v>20002500</v>
      </c>
      <c r="BY34" s="230">
        <v>315000</v>
      </c>
      <c r="BZ34" s="229">
        <v>1.5699999999999999E-2</v>
      </c>
      <c r="CA34" s="230">
        <v>18331000</v>
      </c>
      <c r="CB34" s="230">
        <v>18349000</v>
      </c>
      <c r="CC34" s="230">
        <v>-18000</v>
      </c>
      <c r="CD34" s="229">
        <v>-1E-3</v>
      </c>
      <c r="CE34" s="230">
        <v>1939000</v>
      </c>
      <c r="CF34" s="230">
        <v>1621500</v>
      </c>
      <c r="CG34" s="230">
        <v>317500</v>
      </c>
      <c r="CH34" s="229">
        <v>0.1958</v>
      </c>
      <c r="CI34" s="230">
        <v>47500</v>
      </c>
      <c r="CJ34" s="230">
        <v>32000</v>
      </c>
      <c r="CK34" s="230">
        <v>15500</v>
      </c>
      <c r="CL34" s="229">
        <v>0.4844</v>
      </c>
      <c r="CM34" s="230">
        <v>8974500</v>
      </c>
      <c r="CN34" s="230">
        <v>5087000</v>
      </c>
      <c r="CO34" s="230">
        <v>3887500</v>
      </c>
      <c r="CP34" s="229">
        <v>0.76419999999999999</v>
      </c>
      <c r="CQ34" s="230">
        <v>9150500</v>
      </c>
      <c r="CR34" s="230">
        <v>3884000</v>
      </c>
      <c r="CS34" s="230">
        <v>5266500</v>
      </c>
      <c r="CT34" s="229">
        <v>1.3559000000000001</v>
      </c>
      <c r="CU34" s="230">
        <v>38442500</v>
      </c>
      <c r="CV34" s="230">
        <v>28973500</v>
      </c>
      <c r="CW34" s="230">
        <v>9469000</v>
      </c>
      <c r="CX34" s="229">
        <v>0.32679999999999998</v>
      </c>
      <c r="CY34" s="228">
        <v>23.28</v>
      </c>
      <c r="CZ34" s="228">
        <v>24.29</v>
      </c>
      <c r="DA34" s="228">
        <v>-1.01</v>
      </c>
      <c r="DB34" s="228">
        <v>-1.01</v>
      </c>
      <c r="DC34" s="228">
        <v>24.56</v>
      </c>
      <c r="DD34" s="228">
        <v>23.88</v>
      </c>
      <c r="DE34" s="228">
        <v>-1.28</v>
      </c>
      <c r="DF34" s="228">
        <v>0.68</v>
      </c>
      <c r="DG34" s="228">
        <v>22.17</v>
      </c>
      <c r="DH34" s="228">
        <v>23.81</v>
      </c>
      <c r="DI34" s="228">
        <v>-1.64</v>
      </c>
      <c r="DJ34" s="228">
        <v>-1.64</v>
      </c>
      <c r="DK34" s="228">
        <v>24.88</v>
      </c>
      <c r="DL34" s="228">
        <v>25.27</v>
      </c>
      <c r="DM34" s="228">
        <v>-0.39</v>
      </c>
      <c r="DN34" s="228">
        <v>-0.39</v>
      </c>
      <c r="DO34" s="228">
        <v>1.02</v>
      </c>
      <c r="DP34" s="228">
        <v>0.76</v>
      </c>
      <c r="DQ34" s="228">
        <v>0.26</v>
      </c>
      <c r="DR34" s="229">
        <v>0.34210000000000002</v>
      </c>
      <c r="DS34" s="231">
        <v>1300</v>
      </c>
      <c r="DT34" s="231">
        <v>1200</v>
      </c>
      <c r="DU34" s="228">
        <v>0.69</v>
      </c>
      <c r="DV34" s="228">
        <v>0.48</v>
      </c>
      <c r="DW34" s="228">
        <v>0.21</v>
      </c>
      <c r="DX34" s="229">
        <v>0.4375</v>
      </c>
      <c r="DY34" s="229">
        <v>9.7799999999999998E-2</v>
      </c>
      <c r="DZ34" s="230">
        <v>1653500</v>
      </c>
      <c r="EA34" s="229">
        <v>5.3E-3</v>
      </c>
      <c r="EB34" s="229">
        <v>9.7799999999999998E-2</v>
      </c>
      <c r="EC34" s="228">
        <v>7.14</v>
      </c>
      <c r="ED34" s="229">
        <v>5.5999999999999999E-3</v>
      </c>
      <c r="EE34" s="230">
        <v>2806940</v>
      </c>
      <c r="EF34" s="230">
        <v>977844</v>
      </c>
      <c r="EG34" s="229">
        <v>1.8705000000000001</v>
      </c>
      <c r="EH34" s="229">
        <v>0.38319999999999999</v>
      </c>
      <c r="EI34" s="231">
        <v>935790.71</v>
      </c>
      <c r="EJ34" s="231">
        <v>616190.63</v>
      </c>
      <c r="EK34" s="231">
        <v>185011.42</v>
      </c>
      <c r="EL34" s="231">
        <v>5447</v>
      </c>
      <c r="EM34" s="231">
        <v>1736992.76</v>
      </c>
      <c r="EN34" s="231">
        <v>421427.01</v>
      </c>
      <c r="EO34" s="231">
        <v>1315565.75</v>
      </c>
      <c r="EP34" s="229">
        <v>3.1217000000000001</v>
      </c>
      <c r="EQ34" s="231">
        <v>113689</v>
      </c>
      <c r="ER34" s="231">
        <v>110979</v>
      </c>
      <c r="ES34" s="231">
        <v>260608</v>
      </c>
      <c r="ET34" s="231">
        <v>71801274</v>
      </c>
      <c r="EU34" s="231">
        <v>485277</v>
      </c>
      <c r="EV34" s="231">
        <v>353129</v>
      </c>
      <c r="EW34" s="231">
        <v>132148</v>
      </c>
      <c r="EX34" s="229">
        <v>0.37419999999999998</v>
      </c>
      <c r="EY34" s="229">
        <v>0.53539999999999999</v>
      </c>
    </row>
    <row r="35" spans="1:155" ht="17.25" thickBot="1" x14ac:dyDescent="0.3">
      <c r="A35" s="226">
        <v>45946</v>
      </c>
      <c r="B35" s="227" t="s">
        <v>161</v>
      </c>
      <c r="C35" s="227" t="s">
        <v>268</v>
      </c>
      <c r="D35" s="228">
        <v>342.5</v>
      </c>
      <c r="E35" s="228">
        <v>340.6</v>
      </c>
      <c r="F35" s="228">
        <v>1.9</v>
      </c>
      <c r="G35" s="229">
        <v>5.5999999999999999E-3</v>
      </c>
      <c r="H35" s="228">
        <v>341.5</v>
      </c>
      <c r="I35" s="228">
        <v>339.25</v>
      </c>
      <c r="J35" s="228">
        <v>2.25</v>
      </c>
      <c r="K35" s="229">
        <v>6.6E-3</v>
      </c>
      <c r="L35" s="228">
        <v>342.5</v>
      </c>
      <c r="M35" s="228">
        <v>340.6</v>
      </c>
      <c r="N35" s="228">
        <v>1.9</v>
      </c>
      <c r="O35" s="229">
        <v>5.5999999999999999E-3</v>
      </c>
      <c r="P35" s="228">
        <v>342.1</v>
      </c>
      <c r="Q35" s="228">
        <v>340.05</v>
      </c>
      <c r="R35" s="228">
        <v>2.0499999999999998</v>
      </c>
      <c r="S35" s="229">
        <v>6.0000000000000001E-3</v>
      </c>
      <c r="T35" s="228">
        <v>344.4</v>
      </c>
      <c r="U35" s="228">
        <v>342.4</v>
      </c>
      <c r="V35" s="228">
        <v>2</v>
      </c>
      <c r="W35" s="229">
        <v>5.7999999999999996E-3</v>
      </c>
      <c r="X35" s="228">
        <v>1</v>
      </c>
      <c r="Y35" s="228">
        <v>1.35</v>
      </c>
      <c r="Z35" s="228">
        <v>-0.35</v>
      </c>
      <c r="AA35" s="229">
        <v>2.8999999999999998E-3</v>
      </c>
      <c r="AB35" s="228">
        <v>1</v>
      </c>
      <c r="AC35" s="228">
        <v>1.35</v>
      </c>
      <c r="AD35" s="228">
        <v>-0.35</v>
      </c>
      <c r="AE35" s="229">
        <v>2.8999999999999998E-3</v>
      </c>
      <c r="AF35" s="228">
        <v>0.6</v>
      </c>
      <c r="AG35" s="228">
        <v>0.8</v>
      </c>
      <c r="AH35" s="228">
        <v>-0.2</v>
      </c>
      <c r="AI35" s="229">
        <v>1.8E-3</v>
      </c>
      <c r="AJ35" s="228">
        <v>2.9</v>
      </c>
      <c r="AK35" s="228">
        <v>3.15</v>
      </c>
      <c r="AL35" s="228">
        <v>-0.25</v>
      </c>
      <c r="AM35" s="229">
        <v>8.5000000000000006E-3</v>
      </c>
      <c r="AN35" s="228">
        <v>342.17</v>
      </c>
      <c r="AO35" s="228">
        <v>341.83</v>
      </c>
      <c r="AP35" s="228">
        <v>0</v>
      </c>
      <c r="AQ35" s="230">
        <v>5523</v>
      </c>
      <c r="AR35" s="230">
        <v>5888</v>
      </c>
      <c r="AS35" s="228">
        <v>-365</v>
      </c>
      <c r="AT35" s="229">
        <v>-6.2E-2</v>
      </c>
      <c r="AU35" s="230">
        <v>4769</v>
      </c>
      <c r="AV35" s="230">
        <v>4897</v>
      </c>
      <c r="AW35" s="228">
        <v>-128</v>
      </c>
      <c r="AX35" s="229">
        <v>-2.6100000000000002E-2</v>
      </c>
      <c r="AY35" s="228">
        <v>706</v>
      </c>
      <c r="AZ35" s="228">
        <v>938</v>
      </c>
      <c r="BA35" s="228">
        <v>-232</v>
      </c>
      <c r="BB35" s="229">
        <v>-0.24729999999999999</v>
      </c>
      <c r="BC35" s="228">
        <v>48</v>
      </c>
      <c r="BD35" s="228">
        <v>53</v>
      </c>
      <c r="BE35" s="228">
        <v>-5</v>
      </c>
      <c r="BF35" s="229">
        <v>-9.4299999999999995E-2</v>
      </c>
      <c r="BG35" s="230">
        <v>22098</v>
      </c>
      <c r="BH35" s="230">
        <v>32947</v>
      </c>
      <c r="BI35" s="230">
        <v>-10849</v>
      </c>
      <c r="BJ35" s="229">
        <v>-0.32929999999999998</v>
      </c>
      <c r="BK35" s="230">
        <v>10682</v>
      </c>
      <c r="BL35" s="230">
        <v>17780</v>
      </c>
      <c r="BM35" s="230">
        <v>-7098</v>
      </c>
      <c r="BN35" s="229">
        <v>-0.3992</v>
      </c>
      <c r="BO35" s="230">
        <v>38303</v>
      </c>
      <c r="BP35" s="230">
        <v>56615</v>
      </c>
      <c r="BQ35" s="230">
        <v>-18312</v>
      </c>
      <c r="BR35" s="229">
        <v>-0.32340000000000002</v>
      </c>
      <c r="BS35" s="230">
        <v>7458020</v>
      </c>
      <c r="BT35" s="230">
        <v>8454918</v>
      </c>
      <c r="BU35" s="230">
        <v>-996898</v>
      </c>
      <c r="BV35" s="229">
        <v>-0.1179</v>
      </c>
      <c r="BW35" s="230">
        <v>98425500</v>
      </c>
      <c r="BX35" s="230">
        <v>98278500</v>
      </c>
      <c r="BY35" s="230">
        <v>147000</v>
      </c>
      <c r="BZ35" s="229">
        <v>1.5E-3</v>
      </c>
      <c r="CA35" s="230">
        <v>91782000</v>
      </c>
      <c r="CB35" s="230">
        <v>92032500</v>
      </c>
      <c r="CC35" s="230">
        <v>-250500</v>
      </c>
      <c r="CD35" s="229">
        <v>-2.7000000000000001E-3</v>
      </c>
      <c r="CE35" s="230">
        <v>6207000</v>
      </c>
      <c r="CF35" s="230">
        <v>5811000</v>
      </c>
      <c r="CG35" s="230">
        <v>396000</v>
      </c>
      <c r="CH35" s="229">
        <v>6.8099999999999994E-2</v>
      </c>
      <c r="CI35" s="230">
        <v>436500</v>
      </c>
      <c r="CJ35" s="230">
        <v>435000</v>
      </c>
      <c r="CK35" s="230">
        <v>1500</v>
      </c>
      <c r="CL35" s="229">
        <v>3.3999999999999998E-3</v>
      </c>
      <c r="CM35" s="230">
        <v>44421000</v>
      </c>
      <c r="CN35" s="230">
        <v>45393000</v>
      </c>
      <c r="CO35" s="230">
        <v>-972000</v>
      </c>
      <c r="CP35" s="229">
        <v>-2.1399999999999999E-2</v>
      </c>
      <c r="CQ35" s="230">
        <v>18391500</v>
      </c>
      <c r="CR35" s="230">
        <v>17395500</v>
      </c>
      <c r="CS35" s="230">
        <v>996000</v>
      </c>
      <c r="CT35" s="229">
        <v>5.7299999999999997E-2</v>
      </c>
      <c r="CU35" s="230">
        <v>161238000</v>
      </c>
      <c r="CV35" s="230">
        <v>161067000</v>
      </c>
      <c r="CW35" s="230">
        <v>171000</v>
      </c>
      <c r="CX35" s="229">
        <v>1.1000000000000001E-3</v>
      </c>
      <c r="CY35" s="228">
        <v>15.96</v>
      </c>
      <c r="CZ35" s="228">
        <v>16.34</v>
      </c>
      <c r="DA35" s="228">
        <v>-0.38</v>
      </c>
      <c r="DB35" s="228">
        <v>-0.38</v>
      </c>
      <c r="DC35" s="228">
        <v>28.72</v>
      </c>
      <c r="DD35" s="228">
        <v>28.77</v>
      </c>
      <c r="DE35" s="228">
        <v>-12.76</v>
      </c>
      <c r="DF35" s="228">
        <v>-0.05</v>
      </c>
      <c r="DG35" s="228">
        <v>15.6</v>
      </c>
      <c r="DH35" s="228">
        <v>16.02</v>
      </c>
      <c r="DI35" s="228">
        <v>-0.42</v>
      </c>
      <c r="DJ35" s="228">
        <v>-0.42</v>
      </c>
      <c r="DK35" s="228">
        <v>16.7</v>
      </c>
      <c r="DL35" s="228">
        <v>16.93</v>
      </c>
      <c r="DM35" s="228">
        <v>-0.23</v>
      </c>
      <c r="DN35" s="228">
        <v>-0.23</v>
      </c>
      <c r="DO35" s="228">
        <v>0.41</v>
      </c>
      <c r="DP35" s="228">
        <v>0.38</v>
      </c>
      <c r="DQ35" s="228">
        <v>0.03</v>
      </c>
      <c r="DR35" s="229">
        <v>7.8899999999999998E-2</v>
      </c>
      <c r="DS35" s="228">
        <v>345</v>
      </c>
      <c r="DT35" s="228">
        <v>340</v>
      </c>
      <c r="DU35" s="228">
        <v>0.48</v>
      </c>
      <c r="DV35" s="228">
        <v>0.54</v>
      </c>
      <c r="DW35" s="228">
        <v>-0.06</v>
      </c>
      <c r="DX35" s="229">
        <v>-0.1111</v>
      </c>
      <c r="DY35" s="229">
        <v>6.7500000000000004E-2</v>
      </c>
      <c r="DZ35" s="230">
        <v>6246000</v>
      </c>
      <c r="EA35" s="229">
        <v>-1.1999999999999999E-3</v>
      </c>
      <c r="EB35" s="229">
        <v>6.7500000000000004E-2</v>
      </c>
      <c r="EC35" s="228">
        <v>-0.34</v>
      </c>
      <c r="ED35" s="229">
        <v>-1E-3</v>
      </c>
      <c r="EE35" s="230">
        <v>4570790</v>
      </c>
      <c r="EF35" s="230">
        <v>5935692</v>
      </c>
      <c r="EG35" s="229">
        <v>-0.22989999999999999</v>
      </c>
      <c r="EH35" s="229">
        <v>0.6129</v>
      </c>
      <c r="EI35" s="231">
        <v>115856.19</v>
      </c>
      <c r="EJ35" s="231">
        <v>54821.27</v>
      </c>
      <c r="EK35" s="231">
        <v>28344.6</v>
      </c>
      <c r="EL35" s="231">
        <v>5784</v>
      </c>
      <c r="EM35" s="231">
        <v>199022.06</v>
      </c>
      <c r="EN35" s="231">
        <v>293126.26</v>
      </c>
      <c r="EO35" s="231">
        <v>-94104.2</v>
      </c>
      <c r="EP35" s="229">
        <v>-0.32100000000000001</v>
      </c>
      <c r="EQ35" s="231">
        <v>155888</v>
      </c>
      <c r="ER35" s="231">
        <v>62108</v>
      </c>
      <c r="ES35" s="231">
        <v>337091</v>
      </c>
      <c r="ET35" s="231">
        <v>572782298</v>
      </c>
      <c r="EU35" s="231">
        <v>555087</v>
      </c>
      <c r="EV35" s="231">
        <v>552725</v>
      </c>
      <c r="EW35" s="231">
        <v>2362</v>
      </c>
      <c r="EX35" s="229">
        <v>4.3E-3</v>
      </c>
      <c r="EY35" s="229">
        <v>0.28149999999999997</v>
      </c>
    </row>
    <row r="36" spans="1:155" ht="17.25" thickBot="1" x14ac:dyDescent="0.3">
      <c r="A36" s="226">
        <v>45946</v>
      </c>
      <c r="B36" s="227" t="s">
        <v>193</v>
      </c>
      <c r="C36" s="227" t="s">
        <v>269</v>
      </c>
      <c r="D36" s="228">
        <v>248.59</v>
      </c>
      <c r="E36" s="228">
        <v>248.07</v>
      </c>
      <c r="F36" s="228">
        <v>0.52</v>
      </c>
      <c r="G36" s="229">
        <v>2.0999999999999999E-3</v>
      </c>
      <c r="H36" s="228">
        <v>248.35</v>
      </c>
      <c r="I36" s="228">
        <v>247.72</v>
      </c>
      <c r="J36" s="228">
        <v>0.63</v>
      </c>
      <c r="K36" s="229">
        <v>2.5000000000000001E-3</v>
      </c>
      <c r="L36" s="228">
        <v>248.59</v>
      </c>
      <c r="M36" s="228">
        <v>248.07</v>
      </c>
      <c r="N36" s="228">
        <v>0.52</v>
      </c>
      <c r="O36" s="229">
        <v>2.0999999999999999E-3</v>
      </c>
      <c r="P36" s="228">
        <v>249.79</v>
      </c>
      <c r="Q36" s="228">
        <v>249.28</v>
      </c>
      <c r="R36" s="228">
        <v>0.51</v>
      </c>
      <c r="S36" s="229">
        <v>2E-3</v>
      </c>
      <c r="T36" s="228">
        <v>251.19</v>
      </c>
      <c r="U36" s="228">
        <v>250.68</v>
      </c>
      <c r="V36" s="228">
        <v>0.51</v>
      </c>
      <c r="W36" s="229">
        <v>2E-3</v>
      </c>
      <c r="X36" s="228">
        <v>0.24</v>
      </c>
      <c r="Y36" s="228">
        <v>0.35</v>
      </c>
      <c r="Z36" s="228">
        <v>-0.11</v>
      </c>
      <c r="AA36" s="229">
        <v>1E-3</v>
      </c>
      <c r="AB36" s="228">
        <v>0.24</v>
      </c>
      <c r="AC36" s="228">
        <v>0.35</v>
      </c>
      <c r="AD36" s="228">
        <v>-0.11</v>
      </c>
      <c r="AE36" s="229">
        <v>1E-3</v>
      </c>
      <c r="AF36" s="228">
        <v>1.44</v>
      </c>
      <c r="AG36" s="228">
        <v>1.56</v>
      </c>
      <c r="AH36" s="228">
        <v>-0.12</v>
      </c>
      <c r="AI36" s="229">
        <v>5.7999999999999996E-3</v>
      </c>
      <c r="AJ36" s="228">
        <v>2.84</v>
      </c>
      <c r="AK36" s="228">
        <v>2.96</v>
      </c>
      <c r="AL36" s="228">
        <v>-0.12</v>
      </c>
      <c r="AM36" s="229">
        <v>1.14E-2</v>
      </c>
      <c r="AN36" s="228">
        <v>247.86</v>
      </c>
      <c r="AO36" s="228">
        <v>249.02</v>
      </c>
      <c r="AP36" s="228">
        <v>0</v>
      </c>
      <c r="AQ36" s="230">
        <v>4096</v>
      </c>
      <c r="AR36" s="230">
        <v>3693</v>
      </c>
      <c r="AS36" s="228">
        <v>403</v>
      </c>
      <c r="AT36" s="229">
        <v>0.1091</v>
      </c>
      <c r="AU36" s="230">
        <v>3524</v>
      </c>
      <c r="AV36" s="230">
        <v>3057</v>
      </c>
      <c r="AW36" s="228">
        <v>467</v>
      </c>
      <c r="AX36" s="229">
        <v>0.15279999999999999</v>
      </c>
      <c r="AY36" s="228">
        <v>533</v>
      </c>
      <c r="AZ36" s="228">
        <v>608</v>
      </c>
      <c r="BA36" s="228">
        <v>-75</v>
      </c>
      <c r="BB36" s="229">
        <v>-0.1234</v>
      </c>
      <c r="BC36" s="228">
        <v>39</v>
      </c>
      <c r="BD36" s="228">
        <v>28</v>
      </c>
      <c r="BE36" s="228">
        <v>11</v>
      </c>
      <c r="BF36" s="229">
        <v>0.39290000000000003</v>
      </c>
      <c r="BG36" s="230">
        <v>12576</v>
      </c>
      <c r="BH36" s="230">
        <v>14960</v>
      </c>
      <c r="BI36" s="230">
        <v>-2384</v>
      </c>
      <c r="BJ36" s="229">
        <v>-0.15939999999999999</v>
      </c>
      <c r="BK36" s="230">
        <v>7728</v>
      </c>
      <c r="BL36" s="230">
        <v>10319</v>
      </c>
      <c r="BM36" s="230">
        <v>-2591</v>
      </c>
      <c r="BN36" s="229">
        <v>-0.25109999999999999</v>
      </c>
      <c r="BO36" s="230">
        <v>24400</v>
      </c>
      <c r="BP36" s="230">
        <v>28972</v>
      </c>
      <c r="BQ36" s="230">
        <v>-4572</v>
      </c>
      <c r="BR36" s="229">
        <v>-0.1578</v>
      </c>
      <c r="BS36" s="230">
        <v>6373204</v>
      </c>
      <c r="BT36" s="230">
        <v>8985954</v>
      </c>
      <c r="BU36" s="230">
        <v>-2612750</v>
      </c>
      <c r="BV36" s="229">
        <v>-0.2908</v>
      </c>
      <c r="BW36" s="230">
        <v>97456500</v>
      </c>
      <c r="BX36" s="230">
        <v>96939000</v>
      </c>
      <c r="BY36" s="230">
        <v>517500</v>
      </c>
      <c r="BZ36" s="229">
        <v>5.3E-3</v>
      </c>
      <c r="CA36" s="230">
        <v>93631500</v>
      </c>
      <c r="CB36" s="230">
        <v>93613500</v>
      </c>
      <c r="CC36" s="230">
        <v>18000</v>
      </c>
      <c r="CD36" s="229">
        <v>2.0000000000000001E-4</v>
      </c>
      <c r="CE36" s="230">
        <v>3519000</v>
      </c>
      <c r="CF36" s="230">
        <v>3039750</v>
      </c>
      <c r="CG36" s="230">
        <v>479250</v>
      </c>
      <c r="CH36" s="229">
        <v>0.15770000000000001</v>
      </c>
      <c r="CI36" s="230">
        <v>306000</v>
      </c>
      <c r="CJ36" s="230">
        <v>285750</v>
      </c>
      <c r="CK36" s="230">
        <v>20250</v>
      </c>
      <c r="CL36" s="229">
        <v>7.0900000000000005E-2</v>
      </c>
      <c r="CM36" s="230">
        <v>55698750</v>
      </c>
      <c r="CN36" s="230">
        <v>55541250</v>
      </c>
      <c r="CO36" s="230">
        <v>157500</v>
      </c>
      <c r="CP36" s="229">
        <v>2.8E-3</v>
      </c>
      <c r="CQ36" s="230">
        <v>23015250</v>
      </c>
      <c r="CR36" s="230">
        <v>22257000</v>
      </c>
      <c r="CS36" s="230">
        <v>758250</v>
      </c>
      <c r="CT36" s="229">
        <v>3.4099999999999998E-2</v>
      </c>
      <c r="CU36" s="230">
        <v>176170500</v>
      </c>
      <c r="CV36" s="230">
        <v>174737250</v>
      </c>
      <c r="CW36" s="230">
        <v>1433250</v>
      </c>
      <c r="CX36" s="229">
        <v>8.2000000000000007E-3</v>
      </c>
      <c r="CY36" s="228">
        <v>17.649999999999999</v>
      </c>
      <c r="CZ36" s="228">
        <v>18.329999999999998</v>
      </c>
      <c r="DA36" s="228">
        <v>-0.68</v>
      </c>
      <c r="DB36" s="228">
        <v>-0.68</v>
      </c>
      <c r="DC36" s="228">
        <v>32.24</v>
      </c>
      <c r="DD36" s="228">
        <v>32.32</v>
      </c>
      <c r="DE36" s="228">
        <v>-14.59</v>
      </c>
      <c r="DF36" s="228">
        <v>-0.08</v>
      </c>
      <c r="DG36" s="228">
        <v>16.87</v>
      </c>
      <c r="DH36" s="228">
        <v>17.32</v>
      </c>
      <c r="DI36" s="228">
        <v>-0.45</v>
      </c>
      <c r="DJ36" s="228">
        <v>-0.45</v>
      </c>
      <c r="DK36" s="228">
        <v>18.920000000000002</v>
      </c>
      <c r="DL36" s="228">
        <v>19.8</v>
      </c>
      <c r="DM36" s="228">
        <v>-0.88</v>
      </c>
      <c r="DN36" s="228">
        <v>-0.88</v>
      </c>
      <c r="DO36" s="228">
        <v>0.41</v>
      </c>
      <c r="DP36" s="228">
        <v>0.4</v>
      </c>
      <c r="DQ36" s="228">
        <v>0.01</v>
      </c>
      <c r="DR36" s="229">
        <v>2.5000000000000001E-2</v>
      </c>
      <c r="DS36" s="228">
        <v>250</v>
      </c>
      <c r="DT36" s="228">
        <v>240</v>
      </c>
      <c r="DU36" s="228">
        <v>0.61</v>
      </c>
      <c r="DV36" s="228">
        <v>0.69</v>
      </c>
      <c r="DW36" s="228">
        <v>-0.08</v>
      </c>
      <c r="DX36" s="229">
        <v>-0.1159</v>
      </c>
      <c r="DY36" s="229">
        <v>3.9199999999999999E-2</v>
      </c>
      <c r="DZ36" s="230">
        <v>3325500</v>
      </c>
      <c r="EA36" s="229">
        <v>4.7999999999999996E-3</v>
      </c>
      <c r="EB36" s="229">
        <v>3.9199999999999999E-2</v>
      </c>
      <c r="EC36" s="228">
        <v>1.1599999999999999</v>
      </c>
      <c r="ED36" s="229">
        <v>4.7000000000000002E-3</v>
      </c>
      <c r="EE36" s="230">
        <v>3625360</v>
      </c>
      <c r="EF36" s="230">
        <v>5391993</v>
      </c>
      <c r="EG36" s="229">
        <v>-0.3276</v>
      </c>
      <c r="EH36" s="229">
        <v>0.56879999999999997</v>
      </c>
      <c r="EI36" s="231">
        <v>71797.81</v>
      </c>
      <c r="EJ36" s="231">
        <v>42725.56</v>
      </c>
      <c r="EK36" s="231">
        <v>22858.68</v>
      </c>
      <c r="EL36" s="231">
        <v>5135</v>
      </c>
      <c r="EM36" s="231">
        <v>137382.04999999999</v>
      </c>
      <c r="EN36" s="231">
        <v>162832.47</v>
      </c>
      <c r="EO36" s="231">
        <v>-25450.42</v>
      </c>
      <c r="EP36" s="229">
        <v>-0.15629999999999999</v>
      </c>
      <c r="EQ36" s="231">
        <v>140122</v>
      </c>
      <c r="ER36" s="231">
        <v>55729</v>
      </c>
      <c r="ES36" s="231">
        <v>242317</v>
      </c>
      <c r="ET36" s="231">
        <v>517141211</v>
      </c>
      <c r="EU36" s="231">
        <v>438168</v>
      </c>
      <c r="EV36" s="231">
        <v>434011</v>
      </c>
      <c r="EW36" s="231">
        <v>4157</v>
      </c>
      <c r="EX36" s="229">
        <v>9.5999999999999992E-3</v>
      </c>
      <c r="EY36" s="229">
        <v>0.3407</v>
      </c>
    </row>
    <row r="37" spans="1:155" ht="17.25" thickBot="1" x14ac:dyDescent="0.3">
      <c r="A37" s="226">
        <v>45946</v>
      </c>
      <c r="B37" s="227" t="s">
        <v>161</v>
      </c>
      <c r="C37" s="227" t="s">
        <v>276</v>
      </c>
      <c r="D37" s="228">
        <v>292.55</v>
      </c>
      <c r="E37" s="228">
        <v>292.2</v>
      </c>
      <c r="F37" s="228">
        <v>0.35</v>
      </c>
      <c r="G37" s="229">
        <v>1.1999999999999999E-3</v>
      </c>
      <c r="H37" s="228">
        <v>291.85000000000002</v>
      </c>
      <c r="I37" s="228">
        <v>290.95</v>
      </c>
      <c r="J37" s="228">
        <v>0.9</v>
      </c>
      <c r="K37" s="229">
        <v>3.0999999999999999E-3</v>
      </c>
      <c r="L37" s="228">
        <v>292.55</v>
      </c>
      <c r="M37" s="228">
        <v>292.2</v>
      </c>
      <c r="N37" s="228">
        <v>0.35</v>
      </c>
      <c r="O37" s="229">
        <v>1.1999999999999999E-3</v>
      </c>
      <c r="P37" s="228">
        <v>290.60000000000002</v>
      </c>
      <c r="Q37" s="228">
        <v>289.85000000000002</v>
      </c>
      <c r="R37" s="228">
        <v>0.75</v>
      </c>
      <c r="S37" s="229">
        <v>2.5999999999999999E-3</v>
      </c>
      <c r="T37" s="228">
        <v>292.3</v>
      </c>
      <c r="U37" s="228">
        <v>292</v>
      </c>
      <c r="V37" s="228">
        <v>0.3</v>
      </c>
      <c r="W37" s="229">
        <v>1E-3</v>
      </c>
      <c r="X37" s="228">
        <v>0.7</v>
      </c>
      <c r="Y37" s="228">
        <v>1.25</v>
      </c>
      <c r="Z37" s="228">
        <v>-0.55000000000000004</v>
      </c>
      <c r="AA37" s="229">
        <v>2.3999999999999998E-3</v>
      </c>
      <c r="AB37" s="228">
        <v>0.7</v>
      </c>
      <c r="AC37" s="228">
        <v>1.25</v>
      </c>
      <c r="AD37" s="228">
        <v>-0.55000000000000004</v>
      </c>
      <c r="AE37" s="229">
        <v>2.3999999999999998E-3</v>
      </c>
      <c r="AF37" s="228">
        <v>-1.25</v>
      </c>
      <c r="AG37" s="228">
        <v>-1.1000000000000001</v>
      </c>
      <c r="AH37" s="228">
        <v>-0.15</v>
      </c>
      <c r="AI37" s="229">
        <v>-4.3E-3</v>
      </c>
      <c r="AJ37" s="228">
        <v>0.45</v>
      </c>
      <c r="AK37" s="228">
        <v>1.05</v>
      </c>
      <c r="AL37" s="228">
        <v>-0.6</v>
      </c>
      <c r="AM37" s="229">
        <v>1.5E-3</v>
      </c>
      <c r="AN37" s="228">
        <v>292.8</v>
      </c>
      <c r="AO37" s="228">
        <v>290.75</v>
      </c>
      <c r="AP37" s="228">
        <v>0</v>
      </c>
      <c r="AQ37" s="230">
        <v>4460</v>
      </c>
      <c r="AR37" s="230">
        <v>4477</v>
      </c>
      <c r="AS37" s="228">
        <v>-17</v>
      </c>
      <c r="AT37" s="229">
        <v>-3.8E-3</v>
      </c>
      <c r="AU37" s="230">
        <v>3661</v>
      </c>
      <c r="AV37" s="230">
        <v>3759</v>
      </c>
      <c r="AW37" s="228">
        <v>-98</v>
      </c>
      <c r="AX37" s="229">
        <v>-2.6100000000000002E-2</v>
      </c>
      <c r="AY37" s="228">
        <v>765</v>
      </c>
      <c r="AZ37" s="228">
        <v>680</v>
      </c>
      <c r="BA37" s="228">
        <v>85</v>
      </c>
      <c r="BB37" s="229">
        <v>0.125</v>
      </c>
      <c r="BC37" s="228">
        <v>34</v>
      </c>
      <c r="BD37" s="228">
        <v>38</v>
      </c>
      <c r="BE37" s="228">
        <v>-4</v>
      </c>
      <c r="BF37" s="229">
        <v>-0.1053</v>
      </c>
      <c r="BG37" s="230">
        <v>6728</v>
      </c>
      <c r="BH37" s="230">
        <v>15155</v>
      </c>
      <c r="BI37" s="230">
        <v>-8427</v>
      </c>
      <c r="BJ37" s="229">
        <v>-0.55610000000000004</v>
      </c>
      <c r="BK37" s="230">
        <v>3832</v>
      </c>
      <c r="BL37" s="230">
        <v>8268</v>
      </c>
      <c r="BM37" s="230">
        <v>-4436</v>
      </c>
      <c r="BN37" s="229">
        <v>-0.53649999999999998</v>
      </c>
      <c r="BO37" s="230">
        <v>15020</v>
      </c>
      <c r="BP37" s="230">
        <v>27900</v>
      </c>
      <c r="BQ37" s="230">
        <v>-12880</v>
      </c>
      <c r="BR37" s="229">
        <v>-0.46160000000000001</v>
      </c>
      <c r="BS37" s="230">
        <v>13710250</v>
      </c>
      <c r="BT37" s="230">
        <v>8331273</v>
      </c>
      <c r="BU37" s="230">
        <v>5378977</v>
      </c>
      <c r="BV37" s="229">
        <v>0.64559999999999995</v>
      </c>
      <c r="BW37" s="230">
        <v>73136700</v>
      </c>
      <c r="BX37" s="230">
        <v>72583800</v>
      </c>
      <c r="BY37" s="230">
        <v>552900</v>
      </c>
      <c r="BZ37" s="229">
        <v>7.6E-3</v>
      </c>
      <c r="CA37" s="230">
        <v>69004200</v>
      </c>
      <c r="CB37" s="230">
        <v>69144800</v>
      </c>
      <c r="CC37" s="230">
        <v>-140600</v>
      </c>
      <c r="CD37" s="229">
        <v>-2E-3</v>
      </c>
      <c r="CE37" s="230">
        <v>3895000</v>
      </c>
      <c r="CF37" s="230">
        <v>3226200</v>
      </c>
      <c r="CG37" s="230">
        <v>668800</v>
      </c>
      <c r="CH37" s="229">
        <v>0.20730000000000001</v>
      </c>
      <c r="CI37" s="230">
        <v>237500</v>
      </c>
      <c r="CJ37" s="230">
        <v>212800</v>
      </c>
      <c r="CK37" s="230">
        <v>24700</v>
      </c>
      <c r="CL37" s="229">
        <v>0.11609999999999999</v>
      </c>
      <c r="CM37" s="230">
        <v>29524100</v>
      </c>
      <c r="CN37" s="230">
        <v>29858500</v>
      </c>
      <c r="CO37" s="230">
        <v>-334400</v>
      </c>
      <c r="CP37" s="229">
        <v>-1.12E-2</v>
      </c>
      <c r="CQ37" s="230">
        <v>15051800</v>
      </c>
      <c r="CR37" s="230">
        <v>15315900</v>
      </c>
      <c r="CS37" s="230">
        <v>-264100</v>
      </c>
      <c r="CT37" s="229">
        <v>-1.72E-2</v>
      </c>
      <c r="CU37" s="230">
        <v>117712600</v>
      </c>
      <c r="CV37" s="230">
        <v>117758200</v>
      </c>
      <c r="CW37" s="230">
        <v>-45600</v>
      </c>
      <c r="CX37" s="229">
        <v>-4.0000000000000002E-4</v>
      </c>
      <c r="CY37" s="228">
        <v>18.52</v>
      </c>
      <c r="CZ37" s="228">
        <v>19.18</v>
      </c>
      <c r="DA37" s="228">
        <v>-0.66</v>
      </c>
      <c r="DB37" s="228">
        <v>-0.66</v>
      </c>
      <c r="DC37" s="228">
        <v>29.39</v>
      </c>
      <c r="DD37" s="228">
        <v>29.46</v>
      </c>
      <c r="DE37" s="228">
        <v>-10.87</v>
      </c>
      <c r="DF37" s="228">
        <v>-7.0000000000000007E-2</v>
      </c>
      <c r="DG37" s="228">
        <v>18.52</v>
      </c>
      <c r="DH37" s="228">
        <v>18.670000000000002</v>
      </c>
      <c r="DI37" s="228">
        <v>-0.15</v>
      </c>
      <c r="DJ37" s="228">
        <v>-0.15</v>
      </c>
      <c r="DK37" s="228">
        <v>18.52</v>
      </c>
      <c r="DL37" s="228">
        <v>20.11</v>
      </c>
      <c r="DM37" s="228">
        <v>-1.59</v>
      </c>
      <c r="DN37" s="228">
        <v>-1.59</v>
      </c>
      <c r="DO37" s="228">
        <v>0.51</v>
      </c>
      <c r="DP37" s="228">
        <v>0.51</v>
      </c>
      <c r="DQ37" s="228">
        <v>0</v>
      </c>
      <c r="DR37" s="229">
        <v>0</v>
      </c>
      <c r="DS37" s="228">
        <v>300</v>
      </c>
      <c r="DT37" s="228">
        <v>290</v>
      </c>
      <c r="DU37" s="228">
        <v>0.56999999999999995</v>
      </c>
      <c r="DV37" s="228">
        <v>0.55000000000000004</v>
      </c>
      <c r="DW37" s="228">
        <v>0.02</v>
      </c>
      <c r="DX37" s="229">
        <v>3.6400000000000002E-2</v>
      </c>
      <c r="DY37" s="229">
        <v>5.6500000000000002E-2</v>
      </c>
      <c r="DZ37" s="230">
        <v>3439000</v>
      </c>
      <c r="EA37" s="229">
        <v>-6.7000000000000002E-3</v>
      </c>
      <c r="EB37" s="229">
        <v>5.6500000000000002E-2</v>
      </c>
      <c r="EC37" s="228">
        <v>-2.0499999999999998</v>
      </c>
      <c r="ED37" s="229">
        <v>-7.0000000000000001E-3</v>
      </c>
      <c r="EE37" s="230">
        <v>10924010</v>
      </c>
      <c r="EF37" s="230">
        <v>5634180</v>
      </c>
      <c r="EG37" s="229">
        <v>0.93889999999999996</v>
      </c>
      <c r="EH37" s="229">
        <v>0.79679999999999995</v>
      </c>
      <c r="EI37" s="231">
        <v>38264.28</v>
      </c>
      <c r="EJ37" s="231">
        <v>21359.83</v>
      </c>
      <c r="EK37" s="231">
        <v>24782.19</v>
      </c>
      <c r="EL37" s="231">
        <v>3830</v>
      </c>
      <c r="EM37" s="231">
        <v>84406.3</v>
      </c>
      <c r="EN37" s="231">
        <v>155860.85</v>
      </c>
      <c r="EO37" s="231">
        <v>-71454.55</v>
      </c>
      <c r="EP37" s="229">
        <v>-0.45850000000000002</v>
      </c>
      <c r="EQ37" s="231">
        <v>88540</v>
      </c>
      <c r="ER37" s="231">
        <v>43051</v>
      </c>
      <c r="ES37" s="231">
        <v>213885</v>
      </c>
      <c r="ET37" s="231">
        <v>488832949</v>
      </c>
      <c r="EU37" s="231">
        <v>345476</v>
      </c>
      <c r="EV37" s="231">
        <v>345258</v>
      </c>
      <c r="EW37" s="228">
        <v>218</v>
      </c>
      <c r="EX37" s="229">
        <v>5.9999999999999995E-4</v>
      </c>
      <c r="EY37" s="229">
        <v>0.24079999999999999</v>
      </c>
    </row>
    <row r="38" spans="1:155" ht="17.25" thickBot="1" x14ac:dyDescent="0.3">
      <c r="A38" s="226">
        <v>45946</v>
      </c>
      <c r="B38" s="227" t="s">
        <v>193</v>
      </c>
      <c r="C38" s="227" t="s">
        <v>281</v>
      </c>
      <c r="D38" s="231">
        <v>1399.8</v>
      </c>
      <c r="E38" s="231">
        <v>1379.5</v>
      </c>
      <c r="F38" s="228">
        <v>20.3</v>
      </c>
      <c r="G38" s="229">
        <v>1.47E-2</v>
      </c>
      <c r="H38" s="231">
        <v>1398.3</v>
      </c>
      <c r="I38" s="231">
        <v>1374.3</v>
      </c>
      <c r="J38" s="228">
        <v>24</v>
      </c>
      <c r="K38" s="229">
        <v>1.7500000000000002E-2</v>
      </c>
      <c r="L38" s="231">
        <v>1399.8</v>
      </c>
      <c r="M38" s="231">
        <v>1379.5</v>
      </c>
      <c r="N38" s="228">
        <v>20.3</v>
      </c>
      <c r="O38" s="229">
        <v>1.47E-2</v>
      </c>
      <c r="P38" s="231">
        <v>1407.6</v>
      </c>
      <c r="Q38" s="231">
        <v>1387.1</v>
      </c>
      <c r="R38" s="228">
        <v>20.5</v>
      </c>
      <c r="S38" s="229">
        <v>1.4800000000000001E-2</v>
      </c>
      <c r="T38" s="231">
        <v>1415.7</v>
      </c>
      <c r="U38" s="231">
        <v>1396</v>
      </c>
      <c r="V38" s="228">
        <v>19.7</v>
      </c>
      <c r="W38" s="229">
        <v>1.41E-2</v>
      </c>
      <c r="X38" s="228">
        <v>1.5</v>
      </c>
      <c r="Y38" s="228">
        <v>5.2</v>
      </c>
      <c r="Z38" s="228">
        <v>-3.7</v>
      </c>
      <c r="AA38" s="229">
        <v>1.1000000000000001E-3</v>
      </c>
      <c r="AB38" s="228">
        <v>1.5</v>
      </c>
      <c r="AC38" s="228">
        <v>5.2</v>
      </c>
      <c r="AD38" s="228">
        <v>-3.7</v>
      </c>
      <c r="AE38" s="229">
        <v>1.1000000000000001E-3</v>
      </c>
      <c r="AF38" s="228">
        <v>9.3000000000000007</v>
      </c>
      <c r="AG38" s="228">
        <v>12.8</v>
      </c>
      <c r="AH38" s="228">
        <v>-3.5</v>
      </c>
      <c r="AI38" s="229">
        <v>6.7000000000000002E-3</v>
      </c>
      <c r="AJ38" s="228">
        <v>17.399999999999999</v>
      </c>
      <c r="AK38" s="228">
        <v>21.7</v>
      </c>
      <c r="AL38" s="228">
        <v>-4.3</v>
      </c>
      <c r="AM38" s="229">
        <v>1.24E-2</v>
      </c>
      <c r="AN38" s="231">
        <v>1392.21</v>
      </c>
      <c r="AO38" s="231">
        <v>1398.8</v>
      </c>
      <c r="AP38" s="228">
        <v>0</v>
      </c>
      <c r="AQ38" s="230">
        <v>37102</v>
      </c>
      <c r="AR38" s="230">
        <v>26019</v>
      </c>
      <c r="AS38" s="230">
        <v>11083</v>
      </c>
      <c r="AT38" s="229">
        <v>0.42599999999999999</v>
      </c>
      <c r="AU38" s="230">
        <v>29560</v>
      </c>
      <c r="AV38" s="230">
        <v>20595</v>
      </c>
      <c r="AW38" s="230">
        <v>8965</v>
      </c>
      <c r="AX38" s="229">
        <v>0.43530000000000002</v>
      </c>
      <c r="AY38" s="230">
        <v>6921</v>
      </c>
      <c r="AZ38" s="230">
        <v>5173</v>
      </c>
      <c r="BA38" s="230">
        <v>1748</v>
      </c>
      <c r="BB38" s="229">
        <v>0.33789999999999998</v>
      </c>
      <c r="BC38" s="228">
        <v>621</v>
      </c>
      <c r="BD38" s="228">
        <v>251</v>
      </c>
      <c r="BE38" s="228">
        <v>370</v>
      </c>
      <c r="BF38" s="229">
        <v>1.4741</v>
      </c>
      <c r="BG38" s="230">
        <v>141025</v>
      </c>
      <c r="BH38" s="230">
        <v>83140</v>
      </c>
      <c r="BI38" s="230">
        <v>57885</v>
      </c>
      <c r="BJ38" s="229">
        <v>0.69620000000000004</v>
      </c>
      <c r="BK38" s="230">
        <v>60529</v>
      </c>
      <c r="BL38" s="230">
        <v>44837</v>
      </c>
      <c r="BM38" s="230">
        <v>15692</v>
      </c>
      <c r="BN38" s="229">
        <v>0.35</v>
      </c>
      <c r="BO38" s="230">
        <v>238656</v>
      </c>
      <c r="BP38" s="230">
        <v>153996</v>
      </c>
      <c r="BQ38" s="230">
        <v>84660</v>
      </c>
      <c r="BR38" s="229">
        <v>0.54979999999999996</v>
      </c>
      <c r="BS38" s="230">
        <v>13479169</v>
      </c>
      <c r="BT38" s="230">
        <v>11514200</v>
      </c>
      <c r="BU38" s="230">
        <v>1964969</v>
      </c>
      <c r="BV38" s="229">
        <v>0.17069999999999999</v>
      </c>
      <c r="BW38" s="230">
        <v>138130500</v>
      </c>
      <c r="BX38" s="230">
        <v>137906000</v>
      </c>
      <c r="BY38" s="230">
        <v>224500</v>
      </c>
      <c r="BZ38" s="229">
        <v>1.6000000000000001E-3</v>
      </c>
      <c r="CA38" s="230">
        <v>121906000</v>
      </c>
      <c r="CB38" s="230">
        <v>123397500</v>
      </c>
      <c r="CC38" s="230">
        <v>-1491500</v>
      </c>
      <c r="CD38" s="229">
        <v>-1.21E-2</v>
      </c>
      <c r="CE38" s="230">
        <v>14327500</v>
      </c>
      <c r="CF38" s="230">
        <v>12616000</v>
      </c>
      <c r="CG38" s="230">
        <v>1711500</v>
      </c>
      <c r="CH38" s="229">
        <v>0.13569999999999999</v>
      </c>
      <c r="CI38" s="230">
        <v>1897000</v>
      </c>
      <c r="CJ38" s="230">
        <v>1892500</v>
      </c>
      <c r="CK38" s="230">
        <v>4500</v>
      </c>
      <c r="CL38" s="229">
        <v>2.3999999999999998E-3</v>
      </c>
      <c r="CM38" s="230">
        <v>55567000</v>
      </c>
      <c r="CN38" s="230">
        <v>58054000</v>
      </c>
      <c r="CO38" s="230">
        <v>-2487000</v>
      </c>
      <c r="CP38" s="229">
        <v>-4.2799999999999998E-2</v>
      </c>
      <c r="CQ38" s="230">
        <v>38274500</v>
      </c>
      <c r="CR38" s="230">
        <v>38502500</v>
      </c>
      <c r="CS38" s="230">
        <v>-228000</v>
      </c>
      <c r="CT38" s="229">
        <v>-5.8999999999999999E-3</v>
      </c>
      <c r="CU38" s="230">
        <v>231972000</v>
      </c>
      <c r="CV38" s="230">
        <v>234462500</v>
      </c>
      <c r="CW38" s="230">
        <v>-2490500</v>
      </c>
      <c r="CX38" s="229">
        <v>-1.06E-2</v>
      </c>
      <c r="CY38" s="228">
        <v>21.42</v>
      </c>
      <c r="CZ38" s="228">
        <v>22.09</v>
      </c>
      <c r="DA38" s="228">
        <v>-0.67</v>
      </c>
      <c r="DB38" s="228">
        <v>-0.67</v>
      </c>
      <c r="DC38" s="228">
        <v>24.27</v>
      </c>
      <c r="DD38" s="228">
        <v>24.22</v>
      </c>
      <c r="DE38" s="228">
        <v>-2.85</v>
      </c>
      <c r="DF38" s="228">
        <v>0.05</v>
      </c>
      <c r="DG38" s="228">
        <v>21.3</v>
      </c>
      <c r="DH38" s="228">
        <v>22.23</v>
      </c>
      <c r="DI38" s="228">
        <v>-0.93</v>
      </c>
      <c r="DJ38" s="228">
        <v>-0.93</v>
      </c>
      <c r="DK38" s="228">
        <v>21.7</v>
      </c>
      <c r="DL38" s="228">
        <v>21.82</v>
      </c>
      <c r="DM38" s="228">
        <v>-0.12</v>
      </c>
      <c r="DN38" s="228">
        <v>-0.12</v>
      </c>
      <c r="DO38" s="228">
        <v>0.69</v>
      </c>
      <c r="DP38" s="228">
        <v>0.66</v>
      </c>
      <c r="DQ38" s="228">
        <v>0.03</v>
      </c>
      <c r="DR38" s="229">
        <v>4.5499999999999999E-2</v>
      </c>
      <c r="DS38" s="231">
        <v>1400</v>
      </c>
      <c r="DT38" s="231">
        <v>1400</v>
      </c>
      <c r="DU38" s="228">
        <v>0.43</v>
      </c>
      <c r="DV38" s="228">
        <v>0.54</v>
      </c>
      <c r="DW38" s="228">
        <v>-0.11</v>
      </c>
      <c r="DX38" s="229">
        <v>-0.20369999999999999</v>
      </c>
      <c r="DY38" s="229">
        <v>0.11749999999999999</v>
      </c>
      <c r="DZ38" s="230">
        <v>14508500</v>
      </c>
      <c r="EA38" s="229">
        <v>5.5999999999999999E-3</v>
      </c>
      <c r="EB38" s="229">
        <v>0.11749999999999999</v>
      </c>
      <c r="EC38" s="228">
        <v>6.59</v>
      </c>
      <c r="ED38" s="229">
        <v>4.7000000000000002E-3</v>
      </c>
      <c r="EE38" s="230">
        <v>7479658</v>
      </c>
      <c r="EF38" s="230">
        <v>7107280</v>
      </c>
      <c r="EG38" s="229">
        <v>5.2400000000000002E-2</v>
      </c>
      <c r="EH38" s="229">
        <v>0.55489999999999995</v>
      </c>
      <c r="EI38" s="231">
        <v>1008623.97</v>
      </c>
      <c r="EJ38" s="231">
        <v>417531.4</v>
      </c>
      <c r="EK38" s="231">
        <v>258548.6</v>
      </c>
      <c r="EL38" s="231">
        <v>24327</v>
      </c>
      <c r="EM38" s="231">
        <v>1684703.97</v>
      </c>
      <c r="EN38" s="231">
        <v>1080143.77</v>
      </c>
      <c r="EO38" s="231">
        <v>604560.19999999995</v>
      </c>
      <c r="EP38" s="229">
        <v>0.55969999999999998</v>
      </c>
      <c r="EQ38" s="231">
        <v>793866</v>
      </c>
      <c r="ER38" s="231">
        <v>526885</v>
      </c>
      <c r="ES38" s="231">
        <v>1934970</v>
      </c>
      <c r="ET38" s="231">
        <v>662701060</v>
      </c>
      <c r="EU38" s="231">
        <v>3255720</v>
      </c>
      <c r="EV38" s="231">
        <v>3260046</v>
      </c>
      <c r="EW38" s="231">
        <v>-4326</v>
      </c>
      <c r="EX38" s="229">
        <v>-1.2999999999999999E-3</v>
      </c>
      <c r="EY38" s="229">
        <v>0.35</v>
      </c>
    </row>
    <row r="39" spans="1:155" ht="17.25" thickBot="1" x14ac:dyDescent="0.3">
      <c r="A39" s="226">
        <v>45946</v>
      </c>
      <c r="B39" s="227" t="s">
        <v>175</v>
      </c>
      <c r="C39" s="227" t="s">
        <v>462</v>
      </c>
      <c r="D39" s="231">
        <v>1838.4</v>
      </c>
      <c r="E39" s="231">
        <v>1847.2</v>
      </c>
      <c r="F39" s="228">
        <v>-8.8000000000000007</v>
      </c>
      <c r="G39" s="229">
        <v>-4.7999999999999996E-3</v>
      </c>
      <c r="H39" s="231">
        <v>1835.7</v>
      </c>
      <c r="I39" s="231">
        <v>1840.6</v>
      </c>
      <c r="J39" s="228">
        <v>-4.9000000000000004</v>
      </c>
      <c r="K39" s="229">
        <v>-2.7000000000000001E-3</v>
      </c>
      <c r="L39" s="231">
        <v>1838.4</v>
      </c>
      <c r="M39" s="231">
        <v>1847.2</v>
      </c>
      <c r="N39" s="228">
        <v>-8.8000000000000007</v>
      </c>
      <c r="O39" s="229">
        <v>-4.7999999999999996E-3</v>
      </c>
      <c r="P39" s="231">
        <v>1848.7</v>
      </c>
      <c r="Q39" s="231">
        <v>1856.1</v>
      </c>
      <c r="R39" s="228">
        <v>-7.4</v>
      </c>
      <c r="S39" s="229">
        <v>-4.0000000000000001E-3</v>
      </c>
      <c r="T39" s="231">
        <v>1860.8</v>
      </c>
      <c r="U39" s="231">
        <v>1865.6</v>
      </c>
      <c r="V39" s="228">
        <v>-4.8</v>
      </c>
      <c r="W39" s="229">
        <v>-2.5999999999999999E-3</v>
      </c>
      <c r="X39" s="228">
        <v>2.7</v>
      </c>
      <c r="Y39" s="228">
        <v>6.6</v>
      </c>
      <c r="Z39" s="228">
        <v>-3.9</v>
      </c>
      <c r="AA39" s="229">
        <v>1.5E-3</v>
      </c>
      <c r="AB39" s="228">
        <v>2.7</v>
      </c>
      <c r="AC39" s="228">
        <v>6.6</v>
      </c>
      <c r="AD39" s="228">
        <v>-3.9</v>
      </c>
      <c r="AE39" s="229">
        <v>1.5E-3</v>
      </c>
      <c r="AF39" s="228">
        <v>13</v>
      </c>
      <c r="AG39" s="228">
        <v>15.5</v>
      </c>
      <c r="AH39" s="228">
        <v>-2.5</v>
      </c>
      <c r="AI39" s="229">
        <v>7.1000000000000004E-3</v>
      </c>
      <c r="AJ39" s="228">
        <v>25.1</v>
      </c>
      <c r="AK39" s="228">
        <v>25</v>
      </c>
      <c r="AL39" s="228">
        <v>0.1</v>
      </c>
      <c r="AM39" s="229">
        <v>1.37E-2</v>
      </c>
      <c r="AN39" s="231">
        <v>1826.5</v>
      </c>
      <c r="AO39" s="231">
        <v>1837.75</v>
      </c>
      <c r="AP39" s="228">
        <v>0</v>
      </c>
      <c r="AQ39" s="230">
        <v>3351</v>
      </c>
      <c r="AR39" s="230">
        <v>4167</v>
      </c>
      <c r="AS39" s="228">
        <v>-816</v>
      </c>
      <c r="AT39" s="229">
        <v>-0.1958</v>
      </c>
      <c r="AU39" s="230">
        <v>2931</v>
      </c>
      <c r="AV39" s="230">
        <v>3648</v>
      </c>
      <c r="AW39" s="228">
        <v>-717</v>
      </c>
      <c r="AX39" s="229">
        <v>-0.19650000000000001</v>
      </c>
      <c r="AY39" s="228">
        <v>399</v>
      </c>
      <c r="AZ39" s="228">
        <v>497</v>
      </c>
      <c r="BA39" s="228">
        <v>-98</v>
      </c>
      <c r="BB39" s="229">
        <v>-0.19719999999999999</v>
      </c>
      <c r="BC39" s="228">
        <v>21</v>
      </c>
      <c r="BD39" s="228">
        <v>22</v>
      </c>
      <c r="BE39" s="228">
        <v>-1</v>
      </c>
      <c r="BF39" s="229">
        <v>-4.5499999999999999E-2</v>
      </c>
      <c r="BG39" s="230">
        <v>8507</v>
      </c>
      <c r="BH39" s="230">
        <v>12222</v>
      </c>
      <c r="BI39" s="230">
        <v>-3715</v>
      </c>
      <c r="BJ39" s="229">
        <v>-0.30399999999999999</v>
      </c>
      <c r="BK39" s="230">
        <v>4281</v>
      </c>
      <c r="BL39" s="230">
        <v>4212</v>
      </c>
      <c r="BM39" s="228">
        <v>69</v>
      </c>
      <c r="BN39" s="229">
        <v>1.6400000000000001E-2</v>
      </c>
      <c r="BO39" s="230">
        <v>16139</v>
      </c>
      <c r="BP39" s="230">
        <v>20601</v>
      </c>
      <c r="BQ39" s="230">
        <v>-4462</v>
      </c>
      <c r="BR39" s="229">
        <v>-0.21659999999999999</v>
      </c>
      <c r="BS39" s="230">
        <v>987160</v>
      </c>
      <c r="BT39" s="230">
        <v>901439</v>
      </c>
      <c r="BU39" s="230">
        <v>85721</v>
      </c>
      <c r="BV39" s="229">
        <v>9.5100000000000004E-2</v>
      </c>
      <c r="BW39" s="230">
        <v>6763500</v>
      </c>
      <c r="BX39" s="230">
        <v>6533250</v>
      </c>
      <c r="BY39" s="230">
        <v>230250</v>
      </c>
      <c r="BZ39" s="229">
        <v>3.5200000000000002E-2</v>
      </c>
      <c r="CA39" s="230">
        <v>6493500</v>
      </c>
      <c r="CB39" s="230">
        <v>6293625</v>
      </c>
      <c r="CC39" s="230">
        <v>199875</v>
      </c>
      <c r="CD39" s="229">
        <v>3.1800000000000002E-2</v>
      </c>
      <c r="CE39" s="230">
        <v>235125</v>
      </c>
      <c r="CF39" s="230">
        <v>206250</v>
      </c>
      <c r="CG39" s="230">
        <v>28875</v>
      </c>
      <c r="CH39" s="229">
        <v>0.14000000000000001</v>
      </c>
      <c r="CI39" s="230">
        <v>34875</v>
      </c>
      <c r="CJ39" s="230">
        <v>33375</v>
      </c>
      <c r="CK39" s="230">
        <v>1500</v>
      </c>
      <c r="CL39" s="229">
        <v>4.4900000000000002E-2</v>
      </c>
      <c r="CM39" s="230">
        <v>2556000</v>
      </c>
      <c r="CN39" s="230">
        <v>2563125</v>
      </c>
      <c r="CO39" s="230">
        <v>-7125</v>
      </c>
      <c r="CP39" s="229">
        <v>-2.8E-3</v>
      </c>
      <c r="CQ39" s="230">
        <v>1383750</v>
      </c>
      <c r="CR39" s="230">
        <v>1412250</v>
      </c>
      <c r="CS39" s="230">
        <v>-28500</v>
      </c>
      <c r="CT39" s="229">
        <v>-2.0199999999999999E-2</v>
      </c>
      <c r="CU39" s="230">
        <v>10703250</v>
      </c>
      <c r="CV39" s="230">
        <v>10508625</v>
      </c>
      <c r="CW39" s="230">
        <v>194625</v>
      </c>
      <c r="CX39" s="229">
        <v>1.8499999999999999E-2</v>
      </c>
      <c r="CY39" s="228">
        <v>21.17</v>
      </c>
      <c r="CZ39" s="228">
        <v>20.93</v>
      </c>
      <c r="DA39" s="228">
        <v>0.24</v>
      </c>
      <c r="DB39" s="228">
        <v>0.24</v>
      </c>
      <c r="DC39" s="228">
        <v>25.66</v>
      </c>
      <c r="DD39" s="228">
        <v>25.72</v>
      </c>
      <c r="DE39" s="228">
        <v>-4.49</v>
      </c>
      <c r="DF39" s="228">
        <v>-0.06</v>
      </c>
      <c r="DG39" s="228">
        <v>20.77</v>
      </c>
      <c r="DH39" s="228">
        <v>20.7</v>
      </c>
      <c r="DI39" s="228">
        <v>7.0000000000000007E-2</v>
      </c>
      <c r="DJ39" s="228">
        <v>7.0000000000000007E-2</v>
      </c>
      <c r="DK39" s="228">
        <v>21.97</v>
      </c>
      <c r="DL39" s="228">
        <v>21.61</v>
      </c>
      <c r="DM39" s="228">
        <v>0.36</v>
      </c>
      <c r="DN39" s="228">
        <v>0.36</v>
      </c>
      <c r="DO39" s="228">
        <v>0.54</v>
      </c>
      <c r="DP39" s="228">
        <v>0.55000000000000004</v>
      </c>
      <c r="DQ39" s="228">
        <v>-0.01</v>
      </c>
      <c r="DR39" s="229">
        <v>-1.8200000000000001E-2</v>
      </c>
      <c r="DS39" s="231">
        <v>1800</v>
      </c>
      <c r="DT39" s="231">
        <v>1800</v>
      </c>
      <c r="DU39" s="228">
        <v>0.5</v>
      </c>
      <c r="DV39" s="228">
        <v>0.34</v>
      </c>
      <c r="DW39" s="228">
        <v>0.16</v>
      </c>
      <c r="DX39" s="229">
        <v>0.47060000000000002</v>
      </c>
      <c r="DY39" s="229">
        <v>3.9899999999999998E-2</v>
      </c>
      <c r="DZ39" s="230">
        <v>239625</v>
      </c>
      <c r="EA39" s="229">
        <v>5.5999999999999999E-3</v>
      </c>
      <c r="EB39" s="229">
        <v>3.9899999999999998E-2</v>
      </c>
      <c r="EC39" s="228">
        <v>11.25</v>
      </c>
      <c r="ED39" s="229">
        <v>6.1999999999999998E-3</v>
      </c>
      <c r="EE39" s="230">
        <v>603957</v>
      </c>
      <c r="EF39" s="230">
        <v>533707</v>
      </c>
      <c r="EG39" s="229">
        <v>0.13159999999999999</v>
      </c>
      <c r="EH39" s="229">
        <v>0.61180000000000001</v>
      </c>
      <c r="EI39" s="231">
        <v>59944.51</v>
      </c>
      <c r="EJ39" s="231">
        <v>29210.77</v>
      </c>
      <c r="EK39" s="231">
        <v>22970.61</v>
      </c>
      <c r="EL39" s="231">
        <v>3367</v>
      </c>
      <c r="EM39" s="231">
        <v>112125.89</v>
      </c>
      <c r="EN39" s="231">
        <v>144521.9</v>
      </c>
      <c r="EO39" s="231">
        <v>-32396.01</v>
      </c>
      <c r="EP39" s="229">
        <v>-0.22420000000000001</v>
      </c>
      <c r="EQ39" s="231">
        <v>47705</v>
      </c>
      <c r="ER39" s="231">
        <v>24500</v>
      </c>
      <c r="ES39" s="231">
        <v>124372</v>
      </c>
      <c r="ET39" s="231">
        <v>44735132</v>
      </c>
      <c r="EU39" s="231">
        <v>196577</v>
      </c>
      <c r="EV39" s="231">
        <v>193585</v>
      </c>
      <c r="EW39" s="231">
        <v>2992</v>
      </c>
      <c r="EX39" s="229">
        <v>1.55E-2</v>
      </c>
      <c r="EY39" s="229">
        <v>0.23930000000000001</v>
      </c>
    </row>
    <row r="40" spans="1:155" ht="17.25" thickBot="1" x14ac:dyDescent="0.3">
      <c r="A40" s="226">
        <v>45946</v>
      </c>
      <c r="B40" s="227" t="s">
        <v>172</v>
      </c>
      <c r="C40" s="227" t="s">
        <v>283</v>
      </c>
      <c r="D40" s="228">
        <v>888.3</v>
      </c>
      <c r="E40" s="228">
        <v>887.4</v>
      </c>
      <c r="F40" s="228">
        <v>0.9</v>
      </c>
      <c r="G40" s="229">
        <v>1E-3</v>
      </c>
      <c r="H40" s="228">
        <v>886.95</v>
      </c>
      <c r="I40" s="228">
        <v>886.1</v>
      </c>
      <c r="J40" s="228">
        <v>0.85</v>
      </c>
      <c r="K40" s="229">
        <v>1E-3</v>
      </c>
      <c r="L40" s="228">
        <v>888.3</v>
      </c>
      <c r="M40" s="228">
        <v>887.4</v>
      </c>
      <c r="N40" s="228">
        <v>0.9</v>
      </c>
      <c r="O40" s="229">
        <v>1E-3</v>
      </c>
      <c r="P40" s="228">
        <v>893.2</v>
      </c>
      <c r="Q40" s="228">
        <v>892.1</v>
      </c>
      <c r="R40" s="228">
        <v>1.1000000000000001</v>
      </c>
      <c r="S40" s="229">
        <v>1.1999999999999999E-3</v>
      </c>
      <c r="T40" s="228">
        <v>898.45</v>
      </c>
      <c r="U40" s="228">
        <v>897.4</v>
      </c>
      <c r="V40" s="228">
        <v>1.05</v>
      </c>
      <c r="W40" s="229">
        <v>1.1999999999999999E-3</v>
      </c>
      <c r="X40" s="228">
        <v>1.35</v>
      </c>
      <c r="Y40" s="228">
        <v>1.3</v>
      </c>
      <c r="Z40" s="228">
        <v>0.05</v>
      </c>
      <c r="AA40" s="229">
        <v>1.5E-3</v>
      </c>
      <c r="AB40" s="228">
        <v>1.35</v>
      </c>
      <c r="AC40" s="228">
        <v>1.3</v>
      </c>
      <c r="AD40" s="228">
        <v>0.05</v>
      </c>
      <c r="AE40" s="229">
        <v>1.5E-3</v>
      </c>
      <c r="AF40" s="228">
        <v>6.25</v>
      </c>
      <c r="AG40" s="228">
        <v>6</v>
      </c>
      <c r="AH40" s="228">
        <v>0.25</v>
      </c>
      <c r="AI40" s="229">
        <v>7.0000000000000001E-3</v>
      </c>
      <c r="AJ40" s="228">
        <v>11.5</v>
      </c>
      <c r="AK40" s="228">
        <v>11.3</v>
      </c>
      <c r="AL40" s="228">
        <v>0.2</v>
      </c>
      <c r="AM40" s="229">
        <v>1.2999999999999999E-2</v>
      </c>
      <c r="AN40" s="228">
        <v>888.57</v>
      </c>
      <c r="AO40" s="228">
        <v>893.29</v>
      </c>
      <c r="AP40" s="228">
        <v>0</v>
      </c>
      <c r="AQ40" s="230">
        <v>21791</v>
      </c>
      <c r="AR40" s="230">
        <v>15397</v>
      </c>
      <c r="AS40" s="230">
        <v>6394</v>
      </c>
      <c r="AT40" s="229">
        <v>0.4153</v>
      </c>
      <c r="AU40" s="230">
        <v>18985</v>
      </c>
      <c r="AV40" s="230">
        <v>13338</v>
      </c>
      <c r="AW40" s="230">
        <v>5647</v>
      </c>
      <c r="AX40" s="229">
        <v>0.4234</v>
      </c>
      <c r="AY40" s="230">
        <v>2593</v>
      </c>
      <c r="AZ40" s="230">
        <v>1872</v>
      </c>
      <c r="BA40" s="228">
        <v>721</v>
      </c>
      <c r="BB40" s="229">
        <v>0.3851</v>
      </c>
      <c r="BC40" s="228">
        <v>213</v>
      </c>
      <c r="BD40" s="228">
        <v>187</v>
      </c>
      <c r="BE40" s="228">
        <v>26</v>
      </c>
      <c r="BF40" s="229">
        <v>0.13900000000000001</v>
      </c>
      <c r="BG40" s="230">
        <v>90016</v>
      </c>
      <c r="BH40" s="230">
        <v>87075</v>
      </c>
      <c r="BI40" s="230">
        <v>2941</v>
      </c>
      <c r="BJ40" s="229">
        <v>3.3799999999999997E-2</v>
      </c>
      <c r="BK40" s="230">
        <v>58186</v>
      </c>
      <c r="BL40" s="230">
        <v>55142</v>
      </c>
      <c r="BM40" s="230">
        <v>3044</v>
      </c>
      <c r="BN40" s="229">
        <v>5.5199999999999999E-2</v>
      </c>
      <c r="BO40" s="230">
        <v>169993</v>
      </c>
      <c r="BP40" s="230">
        <v>157614</v>
      </c>
      <c r="BQ40" s="230">
        <v>12379</v>
      </c>
      <c r="BR40" s="229">
        <v>7.85E-2</v>
      </c>
      <c r="BS40" s="230">
        <v>9566654</v>
      </c>
      <c r="BT40" s="230">
        <v>8833770</v>
      </c>
      <c r="BU40" s="230">
        <v>732884</v>
      </c>
      <c r="BV40" s="229">
        <v>8.3000000000000004E-2</v>
      </c>
      <c r="BW40" s="230">
        <v>88874250</v>
      </c>
      <c r="BX40" s="230">
        <v>90069750</v>
      </c>
      <c r="BY40" s="230">
        <v>-1195500</v>
      </c>
      <c r="BZ40" s="229">
        <v>-1.3299999999999999E-2</v>
      </c>
      <c r="CA40" s="230">
        <v>83890500</v>
      </c>
      <c r="CB40" s="230">
        <v>85671000</v>
      </c>
      <c r="CC40" s="230">
        <v>-1780500</v>
      </c>
      <c r="CD40" s="229">
        <v>-2.0799999999999999E-2</v>
      </c>
      <c r="CE40" s="230">
        <v>4545000</v>
      </c>
      <c r="CF40" s="230">
        <v>3966750</v>
      </c>
      <c r="CG40" s="230">
        <v>578250</v>
      </c>
      <c r="CH40" s="229">
        <v>0.14580000000000001</v>
      </c>
      <c r="CI40" s="230">
        <v>438750</v>
      </c>
      <c r="CJ40" s="230">
        <v>432000</v>
      </c>
      <c r="CK40" s="230">
        <v>6750</v>
      </c>
      <c r="CL40" s="229">
        <v>1.5599999999999999E-2</v>
      </c>
      <c r="CM40" s="230">
        <v>53025750</v>
      </c>
      <c r="CN40" s="230">
        <v>52584750</v>
      </c>
      <c r="CO40" s="230">
        <v>441000</v>
      </c>
      <c r="CP40" s="229">
        <v>8.3999999999999995E-3</v>
      </c>
      <c r="CQ40" s="230">
        <v>35006250</v>
      </c>
      <c r="CR40" s="230">
        <v>32405250</v>
      </c>
      <c r="CS40" s="230">
        <v>2601000</v>
      </c>
      <c r="CT40" s="229">
        <v>8.0299999999999996E-2</v>
      </c>
      <c r="CU40" s="230">
        <v>176906250</v>
      </c>
      <c r="CV40" s="230">
        <v>175059750</v>
      </c>
      <c r="CW40" s="230">
        <v>1846500</v>
      </c>
      <c r="CX40" s="229">
        <v>1.0500000000000001E-2</v>
      </c>
      <c r="CY40" s="228">
        <v>17.190000000000001</v>
      </c>
      <c r="CZ40" s="228">
        <v>17.399999999999999</v>
      </c>
      <c r="DA40" s="228">
        <v>-0.21</v>
      </c>
      <c r="DB40" s="228">
        <v>-0.21</v>
      </c>
      <c r="DC40" s="228">
        <v>26.24</v>
      </c>
      <c r="DD40" s="228">
        <v>26.31</v>
      </c>
      <c r="DE40" s="228">
        <v>-9.0500000000000007</v>
      </c>
      <c r="DF40" s="228">
        <v>-7.0000000000000007E-2</v>
      </c>
      <c r="DG40" s="228">
        <v>16.850000000000001</v>
      </c>
      <c r="DH40" s="228">
        <v>16.87</v>
      </c>
      <c r="DI40" s="228">
        <v>-0.02</v>
      </c>
      <c r="DJ40" s="228">
        <v>-0.02</v>
      </c>
      <c r="DK40" s="228">
        <v>17.71</v>
      </c>
      <c r="DL40" s="228">
        <v>18.239999999999998</v>
      </c>
      <c r="DM40" s="228">
        <v>-0.53</v>
      </c>
      <c r="DN40" s="228">
        <v>-0.53</v>
      </c>
      <c r="DO40" s="228">
        <v>0.66</v>
      </c>
      <c r="DP40" s="228">
        <v>0.62</v>
      </c>
      <c r="DQ40" s="228">
        <v>0.04</v>
      </c>
      <c r="DR40" s="229">
        <v>6.4500000000000002E-2</v>
      </c>
      <c r="DS40" s="228">
        <v>900</v>
      </c>
      <c r="DT40" s="228">
        <v>880</v>
      </c>
      <c r="DU40" s="228">
        <v>0.65</v>
      </c>
      <c r="DV40" s="228">
        <v>0.63</v>
      </c>
      <c r="DW40" s="228">
        <v>0.02</v>
      </c>
      <c r="DX40" s="229">
        <v>3.1699999999999999E-2</v>
      </c>
      <c r="DY40" s="229">
        <v>5.6099999999999997E-2</v>
      </c>
      <c r="DZ40" s="230">
        <v>4398750</v>
      </c>
      <c r="EA40" s="229">
        <v>5.4999999999999997E-3</v>
      </c>
      <c r="EB40" s="229">
        <v>5.6099999999999997E-2</v>
      </c>
      <c r="EC40" s="228">
        <v>4.72</v>
      </c>
      <c r="ED40" s="229">
        <v>5.3E-3</v>
      </c>
      <c r="EE40" s="230">
        <v>5178098</v>
      </c>
      <c r="EF40" s="230">
        <v>5100836</v>
      </c>
      <c r="EG40" s="229">
        <v>1.5100000000000001E-2</v>
      </c>
      <c r="EH40" s="229">
        <v>0.5413</v>
      </c>
      <c r="EI40" s="231">
        <v>612715.46</v>
      </c>
      <c r="EJ40" s="231">
        <v>383183.94</v>
      </c>
      <c r="EK40" s="231">
        <v>145329.17000000001</v>
      </c>
      <c r="EL40" s="231">
        <v>19537</v>
      </c>
      <c r="EM40" s="231">
        <v>1141228.57</v>
      </c>
      <c r="EN40" s="231">
        <v>1055065.47</v>
      </c>
      <c r="EO40" s="231">
        <v>86163.1</v>
      </c>
      <c r="EP40" s="229">
        <v>8.1699999999999995E-2</v>
      </c>
      <c r="EQ40" s="231">
        <v>478058</v>
      </c>
      <c r="ER40" s="231">
        <v>297950</v>
      </c>
      <c r="ES40" s="231">
        <v>789737</v>
      </c>
      <c r="ET40" s="231">
        <v>407307212</v>
      </c>
      <c r="EU40" s="231">
        <v>1565745</v>
      </c>
      <c r="EV40" s="231">
        <v>1548565</v>
      </c>
      <c r="EW40" s="231">
        <v>17180</v>
      </c>
      <c r="EX40" s="229">
        <v>1.11E-2</v>
      </c>
      <c r="EY40" s="229">
        <v>0.43430000000000002</v>
      </c>
    </row>
    <row r="41" spans="1:155" ht="17.25" thickBot="1" x14ac:dyDescent="0.3">
      <c r="A41" s="226">
        <v>45946</v>
      </c>
      <c r="B41" s="227" t="s">
        <v>175</v>
      </c>
      <c r="C41" s="227" t="s">
        <v>562</v>
      </c>
      <c r="D41" s="228">
        <v>673.45</v>
      </c>
      <c r="E41" s="228">
        <v>679.65</v>
      </c>
      <c r="F41" s="228">
        <v>-6.2</v>
      </c>
      <c r="G41" s="229">
        <v>-9.1000000000000004E-3</v>
      </c>
      <c r="H41" s="228">
        <v>672.5</v>
      </c>
      <c r="I41" s="228">
        <v>677.15</v>
      </c>
      <c r="J41" s="228">
        <v>-4.6500000000000004</v>
      </c>
      <c r="K41" s="229">
        <v>-6.8999999999999999E-3</v>
      </c>
      <c r="L41" s="228">
        <v>673.45</v>
      </c>
      <c r="M41" s="228">
        <v>679.65</v>
      </c>
      <c r="N41" s="228">
        <v>-6.2</v>
      </c>
      <c r="O41" s="229">
        <v>-9.1000000000000004E-3</v>
      </c>
      <c r="P41" s="228">
        <v>672.95</v>
      </c>
      <c r="Q41" s="228">
        <v>679.5</v>
      </c>
      <c r="R41" s="228">
        <v>-6.55</v>
      </c>
      <c r="S41" s="229">
        <v>-9.5999999999999992E-3</v>
      </c>
      <c r="T41" s="228">
        <v>677.5</v>
      </c>
      <c r="U41" s="228">
        <v>684.25</v>
      </c>
      <c r="V41" s="228">
        <v>-6.75</v>
      </c>
      <c r="W41" s="229">
        <v>-9.9000000000000008E-3</v>
      </c>
      <c r="X41" s="228">
        <v>0.95</v>
      </c>
      <c r="Y41" s="228">
        <v>2.5</v>
      </c>
      <c r="Z41" s="228">
        <v>-1.55</v>
      </c>
      <c r="AA41" s="229">
        <v>1.4E-3</v>
      </c>
      <c r="AB41" s="228">
        <v>0.95</v>
      </c>
      <c r="AC41" s="228">
        <v>2.5</v>
      </c>
      <c r="AD41" s="228">
        <v>-1.55</v>
      </c>
      <c r="AE41" s="229">
        <v>1.4E-3</v>
      </c>
      <c r="AF41" s="228">
        <v>0.45</v>
      </c>
      <c r="AG41" s="228">
        <v>2.35</v>
      </c>
      <c r="AH41" s="228">
        <v>-1.9</v>
      </c>
      <c r="AI41" s="229">
        <v>6.9999999999999999E-4</v>
      </c>
      <c r="AJ41" s="228">
        <v>5</v>
      </c>
      <c r="AK41" s="228">
        <v>7.1</v>
      </c>
      <c r="AL41" s="228">
        <v>-2.1</v>
      </c>
      <c r="AM41" s="229">
        <v>7.4000000000000003E-3</v>
      </c>
      <c r="AN41" s="228">
        <v>670.3</v>
      </c>
      <c r="AO41" s="228">
        <v>669.4</v>
      </c>
      <c r="AP41" s="228">
        <v>0</v>
      </c>
      <c r="AQ41" s="230">
        <v>10278</v>
      </c>
      <c r="AR41" s="230">
        <v>9641</v>
      </c>
      <c r="AS41" s="228">
        <v>637</v>
      </c>
      <c r="AT41" s="229">
        <v>6.6100000000000006E-2</v>
      </c>
      <c r="AU41" s="230">
        <v>8834</v>
      </c>
      <c r="AV41" s="230">
        <v>8614</v>
      </c>
      <c r="AW41" s="228">
        <v>220</v>
      </c>
      <c r="AX41" s="229">
        <v>2.5499999999999998E-2</v>
      </c>
      <c r="AY41" s="230">
        <v>1341</v>
      </c>
      <c r="AZ41" s="228">
        <v>962</v>
      </c>
      <c r="BA41" s="228">
        <v>379</v>
      </c>
      <c r="BB41" s="229">
        <v>0.39400000000000002</v>
      </c>
      <c r="BC41" s="228">
        <v>103</v>
      </c>
      <c r="BD41" s="228">
        <v>65</v>
      </c>
      <c r="BE41" s="228">
        <v>38</v>
      </c>
      <c r="BF41" s="229">
        <v>0.58460000000000001</v>
      </c>
      <c r="BG41" s="230">
        <v>22789</v>
      </c>
      <c r="BH41" s="230">
        <v>25925</v>
      </c>
      <c r="BI41" s="230">
        <v>-3136</v>
      </c>
      <c r="BJ41" s="229">
        <v>-0.121</v>
      </c>
      <c r="BK41" s="230">
        <v>10189</v>
      </c>
      <c r="BL41" s="230">
        <v>13803</v>
      </c>
      <c r="BM41" s="230">
        <v>-3614</v>
      </c>
      <c r="BN41" s="229">
        <v>-0.26179999999999998</v>
      </c>
      <c r="BO41" s="230">
        <v>43256</v>
      </c>
      <c r="BP41" s="230">
        <v>49369</v>
      </c>
      <c r="BQ41" s="230">
        <v>-6113</v>
      </c>
      <c r="BR41" s="229">
        <v>-0.12379999999999999</v>
      </c>
      <c r="BS41" s="230">
        <v>5585775</v>
      </c>
      <c r="BT41" s="230">
        <v>4784028</v>
      </c>
      <c r="BU41" s="230">
        <v>801747</v>
      </c>
      <c r="BV41" s="229">
        <v>0.1676</v>
      </c>
      <c r="BW41" s="230">
        <v>49462875</v>
      </c>
      <c r="BX41" s="230">
        <v>49711200</v>
      </c>
      <c r="BY41" s="230">
        <v>-248325</v>
      </c>
      <c r="BZ41" s="229">
        <v>-5.0000000000000001E-3</v>
      </c>
      <c r="CA41" s="230">
        <v>47109150</v>
      </c>
      <c r="CB41" s="230">
        <v>47897025</v>
      </c>
      <c r="CC41" s="230">
        <v>-787875</v>
      </c>
      <c r="CD41" s="229">
        <v>-1.6400000000000001E-2</v>
      </c>
      <c r="CE41" s="230">
        <v>2118600</v>
      </c>
      <c r="CF41" s="230">
        <v>1617000</v>
      </c>
      <c r="CG41" s="230">
        <v>501600</v>
      </c>
      <c r="CH41" s="229">
        <v>0.31019999999999998</v>
      </c>
      <c r="CI41" s="230">
        <v>235125</v>
      </c>
      <c r="CJ41" s="230">
        <v>197175</v>
      </c>
      <c r="CK41" s="230">
        <v>37950</v>
      </c>
      <c r="CL41" s="229">
        <v>0.1925</v>
      </c>
      <c r="CM41" s="230">
        <v>9180600</v>
      </c>
      <c r="CN41" s="230">
        <v>8302800</v>
      </c>
      <c r="CO41" s="230">
        <v>877800</v>
      </c>
      <c r="CP41" s="229">
        <v>0.1057</v>
      </c>
      <c r="CQ41" s="230">
        <v>6967950</v>
      </c>
      <c r="CR41" s="230">
        <v>6833475</v>
      </c>
      <c r="CS41" s="230">
        <v>134475</v>
      </c>
      <c r="CT41" s="229">
        <v>1.9699999999999999E-2</v>
      </c>
      <c r="CU41" s="230">
        <v>65611425</v>
      </c>
      <c r="CV41" s="230">
        <v>64847475</v>
      </c>
      <c r="CW41" s="230">
        <v>763950</v>
      </c>
      <c r="CX41" s="229">
        <v>1.18E-2</v>
      </c>
      <c r="CY41" s="228">
        <v>28.26</v>
      </c>
      <c r="CZ41" s="228">
        <v>29.17</v>
      </c>
      <c r="DA41" s="228">
        <v>-0.91</v>
      </c>
      <c r="DB41" s="228">
        <v>-0.91</v>
      </c>
      <c r="DC41" s="228">
        <v>40.630000000000003</v>
      </c>
      <c r="DD41" s="228">
        <v>40.72</v>
      </c>
      <c r="DE41" s="228">
        <v>-12.37</v>
      </c>
      <c r="DF41" s="228">
        <v>-0.09</v>
      </c>
      <c r="DG41" s="228">
        <v>27.99</v>
      </c>
      <c r="DH41" s="228">
        <v>28.48</v>
      </c>
      <c r="DI41" s="228">
        <v>-0.49</v>
      </c>
      <c r="DJ41" s="228">
        <v>-0.49</v>
      </c>
      <c r="DK41" s="228">
        <v>28.86</v>
      </c>
      <c r="DL41" s="228">
        <v>30.47</v>
      </c>
      <c r="DM41" s="228">
        <v>-1.61</v>
      </c>
      <c r="DN41" s="228">
        <v>-1.61</v>
      </c>
      <c r="DO41" s="228">
        <v>0.76</v>
      </c>
      <c r="DP41" s="228">
        <v>0.82</v>
      </c>
      <c r="DQ41" s="228">
        <v>-0.06</v>
      </c>
      <c r="DR41" s="229">
        <v>-7.3200000000000001E-2</v>
      </c>
      <c r="DS41" s="228">
        <v>680</v>
      </c>
      <c r="DT41" s="228">
        <v>660</v>
      </c>
      <c r="DU41" s="228">
        <v>0.45</v>
      </c>
      <c r="DV41" s="228">
        <v>0.53</v>
      </c>
      <c r="DW41" s="228">
        <v>-0.08</v>
      </c>
      <c r="DX41" s="229">
        <v>-0.15090000000000001</v>
      </c>
      <c r="DY41" s="229">
        <v>4.7600000000000003E-2</v>
      </c>
      <c r="DZ41" s="230">
        <v>1814175</v>
      </c>
      <c r="EA41" s="229">
        <v>-6.9999999999999999E-4</v>
      </c>
      <c r="EB41" s="229">
        <v>4.7600000000000003E-2</v>
      </c>
      <c r="EC41" s="228">
        <v>-0.9</v>
      </c>
      <c r="ED41" s="229">
        <v>-1.2999999999999999E-3</v>
      </c>
      <c r="EE41" s="230">
        <v>2872134</v>
      </c>
      <c r="EF41" s="230">
        <v>2846670</v>
      </c>
      <c r="EG41" s="229">
        <v>8.8999999999999999E-3</v>
      </c>
      <c r="EH41" s="229">
        <v>0.51419999999999999</v>
      </c>
      <c r="EI41" s="231">
        <v>130786.99</v>
      </c>
      <c r="EJ41" s="231">
        <v>55624.67</v>
      </c>
      <c r="EK41" s="231">
        <v>56829.42</v>
      </c>
      <c r="EL41" s="231">
        <v>5722</v>
      </c>
      <c r="EM41" s="231">
        <v>243241.08</v>
      </c>
      <c r="EN41" s="231">
        <v>280157.74</v>
      </c>
      <c r="EO41" s="231">
        <v>-36916.660000000003</v>
      </c>
      <c r="EP41" s="229">
        <v>-0.1318</v>
      </c>
      <c r="EQ41" s="231">
        <v>63039</v>
      </c>
      <c r="ER41" s="231">
        <v>44173</v>
      </c>
      <c r="ES41" s="231">
        <v>333107</v>
      </c>
      <c r="ET41" s="231">
        <v>210459276</v>
      </c>
      <c r="EU41" s="231">
        <v>440319</v>
      </c>
      <c r="EV41" s="231">
        <v>438237</v>
      </c>
      <c r="EW41" s="231">
        <v>2082</v>
      </c>
      <c r="EX41" s="229">
        <v>4.7999999999999996E-3</v>
      </c>
      <c r="EY41" s="229">
        <v>0.31180000000000002</v>
      </c>
    </row>
    <row r="42" spans="1:155" ht="17.25" thickBot="1" x14ac:dyDescent="0.3">
      <c r="A42" s="226">
        <v>45946</v>
      </c>
      <c r="B42" s="227" t="s">
        <v>170</v>
      </c>
      <c r="C42" s="227" t="s">
        <v>288</v>
      </c>
      <c r="D42" s="231">
        <v>1665.6</v>
      </c>
      <c r="E42" s="231">
        <v>1661.4</v>
      </c>
      <c r="F42" s="228">
        <v>4.2</v>
      </c>
      <c r="G42" s="229">
        <v>2.5000000000000001E-3</v>
      </c>
      <c r="H42" s="231">
        <v>1659</v>
      </c>
      <c r="I42" s="231">
        <v>1655.1</v>
      </c>
      <c r="J42" s="228">
        <v>3.9</v>
      </c>
      <c r="K42" s="229">
        <v>2.3999999999999998E-3</v>
      </c>
      <c r="L42" s="231">
        <v>1665.6</v>
      </c>
      <c r="M42" s="231">
        <v>1661.4</v>
      </c>
      <c r="N42" s="228">
        <v>4.2</v>
      </c>
      <c r="O42" s="229">
        <v>2.5000000000000001E-3</v>
      </c>
      <c r="P42" s="231">
        <v>1674.3</v>
      </c>
      <c r="Q42" s="231">
        <v>1670</v>
      </c>
      <c r="R42" s="228">
        <v>4.3</v>
      </c>
      <c r="S42" s="229">
        <v>2.5999999999999999E-3</v>
      </c>
      <c r="T42" s="231">
        <v>1684.3</v>
      </c>
      <c r="U42" s="231">
        <v>1681.3</v>
      </c>
      <c r="V42" s="228">
        <v>3</v>
      </c>
      <c r="W42" s="229">
        <v>1.8E-3</v>
      </c>
      <c r="X42" s="228">
        <v>6.6</v>
      </c>
      <c r="Y42" s="228">
        <v>6.3</v>
      </c>
      <c r="Z42" s="228">
        <v>0.3</v>
      </c>
      <c r="AA42" s="229">
        <v>4.0000000000000001E-3</v>
      </c>
      <c r="AB42" s="228">
        <v>6.6</v>
      </c>
      <c r="AC42" s="228">
        <v>6.3</v>
      </c>
      <c r="AD42" s="228">
        <v>0.3</v>
      </c>
      <c r="AE42" s="229">
        <v>4.0000000000000001E-3</v>
      </c>
      <c r="AF42" s="228">
        <v>15.3</v>
      </c>
      <c r="AG42" s="228">
        <v>14.9</v>
      </c>
      <c r="AH42" s="228">
        <v>0.4</v>
      </c>
      <c r="AI42" s="229">
        <v>9.1999999999999998E-3</v>
      </c>
      <c r="AJ42" s="228">
        <v>25.3</v>
      </c>
      <c r="AK42" s="228">
        <v>26.2</v>
      </c>
      <c r="AL42" s="228">
        <v>-0.9</v>
      </c>
      <c r="AM42" s="229">
        <v>1.5299999999999999E-2</v>
      </c>
      <c r="AN42" s="231">
        <v>1659.56</v>
      </c>
      <c r="AO42" s="231">
        <v>1668.35</v>
      </c>
      <c r="AP42" s="228">
        <v>0</v>
      </c>
      <c r="AQ42" s="230">
        <v>6210</v>
      </c>
      <c r="AR42" s="230">
        <v>4322</v>
      </c>
      <c r="AS42" s="230">
        <v>1888</v>
      </c>
      <c r="AT42" s="229">
        <v>0.43680000000000002</v>
      </c>
      <c r="AU42" s="230">
        <v>5229</v>
      </c>
      <c r="AV42" s="230">
        <v>3329</v>
      </c>
      <c r="AW42" s="230">
        <v>1900</v>
      </c>
      <c r="AX42" s="229">
        <v>0.57069999999999999</v>
      </c>
      <c r="AY42" s="228">
        <v>956</v>
      </c>
      <c r="AZ42" s="228">
        <v>977</v>
      </c>
      <c r="BA42" s="228">
        <v>-21</v>
      </c>
      <c r="BB42" s="229">
        <v>-2.1499999999999998E-2</v>
      </c>
      <c r="BC42" s="228">
        <v>25</v>
      </c>
      <c r="BD42" s="228">
        <v>16</v>
      </c>
      <c r="BE42" s="228">
        <v>9</v>
      </c>
      <c r="BF42" s="229">
        <v>0.5625</v>
      </c>
      <c r="BG42" s="230">
        <v>14975</v>
      </c>
      <c r="BH42" s="230">
        <v>17053</v>
      </c>
      <c r="BI42" s="230">
        <v>-2078</v>
      </c>
      <c r="BJ42" s="229">
        <v>-0.12189999999999999</v>
      </c>
      <c r="BK42" s="230">
        <v>10909</v>
      </c>
      <c r="BL42" s="230">
        <v>11818</v>
      </c>
      <c r="BM42" s="228">
        <v>-909</v>
      </c>
      <c r="BN42" s="229">
        <v>-7.6899999999999996E-2</v>
      </c>
      <c r="BO42" s="230">
        <v>32094</v>
      </c>
      <c r="BP42" s="230">
        <v>33193</v>
      </c>
      <c r="BQ42" s="230">
        <v>-1099</v>
      </c>
      <c r="BR42" s="229">
        <v>-3.3099999999999997E-2</v>
      </c>
      <c r="BS42" s="230">
        <v>2976665</v>
      </c>
      <c r="BT42" s="230">
        <v>2108204</v>
      </c>
      <c r="BU42" s="230">
        <v>868461</v>
      </c>
      <c r="BV42" s="229">
        <v>0.41189999999999999</v>
      </c>
      <c r="BW42" s="230">
        <v>15803200</v>
      </c>
      <c r="BX42" s="230">
        <v>15348550</v>
      </c>
      <c r="BY42" s="230">
        <v>454650</v>
      </c>
      <c r="BZ42" s="229">
        <v>2.9600000000000001E-2</v>
      </c>
      <c r="CA42" s="230">
        <v>15025850</v>
      </c>
      <c r="CB42" s="230">
        <v>14778050</v>
      </c>
      <c r="CC42" s="230">
        <v>247800</v>
      </c>
      <c r="CD42" s="229">
        <v>1.6799999999999999E-2</v>
      </c>
      <c r="CE42" s="230">
        <v>733950</v>
      </c>
      <c r="CF42" s="230">
        <v>529200</v>
      </c>
      <c r="CG42" s="230">
        <v>204750</v>
      </c>
      <c r="CH42" s="229">
        <v>0.38690000000000002</v>
      </c>
      <c r="CI42" s="230">
        <v>43400</v>
      </c>
      <c r="CJ42" s="230">
        <v>41300</v>
      </c>
      <c r="CK42" s="230">
        <v>2100</v>
      </c>
      <c r="CL42" s="229">
        <v>5.0799999999999998E-2</v>
      </c>
      <c r="CM42" s="230">
        <v>5198900</v>
      </c>
      <c r="CN42" s="230">
        <v>5278350</v>
      </c>
      <c r="CO42" s="230">
        <v>-79450</v>
      </c>
      <c r="CP42" s="229">
        <v>-1.5100000000000001E-2</v>
      </c>
      <c r="CQ42" s="230">
        <v>4578350</v>
      </c>
      <c r="CR42" s="230">
        <v>4626650</v>
      </c>
      <c r="CS42" s="230">
        <v>-48300</v>
      </c>
      <c r="CT42" s="229">
        <v>-1.04E-2</v>
      </c>
      <c r="CU42" s="230">
        <v>25580450</v>
      </c>
      <c r="CV42" s="230">
        <v>25253550</v>
      </c>
      <c r="CW42" s="230">
        <v>326900</v>
      </c>
      <c r="CX42" s="229">
        <v>1.29E-2</v>
      </c>
      <c r="CY42" s="228">
        <v>18.97</v>
      </c>
      <c r="CZ42" s="228">
        <v>19.29</v>
      </c>
      <c r="DA42" s="228">
        <v>-0.32</v>
      </c>
      <c r="DB42" s="228">
        <v>-0.32</v>
      </c>
      <c r="DC42" s="228">
        <v>23.93</v>
      </c>
      <c r="DD42" s="228">
        <v>23.99</v>
      </c>
      <c r="DE42" s="228">
        <v>-4.96</v>
      </c>
      <c r="DF42" s="228">
        <v>-0.06</v>
      </c>
      <c r="DG42" s="228">
        <v>17.43</v>
      </c>
      <c r="DH42" s="228">
        <v>17.97</v>
      </c>
      <c r="DI42" s="228">
        <v>-0.54</v>
      </c>
      <c r="DJ42" s="228">
        <v>-0.54</v>
      </c>
      <c r="DK42" s="228">
        <v>21.07</v>
      </c>
      <c r="DL42" s="228">
        <v>21.21</v>
      </c>
      <c r="DM42" s="228">
        <v>-0.14000000000000001</v>
      </c>
      <c r="DN42" s="228">
        <v>-0.14000000000000001</v>
      </c>
      <c r="DO42" s="228">
        <v>0.88</v>
      </c>
      <c r="DP42" s="228">
        <v>0.88</v>
      </c>
      <c r="DQ42" s="228">
        <v>0</v>
      </c>
      <c r="DR42" s="229">
        <v>0</v>
      </c>
      <c r="DS42" s="231">
        <v>1680</v>
      </c>
      <c r="DT42" s="231">
        <v>1500</v>
      </c>
      <c r="DU42" s="228">
        <v>0.73</v>
      </c>
      <c r="DV42" s="228">
        <v>0.69</v>
      </c>
      <c r="DW42" s="228">
        <v>0.04</v>
      </c>
      <c r="DX42" s="229">
        <v>5.8000000000000003E-2</v>
      </c>
      <c r="DY42" s="229">
        <v>4.9200000000000001E-2</v>
      </c>
      <c r="DZ42" s="230">
        <v>570500</v>
      </c>
      <c r="EA42" s="229">
        <v>5.1999999999999998E-3</v>
      </c>
      <c r="EB42" s="229">
        <v>4.9200000000000001E-2</v>
      </c>
      <c r="EC42" s="228">
        <v>8.7899999999999991</v>
      </c>
      <c r="ED42" s="229">
        <v>5.3E-3</v>
      </c>
      <c r="EE42" s="230">
        <v>2374252</v>
      </c>
      <c r="EF42" s="230">
        <v>1479617</v>
      </c>
      <c r="EG42" s="229">
        <v>0.60460000000000003</v>
      </c>
      <c r="EH42" s="229">
        <v>0.79759999999999998</v>
      </c>
      <c r="EI42" s="231">
        <v>88978.2</v>
      </c>
      <c r="EJ42" s="231">
        <v>62595.47</v>
      </c>
      <c r="EK42" s="231">
        <v>36101.58</v>
      </c>
      <c r="EL42" s="231">
        <v>4266</v>
      </c>
      <c r="EM42" s="231">
        <v>187675.25</v>
      </c>
      <c r="EN42" s="231">
        <v>194934.02</v>
      </c>
      <c r="EO42" s="231">
        <v>-7258.77</v>
      </c>
      <c r="EP42" s="229">
        <v>-3.7199999999999997E-2</v>
      </c>
      <c r="EQ42" s="231">
        <v>88097</v>
      </c>
      <c r="ER42" s="231">
        <v>72460</v>
      </c>
      <c r="ES42" s="231">
        <v>263290</v>
      </c>
      <c r="ET42" s="231">
        <v>109220043</v>
      </c>
      <c r="EU42" s="231">
        <v>423847</v>
      </c>
      <c r="EV42" s="231">
        <v>417684</v>
      </c>
      <c r="EW42" s="231">
        <v>6163</v>
      </c>
      <c r="EX42" s="229">
        <v>1.4800000000000001E-2</v>
      </c>
      <c r="EY42" s="229">
        <v>0.23419999999999999</v>
      </c>
    </row>
    <row r="43" spans="1:155" ht="17.25" thickBot="1" x14ac:dyDescent="0.3">
      <c r="A43" s="226">
        <v>45946</v>
      </c>
      <c r="B43" s="227" t="s">
        <v>168</v>
      </c>
      <c r="C43" s="227" t="s">
        <v>291</v>
      </c>
      <c r="D43" s="231">
        <v>1151.2</v>
      </c>
      <c r="E43" s="231">
        <v>1119</v>
      </c>
      <c r="F43" s="228">
        <v>32.200000000000003</v>
      </c>
      <c r="G43" s="229">
        <v>2.8799999999999999E-2</v>
      </c>
      <c r="H43" s="231">
        <v>1149.3</v>
      </c>
      <c r="I43" s="231">
        <v>1114.2</v>
      </c>
      <c r="J43" s="228">
        <v>35.1</v>
      </c>
      <c r="K43" s="229">
        <v>3.15E-2</v>
      </c>
      <c r="L43" s="231">
        <v>1151.2</v>
      </c>
      <c r="M43" s="231">
        <v>1119</v>
      </c>
      <c r="N43" s="228">
        <v>32.200000000000003</v>
      </c>
      <c r="O43" s="229">
        <v>2.8799999999999999E-2</v>
      </c>
      <c r="P43" s="231">
        <v>1157.3</v>
      </c>
      <c r="Q43" s="231">
        <v>1124.8</v>
      </c>
      <c r="R43" s="228">
        <v>32.5</v>
      </c>
      <c r="S43" s="229">
        <v>2.8899999999999999E-2</v>
      </c>
      <c r="T43" s="231">
        <v>1164.5</v>
      </c>
      <c r="U43" s="231">
        <v>1137.5999999999999</v>
      </c>
      <c r="V43" s="228">
        <v>26.9</v>
      </c>
      <c r="W43" s="229">
        <v>2.3599999999999999E-2</v>
      </c>
      <c r="X43" s="228">
        <v>1.9</v>
      </c>
      <c r="Y43" s="228">
        <v>4.8</v>
      </c>
      <c r="Z43" s="228">
        <v>-2.9</v>
      </c>
      <c r="AA43" s="229">
        <v>1.6999999999999999E-3</v>
      </c>
      <c r="AB43" s="228">
        <v>1.9</v>
      </c>
      <c r="AC43" s="228">
        <v>4.8</v>
      </c>
      <c r="AD43" s="228">
        <v>-2.9</v>
      </c>
      <c r="AE43" s="229">
        <v>1.6999999999999999E-3</v>
      </c>
      <c r="AF43" s="228">
        <v>8</v>
      </c>
      <c r="AG43" s="228">
        <v>10.6</v>
      </c>
      <c r="AH43" s="228">
        <v>-2.6</v>
      </c>
      <c r="AI43" s="229">
        <v>7.0000000000000001E-3</v>
      </c>
      <c r="AJ43" s="228">
        <v>15.2</v>
      </c>
      <c r="AK43" s="228">
        <v>23.4</v>
      </c>
      <c r="AL43" s="228">
        <v>-8.1999999999999993</v>
      </c>
      <c r="AM43" s="229">
        <v>1.32E-2</v>
      </c>
      <c r="AN43" s="231">
        <v>1135.32</v>
      </c>
      <c r="AO43" s="231">
        <v>1140.76</v>
      </c>
      <c r="AP43" s="228">
        <v>0</v>
      </c>
      <c r="AQ43" s="230">
        <v>6383</v>
      </c>
      <c r="AR43" s="230">
        <v>2506</v>
      </c>
      <c r="AS43" s="230">
        <v>3877</v>
      </c>
      <c r="AT43" s="229">
        <v>1.5470999999999999</v>
      </c>
      <c r="AU43" s="230">
        <v>5821</v>
      </c>
      <c r="AV43" s="230">
        <v>2148</v>
      </c>
      <c r="AW43" s="230">
        <v>3673</v>
      </c>
      <c r="AX43" s="229">
        <v>1.71</v>
      </c>
      <c r="AY43" s="228">
        <v>557</v>
      </c>
      <c r="AZ43" s="228">
        <v>351</v>
      </c>
      <c r="BA43" s="228">
        <v>206</v>
      </c>
      <c r="BB43" s="229">
        <v>0.58689999999999998</v>
      </c>
      <c r="BC43" s="228">
        <v>5</v>
      </c>
      <c r="BD43" s="228">
        <v>7</v>
      </c>
      <c r="BE43" s="228">
        <v>-2</v>
      </c>
      <c r="BF43" s="229">
        <v>-0.28570000000000001</v>
      </c>
      <c r="BG43" s="230">
        <v>23575</v>
      </c>
      <c r="BH43" s="230">
        <v>7393</v>
      </c>
      <c r="BI43" s="230">
        <v>16182</v>
      </c>
      <c r="BJ43" s="229">
        <v>2.1888000000000001</v>
      </c>
      <c r="BK43" s="230">
        <v>9773</v>
      </c>
      <c r="BL43" s="230">
        <v>2785</v>
      </c>
      <c r="BM43" s="230">
        <v>6988</v>
      </c>
      <c r="BN43" s="229">
        <v>2.5091999999999999</v>
      </c>
      <c r="BO43" s="230">
        <v>39731</v>
      </c>
      <c r="BP43" s="230">
        <v>12684</v>
      </c>
      <c r="BQ43" s="230">
        <v>27047</v>
      </c>
      <c r="BR43" s="229">
        <v>2.1324000000000001</v>
      </c>
      <c r="BS43" s="230">
        <v>2420139</v>
      </c>
      <c r="BT43" s="230">
        <v>1335722</v>
      </c>
      <c r="BU43" s="230">
        <v>1084417</v>
      </c>
      <c r="BV43" s="229">
        <v>0.81189999999999996</v>
      </c>
      <c r="BW43" s="230">
        <v>17212250</v>
      </c>
      <c r="BX43" s="230">
        <v>17037350</v>
      </c>
      <c r="BY43" s="230">
        <v>174900</v>
      </c>
      <c r="BZ43" s="229">
        <v>1.03E-2</v>
      </c>
      <c r="CA43" s="230">
        <v>16836050</v>
      </c>
      <c r="CB43" s="230">
        <v>16713950</v>
      </c>
      <c r="CC43" s="230">
        <v>122100</v>
      </c>
      <c r="CD43" s="229">
        <v>7.3000000000000001E-3</v>
      </c>
      <c r="CE43" s="230">
        <v>349250</v>
      </c>
      <c r="CF43" s="230">
        <v>295900</v>
      </c>
      <c r="CG43" s="230">
        <v>53350</v>
      </c>
      <c r="CH43" s="229">
        <v>0.18029999999999999</v>
      </c>
      <c r="CI43" s="230">
        <v>26950</v>
      </c>
      <c r="CJ43" s="230">
        <v>27500</v>
      </c>
      <c r="CK43" s="228">
        <v>-550</v>
      </c>
      <c r="CL43" s="229">
        <v>-0.02</v>
      </c>
      <c r="CM43" s="230">
        <v>3812050</v>
      </c>
      <c r="CN43" s="230">
        <v>3812600</v>
      </c>
      <c r="CO43" s="228">
        <v>-550</v>
      </c>
      <c r="CP43" s="229">
        <v>-1E-4</v>
      </c>
      <c r="CQ43" s="230">
        <v>1988250</v>
      </c>
      <c r="CR43" s="230">
        <v>1524050</v>
      </c>
      <c r="CS43" s="230">
        <v>464200</v>
      </c>
      <c r="CT43" s="229">
        <v>0.30459999999999998</v>
      </c>
      <c r="CU43" s="230">
        <v>23012550</v>
      </c>
      <c r="CV43" s="230">
        <v>22374000</v>
      </c>
      <c r="CW43" s="230">
        <v>638550</v>
      </c>
      <c r="CX43" s="229">
        <v>2.8500000000000001E-2</v>
      </c>
      <c r="CY43" s="228">
        <v>25.23</v>
      </c>
      <c r="CZ43" s="228">
        <v>24.36</v>
      </c>
      <c r="DA43" s="228">
        <v>0.87</v>
      </c>
      <c r="DB43" s="228">
        <v>0.87</v>
      </c>
      <c r="DC43" s="228">
        <v>26.99</v>
      </c>
      <c r="DD43" s="228">
        <v>26.73</v>
      </c>
      <c r="DE43" s="228">
        <v>-1.76</v>
      </c>
      <c r="DF43" s="228">
        <v>0.26</v>
      </c>
      <c r="DG43" s="228">
        <v>25.01</v>
      </c>
      <c r="DH43" s="228">
        <v>24.6</v>
      </c>
      <c r="DI43" s="228">
        <v>0.41</v>
      </c>
      <c r="DJ43" s="228">
        <v>0.41</v>
      </c>
      <c r="DK43" s="228">
        <v>25.75</v>
      </c>
      <c r="DL43" s="228">
        <v>23.7</v>
      </c>
      <c r="DM43" s="228">
        <v>2.0499999999999998</v>
      </c>
      <c r="DN43" s="228">
        <v>2.0499999999999998</v>
      </c>
      <c r="DO43" s="228">
        <v>0.52</v>
      </c>
      <c r="DP43" s="228">
        <v>0.4</v>
      </c>
      <c r="DQ43" s="228">
        <v>0.12</v>
      </c>
      <c r="DR43" s="229">
        <v>0.3</v>
      </c>
      <c r="DS43" s="231">
        <v>1150</v>
      </c>
      <c r="DT43" s="231">
        <v>1050</v>
      </c>
      <c r="DU43" s="228">
        <v>0.41</v>
      </c>
      <c r="DV43" s="228">
        <v>0.38</v>
      </c>
      <c r="DW43" s="228">
        <v>0.03</v>
      </c>
      <c r="DX43" s="229">
        <v>7.8899999999999998E-2</v>
      </c>
      <c r="DY43" s="229">
        <v>2.1899999999999999E-2</v>
      </c>
      <c r="DZ43" s="230">
        <v>323400</v>
      </c>
      <c r="EA43" s="229">
        <v>5.3E-3</v>
      </c>
      <c r="EB43" s="229">
        <v>2.1899999999999999E-2</v>
      </c>
      <c r="EC43" s="228">
        <v>5.44</v>
      </c>
      <c r="ED43" s="229">
        <v>4.7999999999999996E-3</v>
      </c>
      <c r="EE43" s="230">
        <v>1358433</v>
      </c>
      <c r="EF43" s="230">
        <v>940487</v>
      </c>
      <c r="EG43" s="229">
        <v>0.44440000000000002</v>
      </c>
      <c r="EH43" s="229">
        <v>0.56130000000000002</v>
      </c>
      <c r="EI43" s="231">
        <v>151667.34</v>
      </c>
      <c r="EJ43" s="231">
        <v>60379.23</v>
      </c>
      <c r="EK43" s="231">
        <v>39874.160000000003</v>
      </c>
      <c r="EL43" s="231">
        <v>2222</v>
      </c>
      <c r="EM43" s="231">
        <v>251920.73</v>
      </c>
      <c r="EN43" s="231">
        <v>79857.89</v>
      </c>
      <c r="EO43" s="231">
        <v>172062.84</v>
      </c>
      <c r="EP43" s="229">
        <v>2.1545999999999998</v>
      </c>
      <c r="EQ43" s="231">
        <v>45509</v>
      </c>
      <c r="ER43" s="231">
        <v>21607</v>
      </c>
      <c r="ES43" s="231">
        <v>198172</v>
      </c>
      <c r="ET43" s="231">
        <v>65471528</v>
      </c>
      <c r="EU43" s="231">
        <v>265288</v>
      </c>
      <c r="EV43" s="231">
        <v>252543</v>
      </c>
      <c r="EW43" s="231">
        <v>12745</v>
      </c>
      <c r="EX43" s="229">
        <v>5.0500000000000003E-2</v>
      </c>
      <c r="EY43" s="229">
        <v>0.35149999999999998</v>
      </c>
    </row>
    <row r="44" spans="1:155" ht="17.25" thickBot="1" x14ac:dyDescent="0.3">
      <c r="A44" s="226">
        <v>45946</v>
      </c>
      <c r="B44" s="227" t="s">
        <v>162</v>
      </c>
      <c r="C44" s="227" t="s">
        <v>292</v>
      </c>
      <c r="D44" s="228">
        <v>396.6</v>
      </c>
      <c r="E44" s="228">
        <v>391.1</v>
      </c>
      <c r="F44" s="228">
        <v>5.5</v>
      </c>
      <c r="G44" s="229">
        <v>1.41E-2</v>
      </c>
      <c r="H44" s="228">
        <v>396.8</v>
      </c>
      <c r="I44" s="228">
        <v>390.85</v>
      </c>
      <c r="J44" s="228">
        <v>5.95</v>
      </c>
      <c r="K44" s="229">
        <v>1.52E-2</v>
      </c>
      <c r="L44" s="228">
        <v>396.6</v>
      </c>
      <c r="M44" s="228">
        <v>391.1</v>
      </c>
      <c r="N44" s="228">
        <v>5.5</v>
      </c>
      <c r="O44" s="229">
        <v>1.41E-2</v>
      </c>
      <c r="P44" s="228">
        <v>399.1</v>
      </c>
      <c r="Q44" s="228">
        <v>393</v>
      </c>
      <c r="R44" s="228">
        <v>6.1</v>
      </c>
      <c r="S44" s="229">
        <v>1.55E-2</v>
      </c>
      <c r="T44" s="228">
        <v>401.95</v>
      </c>
      <c r="U44" s="228">
        <v>395.85</v>
      </c>
      <c r="V44" s="228">
        <v>6.1</v>
      </c>
      <c r="W44" s="229">
        <v>1.54E-2</v>
      </c>
      <c r="X44" s="228">
        <v>-0.2</v>
      </c>
      <c r="Y44" s="228">
        <v>0.25</v>
      </c>
      <c r="Z44" s="228">
        <v>-0.45</v>
      </c>
      <c r="AA44" s="229">
        <v>-5.0000000000000001E-4</v>
      </c>
      <c r="AB44" s="228">
        <v>-0.2</v>
      </c>
      <c r="AC44" s="228">
        <v>0.25</v>
      </c>
      <c r="AD44" s="228">
        <v>-0.45</v>
      </c>
      <c r="AE44" s="229">
        <v>-5.0000000000000001E-4</v>
      </c>
      <c r="AF44" s="228">
        <v>2.2999999999999998</v>
      </c>
      <c r="AG44" s="228">
        <v>2.15</v>
      </c>
      <c r="AH44" s="228">
        <v>0.15</v>
      </c>
      <c r="AI44" s="229">
        <v>5.7999999999999996E-3</v>
      </c>
      <c r="AJ44" s="228">
        <v>5.15</v>
      </c>
      <c r="AK44" s="228">
        <v>5</v>
      </c>
      <c r="AL44" s="228">
        <v>0.15</v>
      </c>
      <c r="AM44" s="229">
        <v>1.2999999999999999E-2</v>
      </c>
      <c r="AN44" s="228">
        <v>396.08</v>
      </c>
      <c r="AO44" s="228">
        <v>398.47</v>
      </c>
      <c r="AP44" s="228">
        <v>0</v>
      </c>
      <c r="AQ44" s="230">
        <v>28822</v>
      </c>
      <c r="AR44" s="230">
        <v>44427</v>
      </c>
      <c r="AS44" s="230">
        <v>-15605</v>
      </c>
      <c r="AT44" s="229">
        <v>-0.3513</v>
      </c>
      <c r="AU44" s="230">
        <v>21445</v>
      </c>
      <c r="AV44" s="230">
        <v>33697</v>
      </c>
      <c r="AW44" s="230">
        <v>-12252</v>
      </c>
      <c r="AX44" s="229">
        <v>-0.36359999999999998</v>
      </c>
      <c r="AY44" s="230">
        <v>6793</v>
      </c>
      <c r="AZ44" s="230">
        <v>9540</v>
      </c>
      <c r="BA44" s="230">
        <v>-2747</v>
      </c>
      <c r="BB44" s="229">
        <v>-0.28789999999999999</v>
      </c>
      <c r="BC44" s="228">
        <v>584</v>
      </c>
      <c r="BD44" s="230">
        <v>1190</v>
      </c>
      <c r="BE44" s="228">
        <v>-606</v>
      </c>
      <c r="BF44" s="229">
        <v>-0.50919999999999999</v>
      </c>
      <c r="BG44" s="230">
        <v>129745</v>
      </c>
      <c r="BH44" s="230">
        <v>217486</v>
      </c>
      <c r="BI44" s="230">
        <v>-87741</v>
      </c>
      <c r="BJ44" s="229">
        <v>-0.40339999999999998</v>
      </c>
      <c r="BK44" s="230">
        <v>57335</v>
      </c>
      <c r="BL44" s="230">
        <v>101224</v>
      </c>
      <c r="BM44" s="230">
        <v>-43889</v>
      </c>
      <c r="BN44" s="229">
        <v>-0.43359999999999999</v>
      </c>
      <c r="BO44" s="230">
        <v>215902</v>
      </c>
      <c r="BP44" s="230">
        <v>363137</v>
      </c>
      <c r="BQ44" s="230">
        <v>-147235</v>
      </c>
      <c r="BR44" s="229">
        <v>-0.40550000000000003</v>
      </c>
      <c r="BS44" s="230">
        <v>23240360</v>
      </c>
      <c r="BT44" s="230">
        <v>28955046</v>
      </c>
      <c r="BU44" s="230">
        <v>-5714686</v>
      </c>
      <c r="BV44" s="229">
        <v>-0.19739999999999999</v>
      </c>
      <c r="BW44" s="230">
        <v>43178400</v>
      </c>
      <c r="BX44" s="230">
        <v>39201600</v>
      </c>
      <c r="BY44" s="230">
        <v>3976800</v>
      </c>
      <c r="BZ44" s="229">
        <v>0.1014</v>
      </c>
      <c r="CA44" s="230">
        <v>32857600</v>
      </c>
      <c r="CB44" s="230">
        <v>30570400</v>
      </c>
      <c r="CC44" s="230">
        <v>2287200</v>
      </c>
      <c r="CD44" s="229">
        <v>7.4800000000000005E-2</v>
      </c>
      <c r="CE44" s="230">
        <v>8829600</v>
      </c>
      <c r="CF44" s="230">
        <v>7227200</v>
      </c>
      <c r="CG44" s="230">
        <v>1602400</v>
      </c>
      <c r="CH44" s="229">
        <v>0.22170000000000001</v>
      </c>
      <c r="CI44" s="230">
        <v>1491200</v>
      </c>
      <c r="CJ44" s="230">
        <v>1404000</v>
      </c>
      <c r="CK44" s="230">
        <v>87200</v>
      </c>
      <c r="CL44" s="229">
        <v>6.2100000000000002E-2</v>
      </c>
      <c r="CM44" s="230">
        <v>49505600</v>
      </c>
      <c r="CN44" s="230">
        <v>50512000</v>
      </c>
      <c r="CO44" s="230">
        <v>-1006400</v>
      </c>
      <c r="CP44" s="229">
        <v>-1.9900000000000001E-2</v>
      </c>
      <c r="CQ44" s="230">
        <v>21689600</v>
      </c>
      <c r="CR44" s="230">
        <v>18734400</v>
      </c>
      <c r="CS44" s="230">
        <v>2955200</v>
      </c>
      <c r="CT44" s="229">
        <v>0.15770000000000001</v>
      </c>
      <c r="CU44" s="230">
        <v>114373600</v>
      </c>
      <c r="CV44" s="230">
        <v>108448000</v>
      </c>
      <c r="CW44" s="230">
        <v>5925600</v>
      </c>
      <c r="CX44" s="229">
        <v>5.4600000000000003E-2</v>
      </c>
      <c r="CY44" s="228">
        <v>36.76</v>
      </c>
      <c r="CZ44" s="228">
        <v>42.65</v>
      </c>
      <c r="DA44" s="228">
        <v>-5.89</v>
      </c>
      <c r="DB44" s="228">
        <v>-5.89</v>
      </c>
      <c r="DC44" s="228">
        <v>35.74</v>
      </c>
      <c r="DD44" s="228">
        <v>35.78</v>
      </c>
      <c r="DE44" s="228">
        <v>1.02</v>
      </c>
      <c r="DF44" s="228">
        <v>-0.04</v>
      </c>
      <c r="DG44" s="228">
        <v>37.090000000000003</v>
      </c>
      <c r="DH44" s="228">
        <v>42.9</v>
      </c>
      <c r="DI44" s="228">
        <v>-5.81</v>
      </c>
      <c r="DJ44" s="228">
        <v>-5.81</v>
      </c>
      <c r="DK44" s="228">
        <v>36.01</v>
      </c>
      <c r="DL44" s="228">
        <v>42.1</v>
      </c>
      <c r="DM44" s="228">
        <v>-6.09</v>
      </c>
      <c r="DN44" s="228">
        <v>-6.09</v>
      </c>
      <c r="DO44" s="228">
        <v>0.44</v>
      </c>
      <c r="DP44" s="228">
        <v>0.37</v>
      </c>
      <c r="DQ44" s="228">
        <v>7.0000000000000007E-2</v>
      </c>
      <c r="DR44" s="229">
        <v>0.18920000000000001</v>
      </c>
      <c r="DS44" s="228">
        <v>400</v>
      </c>
      <c r="DT44" s="228">
        <v>400</v>
      </c>
      <c r="DU44" s="228">
        <v>0.44</v>
      </c>
      <c r="DV44" s="228">
        <v>0.47</v>
      </c>
      <c r="DW44" s="228">
        <v>-0.03</v>
      </c>
      <c r="DX44" s="229">
        <v>-6.3799999999999996E-2</v>
      </c>
      <c r="DY44" s="229">
        <v>0.23899999999999999</v>
      </c>
      <c r="DZ44" s="230">
        <v>8631200</v>
      </c>
      <c r="EA44" s="229">
        <v>6.3E-3</v>
      </c>
      <c r="EB44" s="229">
        <v>0.23899999999999999</v>
      </c>
      <c r="EC44" s="228">
        <v>2.39</v>
      </c>
      <c r="ED44" s="229">
        <v>6.0000000000000001E-3</v>
      </c>
      <c r="EE44" s="230">
        <v>8452648</v>
      </c>
      <c r="EF44" s="230">
        <v>11361018</v>
      </c>
      <c r="EG44" s="229">
        <v>-0.25600000000000001</v>
      </c>
      <c r="EH44" s="229">
        <v>0.36370000000000002</v>
      </c>
      <c r="EI44" s="231">
        <v>440601.16</v>
      </c>
      <c r="EJ44" s="231">
        <v>176060.1</v>
      </c>
      <c r="EK44" s="231">
        <v>91482.63</v>
      </c>
      <c r="EL44" s="231">
        <v>43700</v>
      </c>
      <c r="EM44" s="231">
        <v>708143.89</v>
      </c>
      <c r="EN44" s="231">
        <v>1197411.95</v>
      </c>
      <c r="EO44" s="231">
        <v>-489268.06</v>
      </c>
      <c r="EP44" s="229">
        <v>-0.40860000000000002</v>
      </c>
      <c r="EQ44" s="231">
        <v>212455</v>
      </c>
      <c r="ER44" s="231">
        <v>80830</v>
      </c>
      <c r="ES44" s="231">
        <v>171546</v>
      </c>
      <c r="ET44" s="231">
        <v>284575867</v>
      </c>
      <c r="EU44" s="231">
        <v>464831</v>
      </c>
      <c r="EV44" s="231">
        <v>439340</v>
      </c>
      <c r="EW44" s="231">
        <v>25491</v>
      </c>
      <c r="EX44" s="229">
        <v>5.8000000000000003E-2</v>
      </c>
      <c r="EY44" s="229">
        <v>0.40189999999999998</v>
      </c>
    </row>
    <row r="45" spans="1:155" ht="17.25" thickBot="1" x14ac:dyDescent="0.3">
      <c r="A45" s="226">
        <v>45946</v>
      </c>
      <c r="B45" s="227" t="s">
        <v>227</v>
      </c>
      <c r="C45" s="227" t="s">
        <v>294</v>
      </c>
      <c r="D45" s="228">
        <v>174.39</v>
      </c>
      <c r="E45" s="228">
        <v>173.91</v>
      </c>
      <c r="F45" s="228">
        <v>0.48</v>
      </c>
      <c r="G45" s="229">
        <v>2.8E-3</v>
      </c>
      <c r="H45" s="228">
        <v>174</v>
      </c>
      <c r="I45" s="228">
        <v>173.24</v>
      </c>
      <c r="J45" s="228">
        <v>0.76</v>
      </c>
      <c r="K45" s="229">
        <v>4.4000000000000003E-3</v>
      </c>
      <c r="L45" s="228">
        <v>174.39</v>
      </c>
      <c r="M45" s="228">
        <v>173.91</v>
      </c>
      <c r="N45" s="228">
        <v>0.48</v>
      </c>
      <c r="O45" s="229">
        <v>2.8E-3</v>
      </c>
      <c r="P45" s="228">
        <v>175.38</v>
      </c>
      <c r="Q45" s="228">
        <v>174.82</v>
      </c>
      <c r="R45" s="228">
        <v>0.56000000000000005</v>
      </c>
      <c r="S45" s="229">
        <v>3.2000000000000002E-3</v>
      </c>
      <c r="T45" s="228">
        <v>176.43</v>
      </c>
      <c r="U45" s="228">
        <v>175.95</v>
      </c>
      <c r="V45" s="228">
        <v>0.48</v>
      </c>
      <c r="W45" s="229">
        <v>2.7000000000000001E-3</v>
      </c>
      <c r="X45" s="228">
        <v>0.39</v>
      </c>
      <c r="Y45" s="228">
        <v>0.67</v>
      </c>
      <c r="Z45" s="228">
        <v>-0.28000000000000003</v>
      </c>
      <c r="AA45" s="229">
        <v>2.2000000000000001E-3</v>
      </c>
      <c r="AB45" s="228">
        <v>0.39</v>
      </c>
      <c r="AC45" s="228">
        <v>0.67</v>
      </c>
      <c r="AD45" s="228">
        <v>-0.28000000000000003</v>
      </c>
      <c r="AE45" s="229">
        <v>2.2000000000000001E-3</v>
      </c>
      <c r="AF45" s="228">
        <v>1.38</v>
      </c>
      <c r="AG45" s="228">
        <v>1.58</v>
      </c>
      <c r="AH45" s="228">
        <v>-0.2</v>
      </c>
      <c r="AI45" s="229">
        <v>7.9000000000000008E-3</v>
      </c>
      <c r="AJ45" s="228">
        <v>2.4300000000000002</v>
      </c>
      <c r="AK45" s="228">
        <v>2.71</v>
      </c>
      <c r="AL45" s="228">
        <v>-0.28000000000000003</v>
      </c>
      <c r="AM45" s="229">
        <v>1.4E-2</v>
      </c>
      <c r="AN45" s="228">
        <v>174.1</v>
      </c>
      <c r="AO45" s="228">
        <v>174.97</v>
      </c>
      <c r="AP45" s="228">
        <v>0</v>
      </c>
      <c r="AQ45" s="230">
        <v>4043</v>
      </c>
      <c r="AR45" s="230">
        <v>6982</v>
      </c>
      <c r="AS45" s="230">
        <v>-2939</v>
      </c>
      <c r="AT45" s="229">
        <v>-0.4209</v>
      </c>
      <c r="AU45" s="230">
        <v>3475</v>
      </c>
      <c r="AV45" s="230">
        <v>6041</v>
      </c>
      <c r="AW45" s="230">
        <v>-2566</v>
      </c>
      <c r="AX45" s="229">
        <v>-0.42480000000000001</v>
      </c>
      <c r="AY45" s="228">
        <v>535</v>
      </c>
      <c r="AZ45" s="228">
        <v>860</v>
      </c>
      <c r="BA45" s="228">
        <v>-325</v>
      </c>
      <c r="BB45" s="229">
        <v>-0.37790000000000001</v>
      </c>
      <c r="BC45" s="228">
        <v>33</v>
      </c>
      <c r="BD45" s="228">
        <v>81</v>
      </c>
      <c r="BE45" s="228">
        <v>-48</v>
      </c>
      <c r="BF45" s="229">
        <v>-0.59260000000000002</v>
      </c>
      <c r="BG45" s="230">
        <v>18150</v>
      </c>
      <c r="BH45" s="230">
        <v>30217</v>
      </c>
      <c r="BI45" s="230">
        <v>-12067</v>
      </c>
      <c r="BJ45" s="229">
        <v>-0.39929999999999999</v>
      </c>
      <c r="BK45" s="230">
        <v>9591</v>
      </c>
      <c r="BL45" s="230">
        <v>19577</v>
      </c>
      <c r="BM45" s="230">
        <v>-9986</v>
      </c>
      <c r="BN45" s="229">
        <v>-0.5101</v>
      </c>
      <c r="BO45" s="230">
        <v>31784</v>
      </c>
      <c r="BP45" s="230">
        <v>56776</v>
      </c>
      <c r="BQ45" s="230">
        <v>-24992</v>
      </c>
      <c r="BR45" s="229">
        <v>-0.44019999999999998</v>
      </c>
      <c r="BS45" s="230">
        <v>12937930</v>
      </c>
      <c r="BT45" s="230">
        <v>15599127</v>
      </c>
      <c r="BU45" s="230">
        <v>-2661197</v>
      </c>
      <c r="BV45" s="229">
        <v>-0.1706</v>
      </c>
      <c r="BW45" s="230">
        <v>198517000</v>
      </c>
      <c r="BX45" s="230">
        <v>198346500</v>
      </c>
      <c r="BY45" s="230">
        <v>170500</v>
      </c>
      <c r="BZ45" s="229">
        <v>8.9999999999999998E-4</v>
      </c>
      <c r="CA45" s="230">
        <v>186345500</v>
      </c>
      <c r="CB45" s="230">
        <v>187176000</v>
      </c>
      <c r="CC45" s="230">
        <v>-830500</v>
      </c>
      <c r="CD45" s="229">
        <v>-4.4000000000000003E-3</v>
      </c>
      <c r="CE45" s="230">
        <v>11049500</v>
      </c>
      <c r="CF45" s="230">
        <v>10098000</v>
      </c>
      <c r="CG45" s="230">
        <v>951500</v>
      </c>
      <c r="CH45" s="229">
        <v>9.4200000000000006E-2</v>
      </c>
      <c r="CI45" s="230">
        <v>1122000</v>
      </c>
      <c r="CJ45" s="230">
        <v>1072500</v>
      </c>
      <c r="CK45" s="230">
        <v>49500</v>
      </c>
      <c r="CL45" s="229">
        <v>4.6199999999999998E-2</v>
      </c>
      <c r="CM45" s="230">
        <v>137665000</v>
      </c>
      <c r="CN45" s="230">
        <v>141108000</v>
      </c>
      <c r="CO45" s="230">
        <v>-3443000</v>
      </c>
      <c r="CP45" s="229">
        <v>-2.4400000000000002E-2</v>
      </c>
      <c r="CQ45" s="230">
        <v>89584000</v>
      </c>
      <c r="CR45" s="230">
        <v>89281500</v>
      </c>
      <c r="CS45" s="230">
        <v>302500</v>
      </c>
      <c r="CT45" s="229">
        <v>3.3999999999999998E-3</v>
      </c>
      <c r="CU45" s="230">
        <v>425766000</v>
      </c>
      <c r="CV45" s="230">
        <v>428736000</v>
      </c>
      <c r="CW45" s="230">
        <v>-2970000</v>
      </c>
      <c r="CX45" s="229">
        <v>-6.8999999999999999E-3</v>
      </c>
      <c r="CY45" s="228">
        <v>24.58</v>
      </c>
      <c r="CZ45" s="228">
        <v>25.12</v>
      </c>
      <c r="DA45" s="228">
        <v>-0.54</v>
      </c>
      <c r="DB45" s="228">
        <v>-0.54</v>
      </c>
      <c r="DC45" s="228">
        <v>34.32</v>
      </c>
      <c r="DD45" s="228">
        <v>34.4</v>
      </c>
      <c r="DE45" s="228">
        <v>-9.74</v>
      </c>
      <c r="DF45" s="228">
        <v>-0.08</v>
      </c>
      <c r="DG45" s="228">
        <v>24.35</v>
      </c>
      <c r="DH45" s="228">
        <v>24.44</v>
      </c>
      <c r="DI45" s="228">
        <v>-0.09</v>
      </c>
      <c r="DJ45" s="228">
        <v>-0.09</v>
      </c>
      <c r="DK45" s="228">
        <v>25.02</v>
      </c>
      <c r="DL45" s="228">
        <v>26.17</v>
      </c>
      <c r="DM45" s="228">
        <v>-1.1499999999999999</v>
      </c>
      <c r="DN45" s="228">
        <v>-1.1499999999999999</v>
      </c>
      <c r="DO45" s="228">
        <v>0.65</v>
      </c>
      <c r="DP45" s="228">
        <v>0.63</v>
      </c>
      <c r="DQ45" s="228">
        <v>0.02</v>
      </c>
      <c r="DR45" s="229">
        <v>3.1699999999999999E-2</v>
      </c>
      <c r="DS45" s="228">
        <v>180</v>
      </c>
      <c r="DT45" s="228">
        <v>165</v>
      </c>
      <c r="DU45" s="228">
        <v>0.53</v>
      </c>
      <c r="DV45" s="228">
        <v>0.65</v>
      </c>
      <c r="DW45" s="228">
        <v>-0.12</v>
      </c>
      <c r="DX45" s="229">
        <v>-0.18459999999999999</v>
      </c>
      <c r="DY45" s="229">
        <v>6.13E-2</v>
      </c>
      <c r="DZ45" s="230">
        <v>11170500</v>
      </c>
      <c r="EA45" s="229">
        <v>5.7000000000000002E-3</v>
      </c>
      <c r="EB45" s="229">
        <v>6.13E-2</v>
      </c>
      <c r="EC45" s="228">
        <v>0.87</v>
      </c>
      <c r="ED45" s="229">
        <v>5.0000000000000001E-3</v>
      </c>
      <c r="EE45" s="230">
        <v>6127548</v>
      </c>
      <c r="EF45" s="230">
        <v>7124281</v>
      </c>
      <c r="EG45" s="229">
        <v>-0.1399</v>
      </c>
      <c r="EH45" s="229">
        <v>0.47360000000000002</v>
      </c>
      <c r="EI45" s="231">
        <v>181023.58</v>
      </c>
      <c r="EJ45" s="231">
        <v>89993.44</v>
      </c>
      <c r="EK45" s="231">
        <v>38743.21</v>
      </c>
      <c r="EL45" s="231">
        <v>8459</v>
      </c>
      <c r="EM45" s="231">
        <v>309760.23</v>
      </c>
      <c r="EN45" s="231">
        <v>548029.06000000006</v>
      </c>
      <c r="EO45" s="231">
        <v>-238268.83</v>
      </c>
      <c r="EP45" s="229">
        <v>-0.43480000000000002</v>
      </c>
      <c r="EQ45" s="231">
        <v>247780</v>
      </c>
      <c r="ER45" s="231">
        <v>147970</v>
      </c>
      <c r="ES45" s="231">
        <v>346326</v>
      </c>
      <c r="ET45" s="231">
        <v>833987639</v>
      </c>
      <c r="EU45" s="231">
        <v>742076</v>
      </c>
      <c r="EV45" s="231">
        <v>746646</v>
      </c>
      <c r="EW45" s="231">
        <v>-4570</v>
      </c>
      <c r="EX45" s="229">
        <v>-6.1000000000000004E-3</v>
      </c>
      <c r="EY45" s="229">
        <v>0.51049999999999995</v>
      </c>
    </row>
    <row r="46" spans="1:155" ht="17.25" thickBot="1" x14ac:dyDescent="0.3">
      <c r="A46" s="226">
        <v>45946</v>
      </c>
      <c r="B46" s="227" t="s">
        <v>221</v>
      </c>
      <c r="C46" s="227" t="s">
        <v>295</v>
      </c>
      <c r="D46" s="231">
        <v>2982</v>
      </c>
      <c r="E46" s="231">
        <v>2974.4</v>
      </c>
      <c r="F46" s="228">
        <v>7.6</v>
      </c>
      <c r="G46" s="229">
        <v>2.5999999999999999E-3</v>
      </c>
      <c r="H46" s="231">
        <v>2970.7</v>
      </c>
      <c r="I46" s="231">
        <v>2969.8</v>
      </c>
      <c r="J46" s="228">
        <v>0.9</v>
      </c>
      <c r="K46" s="229">
        <v>2.9999999999999997E-4</v>
      </c>
      <c r="L46" s="231">
        <v>2982</v>
      </c>
      <c r="M46" s="231">
        <v>2974.4</v>
      </c>
      <c r="N46" s="228">
        <v>7.6</v>
      </c>
      <c r="O46" s="229">
        <v>2.5999999999999999E-3</v>
      </c>
      <c r="P46" s="231">
        <v>2998</v>
      </c>
      <c r="Q46" s="231">
        <v>2990.7</v>
      </c>
      <c r="R46" s="228">
        <v>7.3</v>
      </c>
      <c r="S46" s="229">
        <v>2.3999999999999998E-3</v>
      </c>
      <c r="T46" s="231">
        <v>3016.4</v>
      </c>
      <c r="U46" s="231">
        <v>3009.7</v>
      </c>
      <c r="V46" s="228">
        <v>6.7</v>
      </c>
      <c r="W46" s="229">
        <v>2.2000000000000001E-3</v>
      </c>
      <c r="X46" s="228">
        <v>11.3</v>
      </c>
      <c r="Y46" s="228">
        <v>4.5999999999999996</v>
      </c>
      <c r="Z46" s="228">
        <v>6.7</v>
      </c>
      <c r="AA46" s="229">
        <v>3.8E-3</v>
      </c>
      <c r="AB46" s="228">
        <v>11.3</v>
      </c>
      <c r="AC46" s="228">
        <v>4.5999999999999996</v>
      </c>
      <c r="AD46" s="228">
        <v>6.7</v>
      </c>
      <c r="AE46" s="229">
        <v>3.8E-3</v>
      </c>
      <c r="AF46" s="228">
        <v>27.3</v>
      </c>
      <c r="AG46" s="228">
        <v>20.9</v>
      </c>
      <c r="AH46" s="228">
        <v>6.4</v>
      </c>
      <c r="AI46" s="229">
        <v>9.1999999999999998E-3</v>
      </c>
      <c r="AJ46" s="228">
        <v>45.7</v>
      </c>
      <c r="AK46" s="228">
        <v>39.9</v>
      </c>
      <c r="AL46" s="228">
        <v>5.8</v>
      </c>
      <c r="AM46" s="229">
        <v>1.54E-2</v>
      </c>
      <c r="AN46" s="231">
        <v>2970.92</v>
      </c>
      <c r="AO46" s="231">
        <v>2988.96</v>
      </c>
      <c r="AP46" s="228">
        <v>0</v>
      </c>
      <c r="AQ46" s="230">
        <v>25829</v>
      </c>
      <c r="AR46" s="230">
        <v>23111</v>
      </c>
      <c r="AS46" s="230">
        <v>2718</v>
      </c>
      <c r="AT46" s="229">
        <v>0.1176</v>
      </c>
      <c r="AU46" s="230">
        <v>19359</v>
      </c>
      <c r="AV46" s="230">
        <v>20108</v>
      </c>
      <c r="AW46" s="228">
        <v>-749</v>
      </c>
      <c r="AX46" s="229">
        <v>-3.7199999999999997E-2</v>
      </c>
      <c r="AY46" s="230">
        <v>6080</v>
      </c>
      <c r="AZ46" s="230">
        <v>2636</v>
      </c>
      <c r="BA46" s="230">
        <v>3444</v>
      </c>
      <c r="BB46" s="229">
        <v>1.3065</v>
      </c>
      <c r="BC46" s="228">
        <v>390</v>
      </c>
      <c r="BD46" s="228">
        <v>367</v>
      </c>
      <c r="BE46" s="228">
        <v>23</v>
      </c>
      <c r="BF46" s="229">
        <v>6.2700000000000006E-2</v>
      </c>
      <c r="BG46" s="230">
        <v>136390</v>
      </c>
      <c r="BH46" s="230">
        <v>126226</v>
      </c>
      <c r="BI46" s="230">
        <v>10164</v>
      </c>
      <c r="BJ46" s="229">
        <v>8.0500000000000002E-2</v>
      </c>
      <c r="BK46" s="230">
        <v>57237</v>
      </c>
      <c r="BL46" s="230">
        <v>69800</v>
      </c>
      <c r="BM46" s="230">
        <v>-12563</v>
      </c>
      <c r="BN46" s="229">
        <v>-0.18</v>
      </c>
      <c r="BO46" s="230">
        <v>219456</v>
      </c>
      <c r="BP46" s="230">
        <v>219137</v>
      </c>
      <c r="BQ46" s="228">
        <v>319</v>
      </c>
      <c r="BR46" s="229">
        <v>1.5E-3</v>
      </c>
      <c r="BS46" s="230">
        <v>3786250</v>
      </c>
      <c r="BT46" s="230">
        <v>4511403</v>
      </c>
      <c r="BU46" s="230">
        <v>-725153</v>
      </c>
      <c r="BV46" s="229">
        <v>-0.16070000000000001</v>
      </c>
      <c r="BW46" s="230">
        <v>32502050</v>
      </c>
      <c r="BX46" s="230">
        <v>31924550</v>
      </c>
      <c r="BY46" s="230">
        <v>577500</v>
      </c>
      <c r="BZ46" s="229">
        <v>1.8100000000000002E-2</v>
      </c>
      <c r="CA46" s="230">
        <v>28436100</v>
      </c>
      <c r="CB46" s="230">
        <v>28613550</v>
      </c>
      <c r="CC46" s="230">
        <v>-177450</v>
      </c>
      <c r="CD46" s="229">
        <v>-6.1999999999999998E-3</v>
      </c>
      <c r="CE46" s="230">
        <v>3718575</v>
      </c>
      <c r="CF46" s="230">
        <v>2992850</v>
      </c>
      <c r="CG46" s="230">
        <v>725725</v>
      </c>
      <c r="CH46" s="229">
        <v>0.24249999999999999</v>
      </c>
      <c r="CI46" s="230">
        <v>347375</v>
      </c>
      <c r="CJ46" s="230">
        <v>318150</v>
      </c>
      <c r="CK46" s="230">
        <v>29225</v>
      </c>
      <c r="CL46" s="229">
        <v>9.1899999999999996E-2</v>
      </c>
      <c r="CM46" s="230">
        <v>24831100</v>
      </c>
      <c r="CN46" s="230">
        <v>25258975</v>
      </c>
      <c r="CO46" s="230">
        <v>-427875</v>
      </c>
      <c r="CP46" s="229">
        <v>-1.6899999999999998E-2</v>
      </c>
      <c r="CQ46" s="230">
        <v>14256375</v>
      </c>
      <c r="CR46" s="230">
        <v>14070700</v>
      </c>
      <c r="CS46" s="230">
        <v>185675</v>
      </c>
      <c r="CT46" s="229">
        <v>1.32E-2</v>
      </c>
      <c r="CU46" s="230">
        <v>71589525</v>
      </c>
      <c r="CV46" s="230">
        <v>71254225</v>
      </c>
      <c r="CW46" s="230">
        <v>335300</v>
      </c>
      <c r="CX46" s="229">
        <v>4.7000000000000002E-3</v>
      </c>
      <c r="CY46" s="228">
        <v>21.26</v>
      </c>
      <c r="CZ46" s="228">
        <v>20.79</v>
      </c>
      <c r="DA46" s="228">
        <v>0.47</v>
      </c>
      <c r="DB46" s="228">
        <v>0.47</v>
      </c>
      <c r="DC46" s="228">
        <v>24.53</v>
      </c>
      <c r="DD46" s="228">
        <v>24.59</v>
      </c>
      <c r="DE46" s="228">
        <v>-3.27</v>
      </c>
      <c r="DF46" s="228">
        <v>-0.06</v>
      </c>
      <c r="DG46" s="228">
        <v>21.24</v>
      </c>
      <c r="DH46" s="228">
        <v>20.89</v>
      </c>
      <c r="DI46" s="228">
        <v>0.35</v>
      </c>
      <c r="DJ46" s="228">
        <v>0.35</v>
      </c>
      <c r="DK46" s="228">
        <v>21.29</v>
      </c>
      <c r="DL46" s="228">
        <v>20.62</v>
      </c>
      <c r="DM46" s="228">
        <v>0.67</v>
      </c>
      <c r="DN46" s="228">
        <v>0.67</v>
      </c>
      <c r="DO46" s="228">
        <v>0.56999999999999995</v>
      </c>
      <c r="DP46" s="228">
        <v>0.56000000000000005</v>
      </c>
      <c r="DQ46" s="228">
        <v>0.01</v>
      </c>
      <c r="DR46" s="229">
        <v>1.7899999999999999E-2</v>
      </c>
      <c r="DS46" s="231">
        <v>3100</v>
      </c>
      <c r="DT46" s="231">
        <v>3000</v>
      </c>
      <c r="DU46" s="228">
        <v>0.42</v>
      </c>
      <c r="DV46" s="228">
        <v>0.55000000000000004</v>
      </c>
      <c r="DW46" s="228">
        <v>-0.13</v>
      </c>
      <c r="DX46" s="229">
        <v>-0.2364</v>
      </c>
      <c r="DY46" s="229">
        <v>0.12509999999999999</v>
      </c>
      <c r="DZ46" s="230">
        <v>3311000</v>
      </c>
      <c r="EA46" s="229">
        <v>5.4000000000000003E-3</v>
      </c>
      <c r="EB46" s="229">
        <v>0.12509999999999999</v>
      </c>
      <c r="EC46" s="228">
        <v>18.04</v>
      </c>
      <c r="ED46" s="229">
        <v>6.1000000000000004E-3</v>
      </c>
      <c r="EE46" s="230">
        <v>2020330</v>
      </c>
      <c r="EF46" s="230">
        <v>3015332</v>
      </c>
      <c r="EG46" s="229">
        <v>-0.33</v>
      </c>
      <c r="EH46" s="229">
        <v>0.53359999999999996</v>
      </c>
      <c r="EI46" s="231">
        <v>737788.54</v>
      </c>
      <c r="EJ46" s="231">
        <v>293201.27</v>
      </c>
      <c r="EK46" s="231">
        <v>134502.54999999999</v>
      </c>
      <c r="EL46" s="231">
        <v>39343</v>
      </c>
      <c r="EM46" s="231">
        <v>1165492.3600000001</v>
      </c>
      <c r="EN46" s="231">
        <v>1160069.94</v>
      </c>
      <c r="EO46" s="231">
        <v>5422.42</v>
      </c>
      <c r="EP46" s="229">
        <v>4.7000000000000002E-3</v>
      </c>
      <c r="EQ46" s="231">
        <v>774157</v>
      </c>
      <c r="ER46" s="231">
        <v>420907</v>
      </c>
      <c r="ES46" s="231">
        <v>969926</v>
      </c>
      <c r="ET46" s="231">
        <v>123298271</v>
      </c>
      <c r="EU46" s="231">
        <v>2164990</v>
      </c>
      <c r="EV46" s="231">
        <v>2153751</v>
      </c>
      <c r="EW46" s="231">
        <v>11239</v>
      </c>
      <c r="EX46" s="229">
        <v>5.1999999999999998E-3</v>
      </c>
      <c r="EY46" s="229">
        <v>0.5806</v>
      </c>
    </row>
    <row r="47" spans="1:155" ht="17.25" thickBot="1" x14ac:dyDescent="0.3">
      <c r="A47" s="226">
        <v>45946</v>
      </c>
      <c r="B47" s="227" t="s">
        <v>221</v>
      </c>
      <c r="C47" s="227" t="s">
        <v>296</v>
      </c>
      <c r="D47" s="231">
        <v>1453.5</v>
      </c>
      <c r="E47" s="231">
        <v>1445.9</v>
      </c>
      <c r="F47" s="228">
        <v>7.6</v>
      </c>
      <c r="G47" s="229">
        <v>5.3E-3</v>
      </c>
      <c r="H47" s="231">
        <v>1463.8</v>
      </c>
      <c r="I47" s="231">
        <v>1459</v>
      </c>
      <c r="J47" s="228">
        <v>4.8</v>
      </c>
      <c r="K47" s="229">
        <v>3.3E-3</v>
      </c>
      <c r="L47" s="231">
        <v>1453.5</v>
      </c>
      <c r="M47" s="231">
        <v>1445.9</v>
      </c>
      <c r="N47" s="228">
        <v>7.6</v>
      </c>
      <c r="O47" s="229">
        <v>5.3E-3</v>
      </c>
      <c r="P47" s="231">
        <v>1461.8</v>
      </c>
      <c r="Q47" s="231">
        <v>1453.8</v>
      </c>
      <c r="R47" s="228">
        <v>8</v>
      </c>
      <c r="S47" s="229">
        <v>5.4999999999999997E-3</v>
      </c>
      <c r="T47" s="231">
        <v>1469.2</v>
      </c>
      <c r="U47" s="231">
        <v>1463.2</v>
      </c>
      <c r="V47" s="228">
        <v>6</v>
      </c>
      <c r="W47" s="229">
        <v>4.1000000000000003E-3</v>
      </c>
      <c r="X47" s="228">
        <v>-10.3</v>
      </c>
      <c r="Y47" s="228">
        <v>-13.1</v>
      </c>
      <c r="Z47" s="228">
        <v>2.8</v>
      </c>
      <c r="AA47" s="229">
        <v>-7.0000000000000001E-3</v>
      </c>
      <c r="AB47" s="228">
        <v>-10.3</v>
      </c>
      <c r="AC47" s="228">
        <v>-13.1</v>
      </c>
      <c r="AD47" s="228">
        <v>2.8</v>
      </c>
      <c r="AE47" s="229">
        <v>-7.0000000000000001E-3</v>
      </c>
      <c r="AF47" s="228">
        <v>-2</v>
      </c>
      <c r="AG47" s="228">
        <v>-5.2</v>
      </c>
      <c r="AH47" s="228">
        <v>3.2</v>
      </c>
      <c r="AI47" s="229">
        <v>-1.4E-3</v>
      </c>
      <c r="AJ47" s="228">
        <v>5.4</v>
      </c>
      <c r="AK47" s="228">
        <v>4.2</v>
      </c>
      <c r="AL47" s="228">
        <v>1.2</v>
      </c>
      <c r="AM47" s="229">
        <v>3.7000000000000002E-3</v>
      </c>
      <c r="AN47" s="231">
        <v>1448.27</v>
      </c>
      <c r="AO47" s="231">
        <v>1456.87</v>
      </c>
      <c r="AP47" s="228">
        <v>0</v>
      </c>
      <c r="AQ47" s="230">
        <v>4703</v>
      </c>
      <c r="AR47" s="230">
        <v>12237</v>
      </c>
      <c r="AS47" s="230">
        <v>-7534</v>
      </c>
      <c r="AT47" s="229">
        <v>-0.61570000000000003</v>
      </c>
      <c r="AU47" s="230">
        <v>3990</v>
      </c>
      <c r="AV47" s="230">
        <v>11196</v>
      </c>
      <c r="AW47" s="230">
        <v>-7206</v>
      </c>
      <c r="AX47" s="229">
        <v>-0.64359999999999995</v>
      </c>
      <c r="AY47" s="228">
        <v>677</v>
      </c>
      <c r="AZ47" s="228">
        <v>945</v>
      </c>
      <c r="BA47" s="228">
        <v>-268</v>
      </c>
      <c r="BB47" s="229">
        <v>-0.28360000000000002</v>
      </c>
      <c r="BC47" s="228">
        <v>36</v>
      </c>
      <c r="BD47" s="228">
        <v>96</v>
      </c>
      <c r="BE47" s="228">
        <v>-60</v>
      </c>
      <c r="BF47" s="229">
        <v>-0.625</v>
      </c>
      <c r="BG47" s="230">
        <v>23383</v>
      </c>
      <c r="BH47" s="230">
        <v>54162</v>
      </c>
      <c r="BI47" s="230">
        <v>-30779</v>
      </c>
      <c r="BJ47" s="229">
        <v>-0.56830000000000003</v>
      </c>
      <c r="BK47" s="230">
        <v>11683</v>
      </c>
      <c r="BL47" s="230">
        <v>28818</v>
      </c>
      <c r="BM47" s="230">
        <v>-17135</v>
      </c>
      <c r="BN47" s="229">
        <v>-0.59460000000000002</v>
      </c>
      <c r="BO47" s="230">
        <v>39769</v>
      </c>
      <c r="BP47" s="230">
        <v>95217</v>
      </c>
      <c r="BQ47" s="230">
        <v>-55448</v>
      </c>
      <c r="BR47" s="229">
        <v>-0.58230000000000004</v>
      </c>
      <c r="BS47" s="230">
        <v>1649162</v>
      </c>
      <c r="BT47" s="230">
        <v>2970825</v>
      </c>
      <c r="BU47" s="230">
        <v>-1321663</v>
      </c>
      <c r="BV47" s="229">
        <v>-0.44490000000000002</v>
      </c>
      <c r="BW47" s="230">
        <v>17473200</v>
      </c>
      <c r="BX47" s="230">
        <v>17053800</v>
      </c>
      <c r="BY47" s="230">
        <v>419400</v>
      </c>
      <c r="BZ47" s="229">
        <v>2.46E-2</v>
      </c>
      <c r="CA47" s="230">
        <v>15477600</v>
      </c>
      <c r="CB47" s="230">
        <v>15207000</v>
      </c>
      <c r="CC47" s="230">
        <v>270600</v>
      </c>
      <c r="CD47" s="229">
        <v>1.78E-2</v>
      </c>
      <c r="CE47" s="230">
        <v>1912800</v>
      </c>
      <c r="CF47" s="230">
        <v>1772400</v>
      </c>
      <c r="CG47" s="230">
        <v>140400</v>
      </c>
      <c r="CH47" s="229">
        <v>7.9200000000000007E-2</v>
      </c>
      <c r="CI47" s="230">
        <v>82800</v>
      </c>
      <c r="CJ47" s="230">
        <v>74400</v>
      </c>
      <c r="CK47" s="230">
        <v>8400</v>
      </c>
      <c r="CL47" s="229">
        <v>0.1129</v>
      </c>
      <c r="CM47" s="230">
        <v>7278600</v>
      </c>
      <c r="CN47" s="230">
        <v>8351400</v>
      </c>
      <c r="CO47" s="230">
        <v>-1072800</v>
      </c>
      <c r="CP47" s="229">
        <v>-0.1285</v>
      </c>
      <c r="CQ47" s="230">
        <v>5836200</v>
      </c>
      <c r="CR47" s="230">
        <v>6200400</v>
      </c>
      <c r="CS47" s="230">
        <v>-364200</v>
      </c>
      <c r="CT47" s="229">
        <v>-5.8700000000000002E-2</v>
      </c>
      <c r="CU47" s="230">
        <v>30588000</v>
      </c>
      <c r="CV47" s="230">
        <v>31605600</v>
      </c>
      <c r="CW47" s="230">
        <v>-1017600</v>
      </c>
      <c r="CX47" s="229">
        <v>-3.2199999999999999E-2</v>
      </c>
      <c r="CY47" s="228">
        <v>23.63</v>
      </c>
      <c r="CZ47" s="228">
        <v>24.12</v>
      </c>
      <c r="DA47" s="228">
        <v>-0.49</v>
      </c>
      <c r="DB47" s="228">
        <v>-0.49</v>
      </c>
      <c r="DC47" s="228">
        <v>29.96</v>
      </c>
      <c r="DD47" s="228">
        <v>30.03</v>
      </c>
      <c r="DE47" s="228">
        <v>-6.33</v>
      </c>
      <c r="DF47" s="228">
        <v>-7.0000000000000007E-2</v>
      </c>
      <c r="DG47" s="228">
        <v>23.36</v>
      </c>
      <c r="DH47" s="228">
        <v>24.01</v>
      </c>
      <c r="DI47" s="228">
        <v>-0.65</v>
      </c>
      <c r="DJ47" s="228">
        <v>-0.65</v>
      </c>
      <c r="DK47" s="228">
        <v>24.15</v>
      </c>
      <c r="DL47" s="228">
        <v>24.32</v>
      </c>
      <c r="DM47" s="228">
        <v>-0.17</v>
      </c>
      <c r="DN47" s="228">
        <v>-0.17</v>
      </c>
      <c r="DO47" s="228">
        <v>0.8</v>
      </c>
      <c r="DP47" s="228">
        <v>0.74</v>
      </c>
      <c r="DQ47" s="228">
        <v>0.06</v>
      </c>
      <c r="DR47" s="229">
        <v>8.1100000000000005E-2</v>
      </c>
      <c r="DS47" s="231">
        <v>1500</v>
      </c>
      <c r="DT47" s="231">
        <v>1400</v>
      </c>
      <c r="DU47" s="228">
        <v>0.5</v>
      </c>
      <c r="DV47" s="228">
        <v>0.53</v>
      </c>
      <c r="DW47" s="228">
        <v>-0.03</v>
      </c>
      <c r="DX47" s="229">
        <v>-5.6599999999999998E-2</v>
      </c>
      <c r="DY47" s="229">
        <v>0.1142</v>
      </c>
      <c r="DZ47" s="230">
        <v>1846800</v>
      </c>
      <c r="EA47" s="229">
        <v>5.7000000000000002E-3</v>
      </c>
      <c r="EB47" s="229">
        <v>0.1142</v>
      </c>
      <c r="EC47" s="228">
        <v>8.6</v>
      </c>
      <c r="ED47" s="229">
        <v>5.8999999999999999E-3</v>
      </c>
      <c r="EE47" s="230">
        <v>953715</v>
      </c>
      <c r="EF47" s="230">
        <v>1265178</v>
      </c>
      <c r="EG47" s="229">
        <v>-0.2462</v>
      </c>
      <c r="EH47" s="229">
        <v>0.57830000000000004</v>
      </c>
      <c r="EI47" s="231">
        <v>210288.53</v>
      </c>
      <c r="EJ47" s="231">
        <v>100430.92</v>
      </c>
      <c r="EK47" s="231">
        <v>40905.51</v>
      </c>
      <c r="EL47" s="231">
        <v>6851</v>
      </c>
      <c r="EM47" s="231">
        <v>351624.96000000002</v>
      </c>
      <c r="EN47" s="231">
        <v>842117.99</v>
      </c>
      <c r="EO47" s="231">
        <v>-490493.03</v>
      </c>
      <c r="EP47" s="229">
        <v>-0.58250000000000002</v>
      </c>
      <c r="EQ47" s="231">
        <v>110853</v>
      </c>
      <c r="ER47" s="231">
        <v>81598</v>
      </c>
      <c r="ES47" s="231">
        <v>254145</v>
      </c>
      <c r="ET47" s="231">
        <v>76137451</v>
      </c>
      <c r="EU47" s="231">
        <v>446596</v>
      </c>
      <c r="EV47" s="231">
        <v>460146</v>
      </c>
      <c r="EW47" s="231">
        <v>-13550</v>
      </c>
      <c r="EX47" s="229">
        <v>-2.9399999999999999E-2</v>
      </c>
      <c r="EY47" s="229">
        <v>0.4017</v>
      </c>
    </row>
    <row r="48" spans="1:155" ht="17.25" thickBot="1" x14ac:dyDescent="0.3">
      <c r="A48" s="226">
        <v>45946</v>
      </c>
      <c r="B48" s="227" t="s">
        <v>168</v>
      </c>
      <c r="C48" s="227" t="s">
        <v>297</v>
      </c>
      <c r="D48" s="231">
        <v>3653.3</v>
      </c>
      <c r="E48" s="231">
        <v>3553.9</v>
      </c>
      <c r="F48" s="228">
        <v>99.4</v>
      </c>
      <c r="G48" s="229">
        <v>2.8000000000000001E-2</v>
      </c>
      <c r="H48" s="231">
        <v>3640.3</v>
      </c>
      <c r="I48" s="231">
        <v>3549</v>
      </c>
      <c r="J48" s="228">
        <v>91.3</v>
      </c>
      <c r="K48" s="229">
        <v>2.5700000000000001E-2</v>
      </c>
      <c r="L48" s="231">
        <v>3653.3</v>
      </c>
      <c r="M48" s="231">
        <v>3553.9</v>
      </c>
      <c r="N48" s="228">
        <v>99.4</v>
      </c>
      <c r="O48" s="229">
        <v>2.8000000000000001E-2</v>
      </c>
      <c r="P48" s="231">
        <v>3672.2</v>
      </c>
      <c r="Q48" s="231">
        <v>3573.7</v>
      </c>
      <c r="R48" s="228">
        <v>98.5</v>
      </c>
      <c r="S48" s="229">
        <v>2.76E-2</v>
      </c>
      <c r="T48" s="231">
        <v>3694.1</v>
      </c>
      <c r="U48" s="231">
        <v>3596.6</v>
      </c>
      <c r="V48" s="228">
        <v>97.5</v>
      </c>
      <c r="W48" s="229">
        <v>2.7099999999999999E-2</v>
      </c>
      <c r="X48" s="228">
        <v>13</v>
      </c>
      <c r="Y48" s="228">
        <v>4.9000000000000004</v>
      </c>
      <c r="Z48" s="228">
        <v>8.1</v>
      </c>
      <c r="AA48" s="229">
        <v>3.5999999999999999E-3</v>
      </c>
      <c r="AB48" s="228">
        <v>13</v>
      </c>
      <c r="AC48" s="228">
        <v>4.9000000000000004</v>
      </c>
      <c r="AD48" s="228">
        <v>8.1</v>
      </c>
      <c r="AE48" s="229">
        <v>3.5999999999999999E-3</v>
      </c>
      <c r="AF48" s="228">
        <v>31.9</v>
      </c>
      <c r="AG48" s="228">
        <v>24.7</v>
      </c>
      <c r="AH48" s="228">
        <v>7.2</v>
      </c>
      <c r="AI48" s="229">
        <v>8.8000000000000005E-3</v>
      </c>
      <c r="AJ48" s="228">
        <v>53.8</v>
      </c>
      <c r="AK48" s="228">
        <v>47.6</v>
      </c>
      <c r="AL48" s="228">
        <v>6.2</v>
      </c>
      <c r="AM48" s="229">
        <v>1.4800000000000001E-2</v>
      </c>
      <c r="AN48" s="231">
        <v>3636.54</v>
      </c>
      <c r="AO48" s="231">
        <v>3653.77</v>
      </c>
      <c r="AP48" s="228">
        <v>0</v>
      </c>
      <c r="AQ48" s="230">
        <v>11110</v>
      </c>
      <c r="AR48" s="230">
        <v>7167</v>
      </c>
      <c r="AS48" s="230">
        <v>3943</v>
      </c>
      <c r="AT48" s="229">
        <v>0.55020000000000002</v>
      </c>
      <c r="AU48" s="230">
        <v>9579</v>
      </c>
      <c r="AV48" s="230">
        <v>6085</v>
      </c>
      <c r="AW48" s="230">
        <v>3494</v>
      </c>
      <c r="AX48" s="229">
        <v>0.57420000000000004</v>
      </c>
      <c r="AY48" s="230">
        <v>1389</v>
      </c>
      <c r="AZ48" s="230">
        <v>1003</v>
      </c>
      <c r="BA48" s="228">
        <v>386</v>
      </c>
      <c r="BB48" s="229">
        <v>0.38479999999999998</v>
      </c>
      <c r="BC48" s="228">
        <v>142</v>
      </c>
      <c r="BD48" s="228">
        <v>79</v>
      </c>
      <c r="BE48" s="228">
        <v>63</v>
      </c>
      <c r="BF48" s="229">
        <v>0.79749999999999999</v>
      </c>
      <c r="BG48" s="230">
        <v>99324</v>
      </c>
      <c r="BH48" s="230">
        <v>35152</v>
      </c>
      <c r="BI48" s="230">
        <v>64172</v>
      </c>
      <c r="BJ48" s="229">
        <v>1.8255999999999999</v>
      </c>
      <c r="BK48" s="230">
        <v>39637</v>
      </c>
      <c r="BL48" s="230">
        <v>22007</v>
      </c>
      <c r="BM48" s="230">
        <v>17630</v>
      </c>
      <c r="BN48" s="229">
        <v>0.80110000000000003</v>
      </c>
      <c r="BO48" s="230">
        <v>150071</v>
      </c>
      <c r="BP48" s="230">
        <v>64326</v>
      </c>
      <c r="BQ48" s="230">
        <v>85745</v>
      </c>
      <c r="BR48" s="229">
        <v>1.333</v>
      </c>
      <c r="BS48" s="230">
        <v>1584561</v>
      </c>
      <c r="BT48" s="230">
        <v>1047532</v>
      </c>
      <c r="BU48" s="230">
        <v>537029</v>
      </c>
      <c r="BV48" s="229">
        <v>0.51270000000000004</v>
      </c>
      <c r="BW48" s="230">
        <v>11208575</v>
      </c>
      <c r="BX48" s="230">
        <v>10857525</v>
      </c>
      <c r="BY48" s="230">
        <v>351050</v>
      </c>
      <c r="BZ48" s="229">
        <v>3.2300000000000002E-2</v>
      </c>
      <c r="CA48" s="230">
        <v>10825850</v>
      </c>
      <c r="CB48" s="230">
        <v>10533075</v>
      </c>
      <c r="CC48" s="230">
        <v>292775</v>
      </c>
      <c r="CD48" s="229">
        <v>2.7799999999999998E-2</v>
      </c>
      <c r="CE48" s="230">
        <v>349125</v>
      </c>
      <c r="CF48" s="230">
        <v>285775</v>
      </c>
      <c r="CG48" s="230">
        <v>63350</v>
      </c>
      <c r="CH48" s="229">
        <v>0.22170000000000001</v>
      </c>
      <c r="CI48" s="230">
        <v>33600</v>
      </c>
      <c r="CJ48" s="230">
        <v>38675</v>
      </c>
      <c r="CK48" s="230">
        <v>-5075</v>
      </c>
      <c r="CL48" s="229">
        <v>-0.13120000000000001</v>
      </c>
      <c r="CM48" s="230">
        <v>4880925</v>
      </c>
      <c r="CN48" s="230">
        <v>5035275</v>
      </c>
      <c r="CO48" s="230">
        <v>-154350</v>
      </c>
      <c r="CP48" s="229">
        <v>-3.0700000000000002E-2</v>
      </c>
      <c r="CQ48" s="230">
        <v>3287025</v>
      </c>
      <c r="CR48" s="230">
        <v>2709175</v>
      </c>
      <c r="CS48" s="230">
        <v>577850</v>
      </c>
      <c r="CT48" s="229">
        <v>0.21329999999999999</v>
      </c>
      <c r="CU48" s="230">
        <v>19376525</v>
      </c>
      <c r="CV48" s="230">
        <v>18601975</v>
      </c>
      <c r="CW48" s="230">
        <v>774550</v>
      </c>
      <c r="CX48" s="229">
        <v>4.1599999999999998E-2</v>
      </c>
      <c r="CY48" s="228">
        <v>18.71</v>
      </c>
      <c r="CZ48" s="228">
        <v>18.309999999999999</v>
      </c>
      <c r="DA48" s="228">
        <v>0.4</v>
      </c>
      <c r="DB48" s="228">
        <v>0.4</v>
      </c>
      <c r="DC48" s="228">
        <v>26.15</v>
      </c>
      <c r="DD48" s="228">
        <v>25.99</v>
      </c>
      <c r="DE48" s="228">
        <v>-7.44</v>
      </c>
      <c r="DF48" s="228">
        <v>0.16</v>
      </c>
      <c r="DG48" s="228">
        <v>18.309999999999999</v>
      </c>
      <c r="DH48" s="228">
        <v>18.38</v>
      </c>
      <c r="DI48" s="228">
        <v>-7.0000000000000007E-2</v>
      </c>
      <c r="DJ48" s="228">
        <v>-7.0000000000000007E-2</v>
      </c>
      <c r="DK48" s="228">
        <v>19.7</v>
      </c>
      <c r="DL48" s="228">
        <v>18.190000000000001</v>
      </c>
      <c r="DM48" s="228">
        <v>1.51</v>
      </c>
      <c r="DN48" s="228">
        <v>1.51</v>
      </c>
      <c r="DO48" s="228">
        <v>0.67</v>
      </c>
      <c r="DP48" s="228">
        <v>0.54</v>
      </c>
      <c r="DQ48" s="228">
        <v>0.13</v>
      </c>
      <c r="DR48" s="229">
        <v>0.2407</v>
      </c>
      <c r="DS48" s="231">
        <v>3400</v>
      </c>
      <c r="DT48" s="231">
        <v>3500</v>
      </c>
      <c r="DU48" s="228">
        <v>0.4</v>
      </c>
      <c r="DV48" s="228">
        <v>0.63</v>
      </c>
      <c r="DW48" s="228">
        <v>-0.23</v>
      </c>
      <c r="DX48" s="229">
        <v>-0.36509999999999998</v>
      </c>
      <c r="DY48" s="229">
        <v>3.4099999999999998E-2</v>
      </c>
      <c r="DZ48" s="230">
        <v>324450</v>
      </c>
      <c r="EA48" s="229">
        <v>5.1999999999999998E-3</v>
      </c>
      <c r="EB48" s="229">
        <v>3.4099999999999998E-2</v>
      </c>
      <c r="EC48" s="228">
        <v>17.23</v>
      </c>
      <c r="ED48" s="229">
        <v>4.7000000000000002E-3</v>
      </c>
      <c r="EE48" s="230">
        <v>746186</v>
      </c>
      <c r="EF48" s="230">
        <v>610902</v>
      </c>
      <c r="EG48" s="229">
        <v>0.22140000000000001</v>
      </c>
      <c r="EH48" s="229">
        <v>0.47089999999999999</v>
      </c>
      <c r="EI48" s="231">
        <v>645728.26</v>
      </c>
      <c r="EJ48" s="231">
        <v>247264.17</v>
      </c>
      <c r="EK48" s="231">
        <v>70755.360000000001</v>
      </c>
      <c r="EL48" s="231">
        <v>5868</v>
      </c>
      <c r="EM48" s="231">
        <v>963747.79</v>
      </c>
      <c r="EN48" s="231">
        <v>404065.87</v>
      </c>
      <c r="EO48" s="231">
        <v>559681.92000000004</v>
      </c>
      <c r="EP48" s="229">
        <v>1.3851</v>
      </c>
      <c r="EQ48" s="231">
        <v>177632</v>
      </c>
      <c r="ER48" s="231">
        <v>113733</v>
      </c>
      <c r="ES48" s="231">
        <v>409563</v>
      </c>
      <c r="ET48" s="231">
        <v>41744334</v>
      </c>
      <c r="EU48" s="231">
        <v>700927</v>
      </c>
      <c r="EV48" s="231">
        <v>660643</v>
      </c>
      <c r="EW48" s="231">
        <v>40284</v>
      </c>
      <c r="EX48" s="229">
        <v>6.0999999999999999E-2</v>
      </c>
      <c r="EY48" s="229">
        <v>0.4642</v>
      </c>
    </row>
    <row r="49" spans="1:155" ht="17.25" thickBot="1" x14ac:dyDescent="0.3">
      <c r="A49" s="226">
        <v>45946</v>
      </c>
      <c r="B49" s="227" t="s">
        <v>197</v>
      </c>
      <c r="C49" s="227" t="s">
        <v>482</v>
      </c>
      <c r="D49" s="231">
        <v>4800.5</v>
      </c>
      <c r="E49" s="231">
        <v>4732.3</v>
      </c>
      <c r="F49" s="228">
        <v>68.2</v>
      </c>
      <c r="G49" s="229">
        <v>1.44E-2</v>
      </c>
      <c r="H49" s="231">
        <v>4793.3999999999996</v>
      </c>
      <c r="I49" s="231">
        <v>4724.2</v>
      </c>
      <c r="J49" s="228">
        <v>69.2</v>
      </c>
      <c r="K49" s="229">
        <v>1.46E-2</v>
      </c>
      <c r="L49" s="231">
        <v>4800.5</v>
      </c>
      <c r="M49" s="231">
        <v>4732.3</v>
      </c>
      <c r="N49" s="228">
        <v>68.2</v>
      </c>
      <c r="O49" s="229">
        <v>1.44E-2</v>
      </c>
      <c r="P49" s="231">
        <v>4824.2</v>
      </c>
      <c r="Q49" s="231">
        <v>4750.8</v>
      </c>
      <c r="R49" s="228">
        <v>73.400000000000006</v>
      </c>
      <c r="S49" s="229">
        <v>1.55E-2</v>
      </c>
      <c r="T49" s="231">
        <v>4854.7</v>
      </c>
      <c r="U49" s="231">
        <v>4786.8</v>
      </c>
      <c r="V49" s="228">
        <v>67.900000000000006</v>
      </c>
      <c r="W49" s="229">
        <v>1.4200000000000001E-2</v>
      </c>
      <c r="X49" s="228">
        <v>7.1</v>
      </c>
      <c r="Y49" s="228">
        <v>8.1</v>
      </c>
      <c r="Z49" s="228">
        <v>-1</v>
      </c>
      <c r="AA49" s="229">
        <v>1.5E-3</v>
      </c>
      <c r="AB49" s="228">
        <v>7.1</v>
      </c>
      <c r="AC49" s="228">
        <v>8.1</v>
      </c>
      <c r="AD49" s="228">
        <v>-1</v>
      </c>
      <c r="AE49" s="229">
        <v>1.5E-3</v>
      </c>
      <c r="AF49" s="228">
        <v>30.8</v>
      </c>
      <c r="AG49" s="228">
        <v>26.6</v>
      </c>
      <c r="AH49" s="228">
        <v>4.2</v>
      </c>
      <c r="AI49" s="229">
        <v>6.4000000000000003E-3</v>
      </c>
      <c r="AJ49" s="228">
        <v>61.3</v>
      </c>
      <c r="AK49" s="228">
        <v>62.6</v>
      </c>
      <c r="AL49" s="228">
        <v>-1.3</v>
      </c>
      <c r="AM49" s="229">
        <v>1.2800000000000001E-2</v>
      </c>
      <c r="AN49" s="231">
        <v>4785.87</v>
      </c>
      <c r="AO49" s="231">
        <v>4813.3999999999996</v>
      </c>
      <c r="AP49" s="228">
        <v>0</v>
      </c>
      <c r="AQ49" s="230">
        <v>16799</v>
      </c>
      <c r="AR49" s="230">
        <v>15623</v>
      </c>
      <c r="AS49" s="230">
        <v>1176</v>
      </c>
      <c r="AT49" s="229">
        <v>7.5300000000000006E-2</v>
      </c>
      <c r="AU49" s="230">
        <v>13521</v>
      </c>
      <c r="AV49" s="230">
        <v>12920</v>
      </c>
      <c r="AW49" s="228">
        <v>601</v>
      </c>
      <c r="AX49" s="229">
        <v>4.65E-2</v>
      </c>
      <c r="AY49" s="230">
        <v>3008</v>
      </c>
      <c r="AZ49" s="230">
        <v>2389</v>
      </c>
      <c r="BA49" s="228">
        <v>619</v>
      </c>
      <c r="BB49" s="229">
        <v>0.2591</v>
      </c>
      <c r="BC49" s="228">
        <v>270</v>
      </c>
      <c r="BD49" s="228">
        <v>314</v>
      </c>
      <c r="BE49" s="228">
        <v>-44</v>
      </c>
      <c r="BF49" s="229">
        <v>-0.1401</v>
      </c>
      <c r="BG49" s="230">
        <v>98461</v>
      </c>
      <c r="BH49" s="230">
        <v>94264</v>
      </c>
      <c r="BI49" s="230">
        <v>4197</v>
      </c>
      <c r="BJ49" s="229">
        <v>4.4499999999999998E-2</v>
      </c>
      <c r="BK49" s="230">
        <v>37778</v>
      </c>
      <c r="BL49" s="230">
        <v>33684</v>
      </c>
      <c r="BM49" s="230">
        <v>4094</v>
      </c>
      <c r="BN49" s="229">
        <v>0.1215</v>
      </c>
      <c r="BO49" s="230">
        <v>153038</v>
      </c>
      <c r="BP49" s="230">
        <v>143571</v>
      </c>
      <c r="BQ49" s="230">
        <v>9467</v>
      </c>
      <c r="BR49" s="229">
        <v>6.59E-2</v>
      </c>
      <c r="BS49" s="230">
        <v>1172592</v>
      </c>
      <c r="BT49" s="230">
        <v>1344895</v>
      </c>
      <c r="BU49" s="230">
        <v>-172303</v>
      </c>
      <c r="BV49" s="229">
        <v>-0.12809999999999999</v>
      </c>
      <c r="BW49" s="230">
        <v>8841700</v>
      </c>
      <c r="BX49" s="230">
        <v>9031000</v>
      </c>
      <c r="BY49" s="230">
        <v>-189300</v>
      </c>
      <c r="BZ49" s="229">
        <v>-2.1000000000000001E-2</v>
      </c>
      <c r="CA49" s="230">
        <v>8037000</v>
      </c>
      <c r="CB49" s="230">
        <v>8352600</v>
      </c>
      <c r="CC49" s="230">
        <v>-315600</v>
      </c>
      <c r="CD49" s="229">
        <v>-3.78E-2</v>
      </c>
      <c r="CE49" s="230">
        <v>743000</v>
      </c>
      <c r="CF49" s="230">
        <v>614900</v>
      </c>
      <c r="CG49" s="230">
        <v>128100</v>
      </c>
      <c r="CH49" s="229">
        <v>0.20830000000000001</v>
      </c>
      <c r="CI49" s="230">
        <v>61700</v>
      </c>
      <c r="CJ49" s="230">
        <v>63500</v>
      </c>
      <c r="CK49" s="230">
        <v>-1800</v>
      </c>
      <c r="CL49" s="229">
        <v>-2.8299999999999999E-2</v>
      </c>
      <c r="CM49" s="230">
        <v>6299700</v>
      </c>
      <c r="CN49" s="230">
        <v>6968900</v>
      </c>
      <c r="CO49" s="230">
        <v>-669200</v>
      </c>
      <c r="CP49" s="229">
        <v>-9.6000000000000002E-2</v>
      </c>
      <c r="CQ49" s="230">
        <v>3047100</v>
      </c>
      <c r="CR49" s="230">
        <v>3287400</v>
      </c>
      <c r="CS49" s="230">
        <v>-240300</v>
      </c>
      <c r="CT49" s="229">
        <v>-7.3099999999999998E-2</v>
      </c>
      <c r="CU49" s="230">
        <v>18188500</v>
      </c>
      <c r="CV49" s="230">
        <v>19287300</v>
      </c>
      <c r="CW49" s="230">
        <v>-1098800</v>
      </c>
      <c r="CX49" s="229">
        <v>-5.7000000000000002E-2</v>
      </c>
      <c r="CY49" s="228">
        <v>29.21</v>
      </c>
      <c r="CZ49" s="228">
        <v>31.38</v>
      </c>
      <c r="DA49" s="228">
        <v>-2.17</v>
      </c>
      <c r="DB49" s="228">
        <v>-2.17</v>
      </c>
      <c r="DC49" s="228">
        <v>45.07</v>
      </c>
      <c r="DD49" s="228">
        <v>45.14</v>
      </c>
      <c r="DE49" s="228">
        <v>-15.86</v>
      </c>
      <c r="DF49" s="228">
        <v>-7.0000000000000007E-2</v>
      </c>
      <c r="DG49" s="228">
        <v>29.02</v>
      </c>
      <c r="DH49" s="228">
        <v>31.27</v>
      </c>
      <c r="DI49" s="228">
        <v>-2.25</v>
      </c>
      <c r="DJ49" s="228">
        <v>-2.25</v>
      </c>
      <c r="DK49" s="228">
        <v>29.68</v>
      </c>
      <c r="DL49" s="228">
        <v>31.7</v>
      </c>
      <c r="DM49" s="228">
        <v>-2.02</v>
      </c>
      <c r="DN49" s="228">
        <v>-2.02</v>
      </c>
      <c r="DO49" s="228">
        <v>0.48</v>
      </c>
      <c r="DP49" s="228">
        <v>0.47</v>
      </c>
      <c r="DQ49" s="228">
        <v>0.01</v>
      </c>
      <c r="DR49" s="229">
        <v>2.1299999999999999E-2</v>
      </c>
      <c r="DS49" s="231">
        <v>5000</v>
      </c>
      <c r="DT49" s="231">
        <v>4700</v>
      </c>
      <c r="DU49" s="228">
        <v>0.38</v>
      </c>
      <c r="DV49" s="228">
        <v>0.36</v>
      </c>
      <c r="DW49" s="228">
        <v>0.02</v>
      </c>
      <c r="DX49" s="229">
        <v>5.5599999999999997E-2</v>
      </c>
      <c r="DY49" s="229">
        <v>9.0999999999999998E-2</v>
      </c>
      <c r="DZ49" s="230">
        <v>678400</v>
      </c>
      <c r="EA49" s="229">
        <v>4.8999999999999998E-3</v>
      </c>
      <c r="EB49" s="229">
        <v>9.0999999999999998E-2</v>
      </c>
      <c r="EC49" s="228">
        <v>27.53</v>
      </c>
      <c r="ED49" s="229">
        <v>5.7999999999999996E-3</v>
      </c>
      <c r="EE49" s="230">
        <v>607280</v>
      </c>
      <c r="EF49" s="230">
        <v>813709</v>
      </c>
      <c r="EG49" s="229">
        <v>-0.25369999999999998</v>
      </c>
      <c r="EH49" s="229">
        <v>0.51790000000000003</v>
      </c>
      <c r="EI49" s="231">
        <v>494052.22</v>
      </c>
      <c r="EJ49" s="231">
        <v>175922.78</v>
      </c>
      <c r="EK49" s="231">
        <v>80494.91</v>
      </c>
      <c r="EL49" s="231">
        <v>10708</v>
      </c>
      <c r="EM49" s="231">
        <v>750469.91</v>
      </c>
      <c r="EN49" s="231">
        <v>699367</v>
      </c>
      <c r="EO49" s="231">
        <v>51102.91</v>
      </c>
      <c r="EP49" s="229">
        <v>7.3099999999999998E-2</v>
      </c>
      <c r="EQ49" s="231">
        <v>324179</v>
      </c>
      <c r="ER49" s="231">
        <v>142901</v>
      </c>
      <c r="ES49" s="231">
        <v>424655</v>
      </c>
      <c r="ET49" s="231">
        <v>33590487</v>
      </c>
      <c r="EU49" s="231">
        <v>891735</v>
      </c>
      <c r="EV49" s="231">
        <v>938244</v>
      </c>
      <c r="EW49" s="231">
        <v>-46509</v>
      </c>
      <c r="EX49" s="229">
        <v>-4.9599999999999998E-2</v>
      </c>
      <c r="EY49" s="229">
        <v>0.54149999999999998</v>
      </c>
    </row>
    <row r="50" spans="1:155" ht="17.25" thickBot="1" x14ac:dyDescent="0.3">
      <c r="A50" s="226">
        <v>45946</v>
      </c>
      <c r="B50" s="227" t="s">
        <v>157</v>
      </c>
      <c r="C50" s="227" t="s">
        <v>302</v>
      </c>
      <c r="D50" s="231">
        <v>12401</v>
      </c>
      <c r="E50" s="231">
        <v>12326</v>
      </c>
      <c r="F50" s="228">
        <v>75</v>
      </c>
      <c r="G50" s="229">
        <v>6.1000000000000004E-3</v>
      </c>
      <c r="H50" s="231">
        <v>12358</v>
      </c>
      <c r="I50" s="231">
        <v>12311</v>
      </c>
      <c r="J50" s="228">
        <v>47</v>
      </c>
      <c r="K50" s="229">
        <v>3.8E-3</v>
      </c>
      <c r="L50" s="231">
        <v>12401</v>
      </c>
      <c r="M50" s="231">
        <v>12326</v>
      </c>
      <c r="N50" s="228">
        <v>75</v>
      </c>
      <c r="O50" s="229">
        <v>6.1000000000000004E-3</v>
      </c>
      <c r="P50" s="231">
        <v>12468</v>
      </c>
      <c r="Q50" s="231">
        <v>12394</v>
      </c>
      <c r="R50" s="228">
        <v>74</v>
      </c>
      <c r="S50" s="229">
        <v>6.0000000000000001E-3</v>
      </c>
      <c r="T50" s="231">
        <v>12576</v>
      </c>
      <c r="U50" s="231">
        <v>12472</v>
      </c>
      <c r="V50" s="228">
        <v>104</v>
      </c>
      <c r="W50" s="229">
        <v>8.3000000000000001E-3</v>
      </c>
      <c r="X50" s="228">
        <v>43</v>
      </c>
      <c r="Y50" s="228">
        <v>15</v>
      </c>
      <c r="Z50" s="228">
        <v>28</v>
      </c>
      <c r="AA50" s="229">
        <v>3.5000000000000001E-3</v>
      </c>
      <c r="AB50" s="228">
        <v>43</v>
      </c>
      <c r="AC50" s="228">
        <v>15</v>
      </c>
      <c r="AD50" s="228">
        <v>28</v>
      </c>
      <c r="AE50" s="229">
        <v>3.5000000000000001E-3</v>
      </c>
      <c r="AF50" s="228">
        <v>110</v>
      </c>
      <c r="AG50" s="228">
        <v>83</v>
      </c>
      <c r="AH50" s="228">
        <v>27</v>
      </c>
      <c r="AI50" s="229">
        <v>8.8999999999999999E-3</v>
      </c>
      <c r="AJ50" s="228">
        <v>218</v>
      </c>
      <c r="AK50" s="228">
        <v>161</v>
      </c>
      <c r="AL50" s="228">
        <v>57</v>
      </c>
      <c r="AM50" s="229">
        <v>1.7600000000000001E-2</v>
      </c>
      <c r="AN50" s="231">
        <v>12397.05</v>
      </c>
      <c r="AO50" s="231">
        <v>12470.46</v>
      </c>
      <c r="AP50" s="228">
        <v>0</v>
      </c>
      <c r="AQ50" s="230">
        <v>4321</v>
      </c>
      <c r="AR50" s="230">
        <v>4393</v>
      </c>
      <c r="AS50" s="228">
        <v>-72</v>
      </c>
      <c r="AT50" s="229">
        <v>-1.6400000000000001E-2</v>
      </c>
      <c r="AU50" s="230">
        <v>3798</v>
      </c>
      <c r="AV50" s="230">
        <v>3879</v>
      </c>
      <c r="AW50" s="228">
        <v>-81</v>
      </c>
      <c r="AX50" s="229">
        <v>-2.0899999999999998E-2</v>
      </c>
      <c r="AY50" s="228">
        <v>501</v>
      </c>
      <c r="AZ50" s="228">
        <v>496</v>
      </c>
      <c r="BA50" s="228">
        <v>5</v>
      </c>
      <c r="BB50" s="229">
        <v>1.01E-2</v>
      </c>
      <c r="BC50" s="228">
        <v>22</v>
      </c>
      <c r="BD50" s="228">
        <v>18</v>
      </c>
      <c r="BE50" s="228">
        <v>4</v>
      </c>
      <c r="BF50" s="229">
        <v>0.22220000000000001</v>
      </c>
      <c r="BG50" s="230">
        <v>16155</v>
      </c>
      <c r="BH50" s="230">
        <v>17109</v>
      </c>
      <c r="BI50" s="228">
        <v>-954</v>
      </c>
      <c r="BJ50" s="229">
        <v>-5.5800000000000002E-2</v>
      </c>
      <c r="BK50" s="230">
        <v>7073</v>
      </c>
      <c r="BL50" s="230">
        <v>10583</v>
      </c>
      <c r="BM50" s="230">
        <v>-3510</v>
      </c>
      <c r="BN50" s="229">
        <v>-0.33169999999999999</v>
      </c>
      <c r="BO50" s="230">
        <v>27549</v>
      </c>
      <c r="BP50" s="230">
        <v>32085</v>
      </c>
      <c r="BQ50" s="230">
        <v>-4536</v>
      </c>
      <c r="BR50" s="229">
        <v>-0.1414</v>
      </c>
      <c r="BS50" s="230">
        <v>133956</v>
      </c>
      <c r="BT50" s="230">
        <v>146797</v>
      </c>
      <c r="BU50" s="230">
        <v>-12841</v>
      </c>
      <c r="BV50" s="229">
        <v>-8.7499999999999994E-2</v>
      </c>
      <c r="BW50" s="230">
        <v>2297950</v>
      </c>
      <c r="BX50" s="230">
        <v>2312150</v>
      </c>
      <c r="BY50" s="230">
        <v>-14200</v>
      </c>
      <c r="BZ50" s="229">
        <v>-6.1000000000000004E-3</v>
      </c>
      <c r="CA50" s="230">
        <v>2233750</v>
      </c>
      <c r="CB50" s="230">
        <v>2258050</v>
      </c>
      <c r="CC50" s="230">
        <v>-24300</v>
      </c>
      <c r="CD50" s="229">
        <v>-1.0800000000000001E-2</v>
      </c>
      <c r="CE50" s="230">
        <v>57350</v>
      </c>
      <c r="CF50" s="230">
        <v>47800</v>
      </c>
      <c r="CG50" s="230">
        <v>9550</v>
      </c>
      <c r="CH50" s="229">
        <v>0.19980000000000001</v>
      </c>
      <c r="CI50" s="230">
        <v>6850</v>
      </c>
      <c r="CJ50" s="230">
        <v>6300</v>
      </c>
      <c r="CK50" s="228">
        <v>550</v>
      </c>
      <c r="CL50" s="229">
        <v>8.7300000000000003E-2</v>
      </c>
      <c r="CM50" s="230">
        <v>602200</v>
      </c>
      <c r="CN50" s="230">
        <v>649500</v>
      </c>
      <c r="CO50" s="230">
        <v>-47300</v>
      </c>
      <c r="CP50" s="229">
        <v>-7.2800000000000004E-2</v>
      </c>
      <c r="CQ50" s="230">
        <v>435700</v>
      </c>
      <c r="CR50" s="230">
        <v>439150</v>
      </c>
      <c r="CS50" s="230">
        <v>-3450</v>
      </c>
      <c r="CT50" s="229">
        <v>-7.9000000000000008E-3</v>
      </c>
      <c r="CU50" s="230">
        <v>3335850</v>
      </c>
      <c r="CV50" s="230">
        <v>3400800</v>
      </c>
      <c r="CW50" s="230">
        <v>-64950</v>
      </c>
      <c r="CX50" s="229">
        <v>-1.9099999999999999E-2</v>
      </c>
      <c r="CY50" s="228">
        <v>22.4</v>
      </c>
      <c r="CZ50" s="228">
        <v>23.17</v>
      </c>
      <c r="DA50" s="228">
        <v>-0.77</v>
      </c>
      <c r="DB50" s="228">
        <v>-0.77</v>
      </c>
      <c r="DC50" s="228">
        <v>25.43</v>
      </c>
      <c r="DD50" s="228">
        <v>25.49</v>
      </c>
      <c r="DE50" s="228">
        <v>-3.03</v>
      </c>
      <c r="DF50" s="228">
        <v>-0.06</v>
      </c>
      <c r="DG50" s="228">
        <v>21.89</v>
      </c>
      <c r="DH50" s="228">
        <v>22.2</v>
      </c>
      <c r="DI50" s="228">
        <v>-0.31</v>
      </c>
      <c r="DJ50" s="228">
        <v>-0.31</v>
      </c>
      <c r="DK50" s="228">
        <v>23.58</v>
      </c>
      <c r="DL50" s="228">
        <v>24.73</v>
      </c>
      <c r="DM50" s="228">
        <v>-1.1499999999999999</v>
      </c>
      <c r="DN50" s="228">
        <v>-1.1499999999999999</v>
      </c>
      <c r="DO50" s="228">
        <v>0.72</v>
      </c>
      <c r="DP50" s="228">
        <v>0.68</v>
      </c>
      <c r="DQ50" s="228">
        <v>0.04</v>
      </c>
      <c r="DR50" s="229">
        <v>5.8799999999999998E-2</v>
      </c>
      <c r="DS50" s="231">
        <v>13000</v>
      </c>
      <c r="DT50" s="231">
        <v>12000</v>
      </c>
      <c r="DU50" s="228">
        <v>0.44</v>
      </c>
      <c r="DV50" s="228">
        <v>0.62</v>
      </c>
      <c r="DW50" s="228">
        <v>-0.18</v>
      </c>
      <c r="DX50" s="229">
        <v>-0.2903</v>
      </c>
      <c r="DY50" s="229">
        <v>2.7900000000000001E-2</v>
      </c>
      <c r="DZ50" s="230">
        <v>54100</v>
      </c>
      <c r="EA50" s="229">
        <v>5.4000000000000003E-3</v>
      </c>
      <c r="EB50" s="229">
        <v>2.7900000000000001E-2</v>
      </c>
      <c r="EC50" s="228">
        <v>73.41</v>
      </c>
      <c r="ED50" s="229">
        <v>5.8999999999999999E-3</v>
      </c>
      <c r="EE50" s="230">
        <v>77043</v>
      </c>
      <c r="EF50" s="230">
        <v>83507</v>
      </c>
      <c r="EG50" s="229">
        <v>-7.7399999999999997E-2</v>
      </c>
      <c r="EH50" s="229">
        <v>0.57509999999999994</v>
      </c>
      <c r="EI50" s="231">
        <v>102799.22</v>
      </c>
      <c r="EJ50" s="231">
        <v>42532.71</v>
      </c>
      <c r="EK50" s="231">
        <v>26803.81</v>
      </c>
      <c r="EL50" s="231">
        <v>3602</v>
      </c>
      <c r="EM50" s="231">
        <v>172135.74</v>
      </c>
      <c r="EN50" s="231">
        <v>197395.93</v>
      </c>
      <c r="EO50" s="231">
        <v>-25260.19</v>
      </c>
      <c r="EP50" s="229">
        <v>-0.128</v>
      </c>
      <c r="EQ50" s="231">
        <v>77137</v>
      </c>
      <c r="ER50" s="231">
        <v>51232</v>
      </c>
      <c r="ES50" s="231">
        <v>285019</v>
      </c>
      <c r="ET50" s="231">
        <v>11962066</v>
      </c>
      <c r="EU50" s="231">
        <v>413388</v>
      </c>
      <c r="EV50" s="231">
        <v>419647</v>
      </c>
      <c r="EW50" s="231">
        <v>-6259</v>
      </c>
      <c r="EX50" s="229">
        <v>-1.49E-2</v>
      </c>
      <c r="EY50" s="229">
        <v>0.27889999999999998</v>
      </c>
    </row>
    <row r="51" spans="1:155" ht="17.25" thickBot="1" x14ac:dyDescent="0.3">
      <c r="A51" s="226">
        <v>45946</v>
      </c>
      <c r="B51" s="227" t="s">
        <v>221</v>
      </c>
      <c r="C51" s="227" t="s">
        <v>306</v>
      </c>
      <c r="D51" s="228">
        <v>254.52</v>
      </c>
      <c r="E51" s="228">
        <v>250.13</v>
      </c>
      <c r="F51" s="228">
        <v>4.3899999999999997</v>
      </c>
      <c r="G51" s="229">
        <v>1.7600000000000001E-2</v>
      </c>
      <c r="H51" s="228">
        <v>253.81</v>
      </c>
      <c r="I51" s="228">
        <v>250.21</v>
      </c>
      <c r="J51" s="228">
        <v>3.6</v>
      </c>
      <c r="K51" s="229">
        <v>1.44E-2</v>
      </c>
      <c r="L51" s="228">
        <v>254.52</v>
      </c>
      <c r="M51" s="228">
        <v>250.13</v>
      </c>
      <c r="N51" s="228">
        <v>4.3899999999999997</v>
      </c>
      <c r="O51" s="229">
        <v>1.7600000000000001E-2</v>
      </c>
      <c r="P51" s="228">
        <v>253.58</v>
      </c>
      <c r="Q51" s="228">
        <v>249.09</v>
      </c>
      <c r="R51" s="228">
        <v>4.49</v>
      </c>
      <c r="S51" s="229">
        <v>1.7999999999999999E-2</v>
      </c>
      <c r="T51" s="228">
        <v>252.89</v>
      </c>
      <c r="U51" s="228">
        <v>248.57</v>
      </c>
      <c r="V51" s="228">
        <v>4.32</v>
      </c>
      <c r="W51" s="229">
        <v>1.7399999999999999E-2</v>
      </c>
      <c r="X51" s="228">
        <v>0.71</v>
      </c>
      <c r="Y51" s="228">
        <v>-0.08</v>
      </c>
      <c r="Z51" s="228">
        <v>0.79</v>
      </c>
      <c r="AA51" s="229">
        <v>2.8E-3</v>
      </c>
      <c r="AB51" s="228">
        <v>0.71</v>
      </c>
      <c r="AC51" s="228">
        <v>-0.08</v>
      </c>
      <c r="AD51" s="228">
        <v>0.79</v>
      </c>
      <c r="AE51" s="229">
        <v>2.8E-3</v>
      </c>
      <c r="AF51" s="228">
        <v>-0.23</v>
      </c>
      <c r="AG51" s="228">
        <v>-1.1200000000000001</v>
      </c>
      <c r="AH51" s="228">
        <v>0.89</v>
      </c>
      <c r="AI51" s="229">
        <v>-8.9999999999999998E-4</v>
      </c>
      <c r="AJ51" s="228">
        <v>-0.92</v>
      </c>
      <c r="AK51" s="228">
        <v>-1.64</v>
      </c>
      <c r="AL51" s="228">
        <v>0.72</v>
      </c>
      <c r="AM51" s="229">
        <v>-3.5999999999999999E-3</v>
      </c>
      <c r="AN51" s="228">
        <v>252.83</v>
      </c>
      <c r="AO51" s="228">
        <v>252.09</v>
      </c>
      <c r="AP51" s="228">
        <v>0</v>
      </c>
      <c r="AQ51" s="230">
        <v>11446</v>
      </c>
      <c r="AR51" s="230">
        <v>11293</v>
      </c>
      <c r="AS51" s="228">
        <v>153</v>
      </c>
      <c r="AT51" s="229">
        <v>1.35E-2</v>
      </c>
      <c r="AU51" s="230">
        <v>9492</v>
      </c>
      <c r="AV51" s="230">
        <v>9315</v>
      </c>
      <c r="AW51" s="228">
        <v>177</v>
      </c>
      <c r="AX51" s="229">
        <v>1.9E-2</v>
      </c>
      <c r="AY51" s="230">
        <v>1807</v>
      </c>
      <c r="AZ51" s="230">
        <v>1895</v>
      </c>
      <c r="BA51" s="228">
        <v>-88</v>
      </c>
      <c r="BB51" s="229">
        <v>-4.6399999999999997E-2</v>
      </c>
      <c r="BC51" s="228">
        <v>147</v>
      </c>
      <c r="BD51" s="228">
        <v>83</v>
      </c>
      <c r="BE51" s="228">
        <v>64</v>
      </c>
      <c r="BF51" s="229">
        <v>0.77110000000000001</v>
      </c>
      <c r="BG51" s="230">
        <v>40874</v>
      </c>
      <c r="BH51" s="230">
        <v>20743</v>
      </c>
      <c r="BI51" s="230">
        <v>20131</v>
      </c>
      <c r="BJ51" s="229">
        <v>0.97050000000000003</v>
      </c>
      <c r="BK51" s="230">
        <v>26027</v>
      </c>
      <c r="BL51" s="230">
        <v>14622</v>
      </c>
      <c r="BM51" s="230">
        <v>11405</v>
      </c>
      <c r="BN51" s="229">
        <v>0.78</v>
      </c>
      <c r="BO51" s="230">
        <v>78347</v>
      </c>
      <c r="BP51" s="230">
        <v>46658</v>
      </c>
      <c r="BQ51" s="230">
        <v>31689</v>
      </c>
      <c r="BR51" s="229">
        <v>0.67920000000000003</v>
      </c>
      <c r="BS51" s="230">
        <v>10941116</v>
      </c>
      <c r="BT51" s="230">
        <v>13760010</v>
      </c>
      <c r="BU51" s="230">
        <v>-2818894</v>
      </c>
      <c r="BV51" s="229">
        <v>-0.2049</v>
      </c>
      <c r="BW51" s="230">
        <v>158364000</v>
      </c>
      <c r="BX51" s="230">
        <v>155340000</v>
      </c>
      <c r="BY51" s="230">
        <v>3024000</v>
      </c>
      <c r="BZ51" s="229">
        <v>1.95E-2</v>
      </c>
      <c r="CA51" s="230">
        <v>135543000</v>
      </c>
      <c r="CB51" s="230">
        <v>134352000</v>
      </c>
      <c r="CC51" s="230">
        <v>1191000</v>
      </c>
      <c r="CD51" s="229">
        <v>8.8999999999999999E-3</v>
      </c>
      <c r="CE51" s="230">
        <v>21861000</v>
      </c>
      <c r="CF51" s="230">
        <v>20076000</v>
      </c>
      <c r="CG51" s="230">
        <v>1785000</v>
      </c>
      <c r="CH51" s="229">
        <v>8.8900000000000007E-2</v>
      </c>
      <c r="CI51" s="230">
        <v>960000</v>
      </c>
      <c r="CJ51" s="230">
        <v>912000</v>
      </c>
      <c r="CK51" s="230">
        <v>48000</v>
      </c>
      <c r="CL51" s="229">
        <v>5.2600000000000001E-2</v>
      </c>
      <c r="CM51" s="230">
        <v>48984000</v>
      </c>
      <c r="CN51" s="230">
        <v>40128000</v>
      </c>
      <c r="CO51" s="230">
        <v>8856000</v>
      </c>
      <c r="CP51" s="229">
        <v>0.22070000000000001</v>
      </c>
      <c r="CQ51" s="230">
        <v>44238000</v>
      </c>
      <c r="CR51" s="230">
        <v>35568000</v>
      </c>
      <c r="CS51" s="230">
        <v>8670000</v>
      </c>
      <c r="CT51" s="229">
        <v>0.24379999999999999</v>
      </c>
      <c r="CU51" s="230">
        <v>251586000</v>
      </c>
      <c r="CV51" s="230">
        <v>231036000</v>
      </c>
      <c r="CW51" s="230">
        <v>20550000</v>
      </c>
      <c r="CX51" s="229">
        <v>8.8900000000000007E-2</v>
      </c>
      <c r="CY51" s="228">
        <v>32.549999999999997</v>
      </c>
      <c r="CZ51" s="228">
        <v>32.32</v>
      </c>
      <c r="DA51" s="228">
        <v>0.23</v>
      </c>
      <c r="DB51" s="228">
        <v>0.23</v>
      </c>
      <c r="DC51" s="228">
        <v>30.56</v>
      </c>
      <c r="DD51" s="228">
        <v>30.54</v>
      </c>
      <c r="DE51" s="228">
        <v>1.99</v>
      </c>
      <c r="DF51" s="228">
        <v>0.02</v>
      </c>
      <c r="DG51" s="228">
        <v>31.9</v>
      </c>
      <c r="DH51" s="228">
        <v>32.06</v>
      </c>
      <c r="DI51" s="228">
        <v>-0.16</v>
      </c>
      <c r="DJ51" s="228">
        <v>-0.16</v>
      </c>
      <c r="DK51" s="228">
        <v>33.57</v>
      </c>
      <c r="DL51" s="228">
        <v>32.69</v>
      </c>
      <c r="DM51" s="228">
        <v>0.88</v>
      </c>
      <c r="DN51" s="228">
        <v>0.88</v>
      </c>
      <c r="DO51" s="228">
        <v>0.9</v>
      </c>
      <c r="DP51" s="228">
        <v>0.89</v>
      </c>
      <c r="DQ51" s="228">
        <v>0.01</v>
      </c>
      <c r="DR51" s="229">
        <v>1.12E-2</v>
      </c>
      <c r="DS51" s="228">
        <v>260</v>
      </c>
      <c r="DT51" s="228">
        <v>245</v>
      </c>
      <c r="DU51" s="228">
        <v>0.64</v>
      </c>
      <c r="DV51" s="228">
        <v>0.7</v>
      </c>
      <c r="DW51" s="228">
        <v>-0.06</v>
      </c>
      <c r="DX51" s="229">
        <v>-8.5699999999999998E-2</v>
      </c>
      <c r="DY51" s="229">
        <v>0.14410000000000001</v>
      </c>
      <c r="DZ51" s="230">
        <v>20988000</v>
      </c>
      <c r="EA51" s="229">
        <v>-3.7000000000000002E-3</v>
      </c>
      <c r="EB51" s="229">
        <v>0.14410000000000001</v>
      </c>
      <c r="EC51" s="228">
        <v>-0.74</v>
      </c>
      <c r="ED51" s="229">
        <v>-2.8999999999999998E-3</v>
      </c>
      <c r="EE51" s="230">
        <v>5551772</v>
      </c>
      <c r="EF51" s="230">
        <v>7053511</v>
      </c>
      <c r="EG51" s="229">
        <v>-0.21290000000000001</v>
      </c>
      <c r="EH51" s="229">
        <v>0.50739999999999996</v>
      </c>
      <c r="EI51" s="231">
        <v>322411.03000000003</v>
      </c>
      <c r="EJ51" s="231">
        <v>193331.52</v>
      </c>
      <c r="EK51" s="231">
        <v>86766.88</v>
      </c>
      <c r="EL51" s="231">
        <v>9721</v>
      </c>
      <c r="EM51" s="231">
        <v>602509.43000000005</v>
      </c>
      <c r="EN51" s="231">
        <v>355054.26</v>
      </c>
      <c r="EO51" s="231">
        <v>247455.17</v>
      </c>
      <c r="EP51" s="229">
        <v>0.69699999999999995</v>
      </c>
      <c r="EQ51" s="231">
        <v>127089</v>
      </c>
      <c r="ER51" s="231">
        <v>106184</v>
      </c>
      <c r="ES51" s="231">
        <v>402847</v>
      </c>
      <c r="ET51" s="231">
        <v>292948819</v>
      </c>
      <c r="EU51" s="231">
        <v>636121</v>
      </c>
      <c r="EV51" s="231">
        <v>576156</v>
      </c>
      <c r="EW51" s="231">
        <v>59965</v>
      </c>
      <c r="EX51" s="229">
        <v>0.1041</v>
      </c>
      <c r="EY51" s="229">
        <v>0.85880000000000001</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I6" sqref="I6"/>
    </sheetView>
  </sheetViews>
  <sheetFormatPr defaultColWidth="13.7109375" defaultRowHeight="15" x14ac:dyDescent="0.25"/>
  <cols>
    <col min="1" max="1" width="23.85546875" customWidth="1"/>
    <col min="2" max="2" width="11.85546875" customWidth="1"/>
    <col min="3" max="3" width="12.7109375" customWidth="1"/>
    <col min="4" max="4" width="11.140625" customWidth="1"/>
    <col min="5" max="5" width="12.7109375" customWidth="1"/>
    <col min="6" max="6" width="11.140625" customWidth="1"/>
    <col min="7" max="7" width="10" customWidth="1"/>
    <col min="8" max="8" width="9.5703125" customWidth="1"/>
    <col min="9" max="9" width="12"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45946</v>
      </c>
      <c r="C2" s="230">
        <v>13896474</v>
      </c>
      <c r="D2" s="230">
        <v>2555899</v>
      </c>
      <c r="E2" s="230">
        <v>13583057</v>
      </c>
      <c r="F2" s="230">
        <v>2497826</v>
      </c>
      <c r="G2" s="230">
        <v>313417</v>
      </c>
      <c r="H2" s="230">
        <v>58073</v>
      </c>
      <c r="I2" s="230">
        <v>9931066</v>
      </c>
      <c r="J2" s="230">
        <v>1171052</v>
      </c>
      <c r="K2" s="230">
        <v>737431</v>
      </c>
      <c r="L2" s="230">
        <v>148154</v>
      </c>
      <c r="M2" s="230">
        <v>10668497</v>
      </c>
      <c r="N2" s="230">
        <v>1319206</v>
      </c>
      <c r="O2" s="61"/>
      <c r="P2" s="61"/>
      <c r="Q2" s="61"/>
      <c r="R2" s="61"/>
      <c r="S2" s="61"/>
      <c r="U2" t="s">
        <v>453</v>
      </c>
      <c r="V2">
        <f>SUM('Data Vlaue (Cr)'!CD:CD)</f>
        <v>532074</v>
      </c>
      <c r="W2" t="s">
        <v>454</v>
      </c>
    </row>
    <row r="3" spans="1:23" ht="17.25" thickBot="1" x14ac:dyDescent="0.3">
      <c r="A3" s="227" t="s">
        <v>617</v>
      </c>
      <c r="B3" s="226">
        <v>45946</v>
      </c>
      <c r="C3" s="230">
        <v>7528</v>
      </c>
      <c r="D3" s="230">
        <v>1513</v>
      </c>
      <c r="E3" s="230">
        <v>3328</v>
      </c>
      <c r="F3" s="228">
        <v>669</v>
      </c>
      <c r="G3" s="230">
        <v>4200</v>
      </c>
      <c r="H3" s="228">
        <v>844</v>
      </c>
      <c r="I3" s="230">
        <v>26676</v>
      </c>
      <c r="J3" s="230">
        <v>5323</v>
      </c>
      <c r="K3" s="230">
        <v>2760</v>
      </c>
      <c r="L3" s="228">
        <v>603</v>
      </c>
      <c r="M3" s="230">
        <v>29436</v>
      </c>
      <c r="N3" s="230">
        <v>5926</v>
      </c>
      <c r="O3" s="61"/>
      <c r="P3" s="61"/>
      <c r="Q3" s="61"/>
      <c r="R3" s="61"/>
      <c r="S3" s="61"/>
      <c r="U3" t="s">
        <v>453</v>
      </c>
      <c r="V3">
        <f>SUM('Data shares'!CC:CC)</f>
        <v>14799632353</v>
      </c>
      <c r="W3" t="s">
        <v>455</v>
      </c>
    </row>
    <row r="4" spans="1:23" ht="17.25" thickBot="1" x14ac:dyDescent="0.3">
      <c r="A4" s="227" t="s">
        <v>618</v>
      </c>
      <c r="B4" s="226">
        <v>45946</v>
      </c>
      <c r="C4" s="230">
        <v>250415</v>
      </c>
      <c r="D4" s="230">
        <v>50093</v>
      </c>
      <c r="E4" s="230">
        <v>246147</v>
      </c>
      <c r="F4" s="230">
        <v>49196</v>
      </c>
      <c r="G4" s="230">
        <v>4268</v>
      </c>
      <c r="H4" s="228">
        <v>897</v>
      </c>
      <c r="I4" s="230">
        <v>251214</v>
      </c>
      <c r="J4" s="230">
        <v>49941</v>
      </c>
      <c r="K4" s="230">
        <v>25862</v>
      </c>
      <c r="L4" s="230">
        <v>5745</v>
      </c>
      <c r="M4" s="230">
        <v>277076</v>
      </c>
      <c r="N4" s="230">
        <v>55687</v>
      </c>
      <c r="O4" s="61"/>
      <c r="P4" s="61"/>
      <c r="Q4" s="61"/>
      <c r="R4" s="61"/>
      <c r="S4" s="61"/>
    </row>
    <row r="5" spans="1:23" ht="17.25" thickBot="1" x14ac:dyDescent="0.3">
      <c r="A5" s="227" t="s">
        <v>619</v>
      </c>
      <c r="B5" s="226">
        <v>45946</v>
      </c>
      <c r="C5" s="228">
        <v>113</v>
      </c>
      <c r="D5" s="228">
        <v>20</v>
      </c>
      <c r="E5" s="228">
        <v>49</v>
      </c>
      <c r="F5" s="228">
        <v>9</v>
      </c>
      <c r="G5" s="228">
        <v>64</v>
      </c>
      <c r="H5" s="228">
        <v>11</v>
      </c>
      <c r="I5" s="228">
        <v>318</v>
      </c>
      <c r="J5" s="228">
        <v>56</v>
      </c>
      <c r="K5" s="228">
        <v>66</v>
      </c>
      <c r="L5" s="228">
        <v>12</v>
      </c>
      <c r="M5" s="228">
        <v>384</v>
      </c>
      <c r="N5" s="228">
        <v>68</v>
      </c>
      <c r="O5" s="61"/>
      <c r="P5" s="61"/>
      <c r="Q5" s="61"/>
      <c r="R5" s="61"/>
      <c r="S5" s="61"/>
    </row>
    <row r="6" spans="1:23" ht="17.25" thickBot="1" x14ac:dyDescent="0.3">
      <c r="A6" s="227" t="s">
        <v>620</v>
      </c>
      <c r="B6" s="226">
        <v>45946</v>
      </c>
      <c r="C6" s="230">
        <v>18051</v>
      </c>
      <c r="D6" s="230">
        <v>3219</v>
      </c>
      <c r="E6" s="230">
        <v>16588</v>
      </c>
      <c r="F6" s="230">
        <v>2954</v>
      </c>
      <c r="G6" s="230">
        <v>1463</v>
      </c>
      <c r="H6" s="228">
        <v>265</v>
      </c>
      <c r="I6" s="230">
        <v>12836</v>
      </c>
      <c r="J6" s="230">
        <v>2259</v>
      </c>
      <c r="K6" s="228">
        <v>521</v>
      </c>
      <c r="L6" s="228">
        <v>119</v>
      </c>
      <c r="M6" s="230">
        <v>13357</v>
      </c>
      <c r="N6" s="230">
        <v>2377</v>
      </c>
      <c r="O6" s="61"/>
      <c r="P6" s="61"/>
      <c r="Q6" s="61"/>
      <c r="R6" s="61"/>
      <c r="S6" s="61"/>
    </row>
    <row r="7" spans="1:23" ht="17.25" thickBot="1" x14ac:dyDescent="0.3">
      <c r="A7" s="227" t="s">
        <v>621</v>
      </c>
      <c r="B7" s="226">
        <v>45946</v>
      </c>
      <c r="C7" s="230">
        <v>40700</v>
      </c>
      <c r="D7" s="230">
        <v>7876</v>
      </c>
      <c r="E7" s="230">
        <v>14523</v>
      </c>
      <c r="F7" s="230">
        <v>2809</v>
      </c>
      <c r="G7" s="230">
        <v>26177</v>
      </c>
      <c r="H7" s="230">
        <v>5067</v>
      </c>
      <c r="I7" s="230">
        <v>225955</v>
      </c>
      <c r="J7" s="230">
        <v>43194</v>
      </c>
      <c r="K7" s="228">
        <v>-895</v>
      </c>
      <c r="L7" s="228">
        <v>239</v>
      </c>
      <c r="M7" s="230">
        <v>225060</v>
      </c>
      <c r="N7" s="230">
        <v>43433</v>
      </c>
    </row>
    <row r="8" spans="1:23" ht="17.25" thickBot="1" x14ac:dyDescent="0.3">
      <c r="A8" s="227" t="s">
        <v>622</v>
      </c>
      <c r="B8" s="226">
        <v>45946</v>
      </c>
      <c r="C8" s="230">
        <v>6513520</v>
      </c>
      <c r="D8" s="230">
        <v>1241544</v>
      </c>
      <c r="E8" s="230">
        <v>6390158</v>
      </c>
      <c r="F8" s="230">
        <v>1217926</v>
      </c>
      <c r="G8" s="230">
        <v>123362</v>
      </c>
      <c r="H8" s="230">
        <v>23619</v>
      </c>
      <c r="I8" s="230">
        <v>1727639</v>
      </c>
      <c r="J8" s="230">
        <v>329951</v>
      </c>
      <c r="K8" s="230">
        <v>353629</v>
      </c>
      <c r="L8" s="230">
        <v>71487</v>
      </c>
      <c r="M8" s="230">
        <v>2081268</v>
      </c>
      <c r="N8" s="230">
        <v>401438</v>
      </c>
    </row>
    <row r="9" spans="1:23" ht="17.25" thickBot="1" x14ac:dyDescent="0.3">
      <c r="A9" s="227" t="s">
        <v>623</v>
      </c>
      <c r="B9" s="226">
        <v>45946</v>
      </c>
      <c r="C9" s="230">
        <v>1226</v>
      </c>
      <c r="D9" s="228">
        <v>229</v>
      </c>
      <c r="E9" s="230">
        <v>1770</v>
      </c>
      <c r="F9" s="228">
        <v>330</v>
      </c>
      <c r="G9" s="228">
        <v>-544</v>
      </c>
      <c r="H9" s="228">
        <v>-101</v>
      </c>
      <c r="I9" s="230">
        <v>22063</v>
      </c>
      <c r="J9" s="230">
        <v>4083</v>
      </c>
      <c r="K9" s="228">
        <v>-8</v>
      </c>
      <c r="L9" s="228">
        <v>31</v>
      </c>
      <c r="M9" s="230">
        <v>22055</v>
      </c>
      <c r="N9" s="230">
        <v>4113</v>
      </c>
    </row>
    <row r="10" spans="1:23" ht="17.25" thickBot="1" x14ac:dyDescent="0.3">
      <c r="A10" s="227" t="s">
        <v>624</v>
      </c>
      <c r="B10" s="226">
        <v>45946</v>
      </c>
      <c r="C10" s="230">
        <v>52342</v>
      </c>
      <c r="D10" s="230">
        <v>9660</v>
      </c>
      <c r="E10" s="230">
        <v>52196</v>
      </c>
      <c r="F10" s="230">
        <v>9628</v>
      </c>
      <c r="G10" s="228">
        <v>146</v>
      </c>
      <c r="H10" s="228">
        <v>32</v>
      </c>
      <c r="I10" s="230">
        <v>38231</v>
      </c>
      <c r="J10" s="230">
        <v>7045</v>
      </c>
      <c r="K10" s="230">
        <v>3570</v>
      </c>
      <c r="L10" s="228">
        <v>716</v>
      </c>
      <c r="M10" s="230">
        <v>41801</v>
      </c>
      <c r="N10" s="230">
        <v>7760</v>
      </c>
    </row>
    <row r="11" spans="1:23" ht="17.25" thickBot="1" x14ac:dyDescent="0.3">
      <c r="A11" s="227" t="s">
        <v>625</v>
      </c>
      <c r="B11" s="226">
        <v>45946</v>
      </c>
      <c r="C11" s="230">
        <v>31824</v>
      </c>
      <c r="D11" s="230">
        <v>6112</v>
      </c>
      <c r="E11" s="230">
        <v>9356</v>
      </c>
      <c r="F11" s="230">
        <v>1798</v>
      </c>
      <c r="G11" s="230">
        <v>22468</v>
      </c>
      <c r="H11" s="230">
        <v>4315</v>
      </c>
      <c r="I11" s="230">
        <v>176354</v>
      </c>
      <c r="J11" s="230">
        <v>33638</v>
      </c>
      <c r="K11" s="230">
        <v>-3720</v>
      </c>
      <c r="L11" s="228">
        <v>-409</v>
      </c>
      <c r="M11" s="230">
        <v>172634</v>
      </c>
      <c r="N11" s="230">
        <v>33229</v>
      </c>
    </row>
    <row r="12" spans="1:23" ht="17.25" thickBot="1" x14ac:dyDescent="0.3">
      <c r="A12" s="227" t="s">
        <v>626</v>
      </c>
      <c r="B12" s="226">
        <v>45946</v>
      </c>
      <c r="C12" s="230">
        <v>6192530</v>
      </c>
      <c r="D12" s="230">
        <v>1178540</v>
      </c>
      <c r="E12" s="230">
        <v>6075021</v>
      </c>
      <c r="F12" s="230">
        <v>1156112</v>
      </c>
      <c r="G12" s="230">
        <v>117509</v>
      </c>
      <c r="H12" s="230">
        <v>22429</v>
      </c>
      <c r="I12" s="230">
        <v>1424910</v>
      </c>
      <c r="J12" s="230">
        <v>270628</v>
      </c>
      <c r="K12" s="230">
        <v>323686</v>
      </c>
      <c r="L12" s="230">
        <v>64909</v>
      </c>
      <c r="M12" s="230">
        <v>1748596</v>
      </c>
      <c r="N12" s="230">
        <v>335538</v>
      </c>
    </row>
    <row r="13" spans="1:23" ht="17.25" thickBot="1" x14ac:dyDescent="0.3">
      <c r="A13" s="227" t="s">
        <v>627</v>
      </c>
      <c r="B13" s="226">
        <v>45946</v>
      </c>
      <c r="C13" s="228">
        <v>9</v>
      </c>
      <c r="D13" s="228">
        <v>2</v>
      </c>
      <c r="E13" s="228">
        <v>20</v>
      </c>
      <c r="F13" s="228">
        <v>3</v>
      </c>
      <c r="G13" s="228">
        <v>-11</v>
      </c>
      <c r="H13" s="228">
        <v>-2</v>
      </c>
      <c r="I13" s="228">
        <v>544</v>
      </c>
      <c r="J13" s="228">
        <v>94</v>
      </c>
      <c r="K13" s="228">
        <v>7</v>
      </c>
      <c r="L13" s="228">
        <v>2</v>
      </c>
      <c r="M13" s="228">
        <v>551</v>
      </c>
      <c r="N13" s="228">
        <v>96</v>
      </c>
    </row>
    <row r="14" spans="1:23" ht="17.25" thickBot="1" x14ac:dyDescent="0.3">
      <c r="A14" s="227" t="s">
        <v>628</v>
      </c>
      <c r="B14" s="226">
        <v>45946</v>
      </c>
      <c r="C14" s="228">
        <v>182</v>
      </c>
      <c r="D14" s="228">
        <v>32</v>
      </c>
      <c r="E14" s="228">
        <v>206</v>
      </c>
      <c r="F14" s="228">
        <v>36</v>
      </c>
      <c r="G14" s="228">
        <v>-24</v>
      </c>
      <c r="H14" s="228">
        <v>-4</v>
      </c>
      <c r="I14" s="228">
        <v>448</v>
      </c>
      <c r="J14" s="228">
        <v>77</v>
      </c>
      <c r="K14" s="228">
        <v>-10</v>
      </c>
      <c r="L14" s="228">
        <v>-1</v>
      </c>
      <c r="M14" s="228">
        <v>438</v>
      </c>
      <c r="N14" s="228">
        <v>76</v>
      </c>
    </row>
    <row r="15" spans="1:23" ht="17.25" thickBot="1" x14ac:dyDescent="0.3">
      <c r="A15" s="227" t="s">
        <v>629</v>
      </c>
      <c r="B15" s="226">
        <v>45946</v>
      </c>
      <c r="C15" s="230">
        <v>370953</v>
      </c>
      <c r="D15" s="230">
        <v>26699</v>
      </c>
      <c r="E15" s="230">
        <v>360034</v>
      </c>
      <c r="F15" s="230">
        <v>26236</v>
      </c>
      <c r="G15" s="230">
        <v>10919</v>
      </c>
      <c r="H15" s="228">
        <v>463</v>
      </c>
      <c r="I15" s="230">
        <v>5610175</v>
      </c>
      <c r="J15" s="230">
        <v>395634</v>
      </c>
      <c r="K15" s="230">
        <v>9965</v>
      </c>
      <c r="L15" s="230">
        <v>2974</v>
      </c>
      <c r="M15" s="230">
        <v>5620140</v>
      </c>
      <c r="N15" s="230">
        <v>398608</v>
      </c>
    </row>
    <row r="16" spans="1:23" ht="17.25" thickBot="1" x14ac:dyDescent="0.3">
      <c r="A16" s="227" t="s">
        <v>630</v>
      </c>
      <c r="B16" s="226">
        <v>45946</v>
      </c>
      <c r="C16" s="230">
        <v>417081</v>
      </c>
      <c r="D16" s="230">
        <v>30360</v>
      </c>
      <c r="E16" s="230">
        <v>413661</v>
      </c>
      <c r="F16" s="230">
        <v>30121</v>
      </c>
      <c r="G16" s="230">
        <v>3420</v>
      </c>
      <c r="H16" s="228">
        <v>239</v>
      </c>
      <c r="I16" s="230">
        <v>413703</v>
      </c>
      <c r="J16" s="230">
        <v>29129</v>
      </c>
      <c r="K16" s="230">
        <v>21998</v>
      </c>
      <c r="L16" s="230">
        <v>1729</v>
      </c>
      <c r="M16" s="230">
        <v>435701</v>
      </c>
      <c r="N16" s="230">
        <v>30857</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121" activePane="bottomLeft" state="frozen"/>
      <selection activeCell="A6" sqref="A6:S6"/>
      <selection pane="bottomLeft" activeCell="A148" sqref="A148"/>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60" t="s">
        <v>325</v>
      </c>
      <c r="B3" s="261"/>
      <c r="C3" s="261"/>
      <c r="D3" s="261"/>
      <c r="E3" s="261"/>
      <c r="F3" s="261"/>
      <c r="G3" s="261"/>
      <c r="H3" s="261"/>
      <c r="I3" s="261"/>
      <c r="J3" s="261"/>
      <c r="K3" s="261"/>
      <c r="L3" s="261"/>
      <c r="M3" s="261"/>
      <c r="N3" s="261"/>
      <c r="O3" s="261"/>
      <c r="P3" s="261"/>
      <c r="Q3" s="262"/>
    </row>
    <row r="4" spans="1:17" s="64" customFormat="1" x14ac:dyDescent="0.25">
      <c r="A4" s="263"/>
      <c r="B4" s="263" t="s">
        <v>308</v>
      </c>
      <c r="C4" s="263"/>
      <c r="D4" s="264"/>
      <c r="E4" s="264"/>
      <c r="F4" s="263" t="s">
        <v>326</v>
      </c>
      <c r="G4" s="263"/>
      <c r="H4" s="263"/>
      <c r="I4" s="263" t="s">
        <v>327</v>
      </c>
      <c r="J4" s="263"/>
      <c r="K4" s="263"/>
      <c r="L4" s="263" t="s">
        <v>311</v>
      </c>
      <c r="M4" s="263"/>
      <c r="N4" s="263"/>
      <c r="O4" s="263"/>
      <c r="P4" s="263"/>
      <c r="Q4" s="263"/>
    </row>
    <row r="5" spans="1:17" s="64" customFormat="1" x14ac:dyDescent="0.25">
      <c r="A5" s="258"/>
      <c r="B5" s="73" t="s">
        <v>312</v>
      </c>
      <c r="C5" s="258" t="s">
        <v>313</v>
      </c>
      <c r="D5" s="259"/>
      <c r="E5" s="259"/>
      <c r="F5" s="258" t="s">
        <v>314</v>
      </c>
      <c r="G5" s="258"/>
      <c r="H5" s="258"/>
      <c r="I5" s="258" t="s">
        <v>315</v>
      </c>
      <c r="J5" s="258"/>
      <c r="K5" s="258"/>
      <c r="L5" s="258" t="s">
        <v>316</v>
      </c>
      <c r="M5" s="258"/>
      <c r="N5" s="258"/>
      <c r="O5" s="258" t="s">
        <v>317</v>
      </c>
      <c r="P5" s="258"/>
      <c r="Q5" s="258"/>
    </row>
    <row r="6" spans="1:17" s="72" customFormat="1" ht="33.75" x14ac:dyDescent="0.25">
      <c r="A6" s="71" t="s">
        <v>558</v>
      </c>
      <c r="B6" s="66">
        <f>'Snapshot (Value)'!C10</f>
        <v>45946</v>
      </c>
      <c r="C6" s="66">
        <f>'Snapshot (Value)'!D10</f>
        <v>45946</v>
      </c>
      <c r="D6" s="71" t="s">
        <v>322</v>
      </c>
      <c r="E6" s="71" t="s">
        <v>328</v>
      </c>
      <c r="F6" s="66">
        <f>C6</f>
        <v>45946</v>
      </c>
      <c r="G6" s="71" t="s">
        <v>322</v>
      </c>
      <c r="H6" s="71" t="s">
        <v>328</v>
      </c>
      <c r="I6" s="66">
        <f>C6</f>
        <v>45946</v>
      </c>
      <c r="J6" s="71" t="s">
        <v>322</v>
      </c>
      <c r="K6" s="71" t="s">
        <v>328</v>
      </c>
      <c r="L6" s="66">
        <f>C6</f>
        <v>45946</v>
      </c>
      <c r="M6" s="71" t="s">
        <v>322</v>
      </c>
      <c r="N6" s="71" t="s">
        <v>328</v>
      </c>
      <c r="O6" s="66">
        <f>C6</f>
        <v>45946</v>
      </c>
      <c r="P6" s="71" t="s">
        <v>322</v>
      </c>
      <c r="Q6" s="71" t="s">
        <v>328</v>
      </c>
    </row>
    <row r="7" spans="1:17" x14ac:dyDescent="0.25">
      <c r="A7" s="97" t="str">
        <f>'Data Vlaue (Cr)'!C2</f>
        <v>360ONE</v>
      </c>
      <c r="B7" s="140">
        <f>VLOOKUP($A7,'Data shares'!$C:$FB,7)</f>
        <v>1171.8</v>
      </c>
      <c r="C7" s="140">
        <f>VLOOKUP($A7,'Data shares'!$C:$FB,3)</f>
        <v>1171.5999999999999</v>
      </c>
      <c r="D7" s="140">
        <f>VLOOKUP($A7,'Data shares'!$C:$FB,4)</f>
        <v>1162.5</v>
      </c>
      <c r="E7" s="50">
        <f>(C7-D7)/D7*100</f>
        <v>0.78279569892472334</v>
      </c>
      <c r="F7" s="49">
        <f>VLOOKUP($A7,'Data shares'!$C:$FB,98)</f>
        <v>6614500</v>
      </c>
      <c r="G7" s="49">
        <f>VLOOKUP($A7,'Data shares'!$C:$FB,99)</f>
        <v>6262000</v>
      </c>
      <c r="H7" s="50">
        <f>(F7-G7)/G7*100</f>
        <v>5.6291919514532101</v>
      </c>
      <c r="I7" s="49">
        <f>VLOOKUP($A7,'Data shares'!$C:$FB,66)</f>
        <v>7817500</v>
      </c>
      <c r="J7" s="49">
        <f>VLOOKUP($A7,'Data shares'!$C:$FB,67)</f>
        <v>16208000</v>
      </c>
      <c r="K7" s="50">
        <f>(I7-J7)/I7*100</f>
        <v>-107.3297089862488</v>
      </c>
      <c r="L7" s="50">
        <f>VLOOKUP($A7,'Data shares'!$C:$FB,118)</f>
        <v>0.57999999999999996</v>
      </c>
      <c r="M7" s="50">
        <f>VLOOKUP($A7,'Data shares'!$C:$FB,119)</f>
        <v>0.61</v>
      </c>
      <c r="N7" s="50">
        <f>VLOOKUP($A7,'Data shares'!$C:$FB,121)*100</f>
        <v>-4.92</v>
      </c>
      <c r="O7" s="50">
        <f>VLOOKUP($A7,'Data shares'!$C:$FB,124)</f>
        <v>0.41</v>
      </c>
      <c r="P7" s="50">
        <f>VLOOKUP($A7,'Data shares'!$C:$FB,125)</f>
        <v>0.28000000000000003</v>
      </c>
      <c r="Q7" s="50">
        <f>VLOOKUP($A7,'Data shares'!$C:$FB,127)*100</f>
        <v>46.43</v>
      </c>
    </row>
    <row r="8" spans="1:17" x14ac:dyDescent="0.25">
      <c r="A8" s="97" t="str">
        <f>'Data Vlaue (Cr)'!C3</f>
        <v>ABB</v>
      </c>
      <c r="B8" s="140">
        <f>VLOOKUP($A8,'Data shares'!$C:$FB,7)</f>
        <v>5212</v>
      </c>
      <c r="C8" s="140">
        <f>VLOOKUP($A8,'Data shares'!$C:$FB,3)</f>
        <v>5213.5</v>
      </c>
      <c r="D8" s="140">
        <f>VLOOKUP($A8,'Data shares'!$C:$FB,4)</f>
        <v>5192.5</v>
      </c>
      <c r="E8" s="50">
        <f t="shared" ref="E8:E71" si="0">(C8-D8)/D8*100</f>
        <v>0.40442946557534909</v>
      </c>
      <c r="F8" s="49">
        <f>VLOOKUP($A8,'Data shares'!$C:$FB,98)</f>
        <v>4708875</v>
      </c>
      <c r="G8" s="49">
        <f>VLOOKUP($A8,'Data shares'!$C:$FB,99)</f>
        <v>4644875</v>
      </c>
      <c r="H8" s="50">
        <f t="shared" ref="H8:H71" si="1">(F8-G8)/G8*100</f>
        <v>1.3778626981350413</v>
      </c>
      <c r="I8" s="49">
        <f>VLOOKUP($A8,'Data shares'!$C:$FB,66)</f>
        <v>8386375</v>
      </c>
      <c r="J8" s="49">
        <f>VLOOKUP($A8,'Data shares'!$C:$FB,67)</f>
        <v>3664375</v>
      </c>
      <c r="K8" s="50">
        <f t="shared" ref="K8:K71" si="2">(I8-J8)/I8*100</f>
        <v>56.30561476203961</v>
      </c>
      <c r="L8" s="50">
        <f>VLOOKUP($A8,'Data shares'!$C:$FB,118)</f>
        <v>0.69</v>
      </c>
      <c r="M8" s="50">
        <f>VLOOKUP($A8,'Data shares'!$C:$FB,119)</f>
        <v>0.62</v>
      </c>
      <c r="N8" s="50">
        <f>VLOOKUP($A8,'Data shares'!$C:$FB,121)*100</f>
        <v>11.29</v>
      </c>
      <c r="O8" s="50">
        <f>VLOOKUP($A8,'Data shares'!$C:$FB,124)</f>
        <v>0.64</v>
      </c>
      <c r="P8" s="50">
        <f>VLOOKUP($A8,'Data shares'!$C:$FB,125)</f>
        <v>0.31</v>
      </c>
      <c r="Q8" s="50">
        <f>VLOOKUP($A8,'Data shares'!$C:$FB,127)*100</f>
        <v>106.45</v>
      </c>
    </row>
    <row r="9" spans="1:17" x14ac:dyDescent="0.25">
      <c r="A9" s="97" t="str">
        <f>'Data Vlaue (Cr)'!C4</f>
        <v>ABCAPITAL</v>
      </c>
      <c r="B9" s="140">
        <f>VLOOKUP($A9,'Data shares'!$C:$FB,7)</f>
        <v>300</v>
      </c>
      <c r="C9" s="140">
        <f>VLOOKUP($A9,'Data shares'!$C:$FB,3)</f>
        <v>301</v>
      </c>
      <c r="D9" s="140">
        <f>VLOOKUP($A9,'Data shares'!$C:$FB,4)</f>
        <v>304.75</v>
      </c>
      <c r="E9" s="50">
        <f t="shared" si="0"/>
        <v>-1.2305168170631664</v>
      </c>
      <c r="F9" s="49">
        <f>VLOOKUP($A9,'Data shares'!$C:$FB,98)</f>
        <v>115955500</v>
      </c>
      <c r="G9" s="49">
        <f>VLOOKUP($A9,'Data shares'!$C:$FB,99)</f>
        <v>114551200</v>
      </c>
      <c r="H9" s="50">
        <f t="shared" si="1"/>
        <v>1.225914700151548</v>
      </c>
      <c r="I9" s="49">
        <f>VLOOKUP($A9,'Data shares'!$C:$FB,66)</f>
        <v>38254000</v>
      </c>
      <c r="J9" s="49">
        <f>VLOOKUP($A9,'Data shares'!$C:$FB,67)</f>
        <v>53912100</v>
      </c>
      <c r="K9" s="50">
        <f t="shared" si="2"/>
        <v>-40.931928687196113</v>
      </c>
      <c r="L9" s="50">
        <f>VLOOKUP($A9,'Data shares'!$C:$FB,118)</f>
        <v>0.56000000000000005</v>
      </c>
      <c r="M9" s="50">
        <f>VLOOKUP($A9,'Data shares'!$C:$FB,119)</f>
        <v>0.56999999999999995</v>
      </c>
      <c r="N9" s="50">
        <f>VLOOKUP($A9,'Data shares'!$C:$FB,121)*100</f>
        <v>-1.7500000000000002</v>
      </c>
      <c r="O9" s="50">
        <f>VLOOKUP($A9,'Data shares'!$C:$FB,124)</f>
        <v>0.45</v>
      </c>
      <c r="P9" s="50">
        <f>VLOOKUP($A9,'Data shares'!$C:$FB,125)</f>
        <v>0.53</v>
      </c>
      <c r="Q9" s="50">
        <f>VLOOKUP($A9,'Data shares'!$C:$FB,127)*100</f>
        <v>-15.09</v>
      </c>
    </row>
    <row r="10" spans="1:17" x14ac:dyDescent="0.25">
      <c r="A10" s="97" t="str">
        <f>'Data Vlaue (Cr)'!C5</f>
        <v>ADANIENSOL</v>
      </c>
      <c r="B10" s="140">
        <f>VLOOKUP($A10,'Data shares'!$C:$FB,7)</f>
        <v>947.95</v>
      </c>
      <c r="C10" s="140">
        <f>VLOOKUP($A10,'Data shares'!$C:$FB,3)</f>
        <v>948.7</v>
      </c>
      <c r="D10" s="140">
        <f>VLOOKUP($A10,'Data shares'!$C:$FB,4)</f>
        <v>948.55</v>
      </c>
      <c r="E10" s="50">
        <f t="shared" si="0"/>
        <v>1.5813610247229031E-2</v>
      </c>
      <c r="F10" s="49">
        <f>VLOOKUP($A10,'Data shares'!$C:$FB,98)</f>
        <v>24052275</v>
      </c>
      <c r="G10" s="49">
        <f>VLOOKUP($A10,'Data shares'!$C:$FB,99)</f>
        <v>24203475</v>
      </c>
      <c r="H10" s="50">
        <f t="shared" si="1"/>
        <v>-0.62470368407842258</v>
      </c>
      <c r="I10" s="49">
        <f>VLOOKUP($A10,'Data shares'!$C:$FB,66)</f>
        <v>8866125</v>
      </c>
      <c r="J10" s="49">
        <f>VLOOKUP($A10,'Data shares'!$C:$FB,67)</f>
        <v>9078075</v>
      </c>
      <c r="K10" s="50">
        <f t="shared" si="2"/>
        <v>-2.3905595736581651</v>
      </c>
      <c r="L10" s="50">
        <f>VLOOKUP($A10,'Data shares'!$C:$FB,118)</f>
        <v>0.64</v>
      </c>
      <c r="M10" s="50">
        <f>VLOOKUP($A10,'Data shares'!$C:$FB,119)</f>
        <v>0.63</v>
      </c>
      <c r="N10" s="50">
        <f>VLOOKUP($A10,'Data shares'!$C:$FB,121)*100</f>
        <v>1.59</v>
      </c>
      <c r="O10" s="50">
        <f>VLOOKUP($A10,'Data shares'!$C:$FB,124)</f>
        <v>0.38</v>
      </c>
      <c r="P10" s="50">
        <f>VLOOKUP($A10,'Data shares'!$C:$FB,125)</f>
        <v>0.31</v>
      </c>
      <c r="Q10" s="50">
        <f>VLOOKUP($A10,'Data shares'!$C:$FB,127)*100</f>
        <v>22.58</v>
      </c>
    </row>
    <row r="11" spans="1:17" x14ac:dyDescent="0.25">
      <c r="A11" s="97" t="str">
        <f>'Data Vlaue (Cr)'!C6</f>
        <v>ADANIENT</v>
      </c>
      <c r="B11" s="140">
        <f>VLOOKUP($A11,'Data shares'!$C:$FB,7)</f>
        <v>2557.6</v>
      </c>
      <c r="C11" s="140">
        <f>VLOOKUP($A11,'Data shares'!$C:$FB,3)</f>
        <v>2567.6999999999998</v>
      </c>
      <c r="D11" s="140">
        <f>VLOOKUP($A11,'Data shares'!$C:$FB,4)</f>
        <v>2544.6</v>
      </c>
      <c r="E11" s="50">
        <f t="shared" si="0"/>
        <v>0.90780476302758428</v>
      </c>
      <c r="F11" s="49">
        <f>VLOOKUP($A11,'Data shares'!$C:$FB,98)</f>
        <v>27604800</v>
      </c>
      <c r="G11" s="49">
        <f>VLOOKUP($A11,'Data shares'!$C:$FB,99)</f>
        <v>27484200</v>
      </c>
      <c r="H11" s="50">
        <f t="shared" si="1"/>
        <v>0.43879756369113887</v>
      </c>
      <c r="I11" s="49">
        <f>VLOOKUP($A11,'Data shares'!$C:$FB,66)</f>
        <v>15867900</v>
      </c>
      <c r="J11" s="49">
        <f>VLOOKUP($A11,'Data shares'!$C:$FB,67)</f>
        <v>14381700</v>
      </c>
      <c r="K11" s="50">
        <f t="shared" si="2"/>
        <v>9.3660786871608721</v>
      </c>
      <c r="L11" s="50">
        <f>VLOOKUP($A11,'Data shares'!$C:$FB,118)</f>
        <v>0.55000000000000004</v>
      </c>
      <c r="M11" s="50">
        <f>VLOOKUP($A11,'Data shares'!$C:$FB,119)</f>
        <v>0.56000000000000005</v>
      </c>
      <c r="N11" s="50">
        <f>VLOOKUP($A11,'Data shares'!$C:$FB,121)*100</f>
        <v>-1.79</v>
      </c>
      <c r="O11" s="50">
        <f>VLOOKUP($A11,'Data shares'!$C:$FB,124)</f>
        <v>0.33</v>
      </c>
      <c r="P11" s="50">
        <f>VLOOKUP($A11,'Data shares'!$C:$FB,125)</f>
        <v>0.34</v>
      </c>
      <c r="Q11" s="50">
        <f>VLOOKUP($A11,'Data shares'!$C:$FB,127)*100</f>
        <v>-2.94</v>
      </c>
    </row>
    <row r="12" spans="1:17" x14ac:dyDescent="0.25">
      <c r="A12" s="97" t="str">
        <f>'Data Vlaue (Cr)'!C7</f>
        <v>ADANIGREEN</v>
      </c>
      <c r="B12" s="140">
        <f>VLOOKUP($A12,'Data shares'!$C:$FB,7)</f>
        <v>1060.3</v>
      </c>
      <c r="C12" s="140">
        <f>VLOOKUP($A12,'Data shares'!$C:$FB,3)</f>
        <v>1064.3</v>
      </c>
      <c r="D12" s="140">
        <f>VLOOKUP($A12,'Data shares'!$C:$FB,4)</f>
        <v>1050.3</v>
      </c>
      <c r="E12" s="50">
        <f t="shared" si="0"/>
        <v>1.3329524897648291</v>
      </c>
      <c r="F12" s="49">
        <f>VLOOKUP($A12,'Data shares'!$C:$FB,98)</f>
        <v>37174200</v>
      </c>
      <c r="G12" s="49">
        <f>VLOOKUP($A12,'Data shares'!$C:$FB,99)</f>
        <v>36838200</v>
      </c>
      <c r="H12" s="50">
        <f t="shared" si="1"/>
        <v>0.9120966822483183</v>
      </c>
      <c r="I12" s="49">
        <f>VLOOKUP($A12,'Data shares'!$C:$FB,66)</f>
        <v>20175000</v>
      </c>
      <c r="J12" s="49">
        <f>VLOOKUP($A12,'Data shares'!$C:$FB,67)</f>
        <v>13816200</v>
      </c>
      <c r="K12" s="50">
        <f t="shared" si="2"/>
        <v>31.5182156133829</v>
      </c>
      <c r="L12" s="50">
        <f>VLOOKUP($A12,'Data shares'!$C:$FB,118)</f>
        <v>0.5</v>
      </c>
      <c r="M12" s="50">
        <f>VLOOKUP($A12,'Data shares'!$C:$FB,119)</f>
        <v>0.47</v>
      </c>
      <c r="N12" s="50">
        <f>VLOOKUP($A12,'Data shares'!$C:$FB,121)*100</f>
        <v>6.38</v>
      </c>
      <c r="O12" s="50">
        <f>VLOOKUP($A12,'Data shares'!$C:$FB,124)</f>
        <v>0.28000000000000003</v>
      </c>
      <c r="P12" s="50">
        <f>VLOOKUP($A12,'Data shares'!$C:$FB,125)</f>
        <v>0.32</v>
      </c>
      <c r="Q12" s="50">
        <f>VLOOKUP($A12,'Data shares'!$C:$FB,127)*100</f>
        <v>-12.5</v>
      </c>
    </row>
    <row r="13" spans="1:17" x14ac:dyDescent="0.25">
      <c r="A13" s="97" t="str">
        <f>'Data Vlaue (Cr)'!C8</f>
        <v>ADANIPORTS</v>
      </c>
      <c r="B13" s="140">
        <f>VLOOKUP($A13,'Data shares'!$C:$FB,7)</f>
        <v>1479.5</v>
      </c>
      <c r="C13" s="140">
        <f>VLOOKUP($A13,'Data shares'!$C:$FB,3)</f>
        <v>1481.7</v>
      </c>
      <c r="D13" s="140">
        <f>VLOOKUP($A13,'Data shares'!$C:$FB,4)</f>
        <v>1457.3</v>
      </c>
      <c r="E13" s="50">
        <f t="shared" si="0"/>
        <v>1.6743292390036431</v>
      </c>
      <c r="F13" s="49">
        <f>VLOOKUP($A13,'Data shares'!$C:$FB,98)</f>
        <v>35252125</v>
      </c>
      <c r="G13" s="49">
        <f>VLOOKUP($A13,'Data shares'!$C:$FB,99)</f>
        <v>34841250</v>
      </c>
      <c r="H13" s="50">
        <f t="shared" si="1"/>
        <v>1.1792774369461487</v>
      </c>
      <c r="I13" s="49">
        <f>VLOOKUP($A13,'Data shares'!$C:$FB,66)</f>
        <v>44000675</v>
      </c>
      <c r="J13" s="49">
        <f>VLOOKUP($A13,'Data shares'!$C:$FB,67)</f>
        <v>25291850</v>
      </c>
      <c r="K13" s="50">
        <f t="shared" si="2"/>
        <v>42.519404531862293</v>
      </c>
      <c r="L13" s="50">
        <f>VLOOKUP($A13,'Data shares'!$C:$FB,118)</f>
        <v>0.73</v>
      </c>
      <c r="M13" s="50">
        <f>VLOOKUP($A13,'Data shares'!$C:$FB,119)</f>
        <v>0.68</v>
      </c>
      <c r="N13" s="50">
        <f>VLOOKUP($A13,'Data shares'!$C:$FB,121)*100</f>
        <v>7.35</v>
      </c>
      <c r="O13" s="50">
        <f>VLOOKUP($A13,'Data shares'!$C:$FB,124)</f>
        <v>0.39</v>
      </c>
      <c r="P13" s="50">
        <f>VLOOKUP($A13,'Data shares'!$C:$FB,125)</f>
        <v>0.4</v>
      </c>
      <c r="Q13" s="50">
        <f>VLOOKUP($A13,'Data shares'!$C:$FB,127)*100</f>
        <v>-2.5</v>
      </c>
    </row>
    <row r="14" spans="1:17" x14ac:dyDescent="0.25">
      <c r="A14" s="97" t="str">
        <f>'Data Vlaue (Cr)'!C9</f>
        <v>ALKEM</v>
      </c>
      <c r="B14" s="140">
        <f>VLOOKUP($A14,'Data shares'!$C:$FB,7)</f>
        <v>5524</v>
      </c>
      <c r="C14" s="140">
        <f>VLOOKUP($A14,'Data shares'!$C:$FB,3)</f>
        <v>5545</v>
      </c>
      <c r="D14" s="140">
        <f>VLOOKUP($A14,'Data shares'!$C:$FB,4)</f>
        <v>5575</v>
      </c>
      <c r="E14" s="50">
        <f>(C14-D14)/D14*100</f>
        <v>-0.53811659192825112</v>
      </c>
      <c r="F14" s="49">
        <f>VLOOKUP($A14,'Data shares'!$C:$FB,98)</f>
        <v>2018250</v>
      </c>
      <c r="G14" s="49">
        <f>VLOOKUP($A14,'Data shares'!$C:$FB,99)</f>
        <v>2000250</v>
      </c>
      <c r="H14" s="50">
        <f t="shared" si="1"/>
        <v>0.89988751406074252</v>
      </c>
      <c r="I14" s="49">
        <f>VLOOKUP($A14,'Data shares'!$C:$FB,66)</f>
        <v>460875</v>
      </c>
      <c r="J14" s="49">
        <f>VLOOKUP($A14,'Data shares'!$C:$FB,67)</f>
        <v>901250</v>
      </c>
      <c r="K14" s="50">
        <f t="shared" si="2"/>
        <v>-95.551939245999463</v>
      </c>
      <c r="L14" s="50">
        <f>VLOOKUP($A14,'Data shares'!$C:$FB,118)</f>
        <v>0.64</v>
      </c>
      <c r="M14" s="50">
        <f>VLOOKUP($A14,'Data shares'!$C:$FB,119)</f>
        <v>0.64</v>
      </c>
      <c r="N14" s="50">
        <f>VLOOKUP($A14,'Data shares'!$C:$FB,121)*100</f>
        <v>0</v>
      </c>
      <c r="O14" s="50">
        <f>VLOOKUP($A14,'Data shares'!$C:$FB,124)</f>
        <v>0.53</v>
      </c>
      <c r="P14" s="50">
        <f>VLOOKUP($A14,'Data shares'!$C:$FB,125)</f>
        <v>0.27</v>
      </c>
      <c r="Q14" s="50">
        <f>VLOOKUP($A14,'Data shares'!$C:$FB,127)*100</f>
        <v>96.3</v>
      </c>
    </row>
    <row r="15" spans="1:17" x14ac:dyDescent="0.25">
      <c r="A15" s="97" t="str">
        <f>'Data Vlaue (Cr)'!C10</f>
        <v>AMBER</v>
      </c>
      <c r="B15" s="140">
        <f>VLOOKUP($A15,'Data shares'!$C:$FB,7)</f>
        <v>8239</v>
      </c>
      <c r="C15" s="140">
        <f>VLOOKUP($A15,'Data shares'!$C:$FB,3)</f>
        <v>8128</v>
      </c>
      <c r="D15" s="140">
        <f>VLOOKUP($A15,'Data shares'!$C:$FB,4)</f>
        <v>8119.5</v>
      </c>
      <c r="E15" s="50">
        <f t="shared" si="0"/>
        <v>0.10468624915327299</v>
      </c>
      <c r="F15" s="49">
        <f>VLOOKUP($A15,'Data shares'!$C:$FB,98)</f>
        <v>1848300</v>
      </c>
      <c r="G15" s="49">
        <f>VLOOKUP($A15,'Data shares'!$C:$FB,99)</f>
        <v>1714600</v>
      </c>
      <c r="H15" s="50">
        <f t="shared" si="1"/>
        <v>7.7977370815350513</v>
      </c>
      <c r="I15" s="49">
        <f>VLOOKUP($A15,'Data shares'!$C:$FB,66)</f>
        <v>1290800</v>
      </c>
      <c r="J15" s="49">
        <f>VLOOKUP($A15,'Data shares'!$C:$FB,67)</f>
        <v>1193400</v>
      </c>
      <c r="K15" s="50">
        <f t="shared" si="2"/>
        <v>7.5457080880074372</v>
      </c>
      <c r="L15" s="50">
        <f>VLOOKUP($A15,'Data shares'!$C:$FB,118)</f>
        <v>0.51</v>
      </c>
      <c r="M15" s="50">
        <f>VLOOKUP($A15,'Data shares'!$C:$FB,119)</f>
        <v>0.51</v>
      </c>
      <c r="N15" s="50">
        <f>VLOOKUP($A15,'Data shares'!$C:$FB,121)*100</f>
        <v>0</v>
      </c>
      <c r="O15" s="50">
        <f>VLOOKUP($A15,'Data shares'!$C:$FB,124)</f>
        <v>0.27</v>
      </c>
      <c r="P15" s="50">
        <f>VLOOKUP($A15,'Data shares'!$C:$FB,125)</f>
        <v>0.31</v>
      </c>
      <c r="Q15" s="50">
        <f>VLOOKUP($A15,'Data shares'!$C:$FB,127)*100</f>
        <v>-12.9</v>
      </c>
    </row>
    <row r="16" spans="1:17" x14ac:dyDescent="0.25">
      <c r="A16" s="97" t="str">
        <f>'Data Vlaue (Cr)'!C11</f>
        <v>AMBUJACEM</v>
      </c>
      <c r="B16" s="140">
        <f>VLOOKUP($A16,'Data shares'!$C:$FB,7)</f>
        <v>569.70000000000005</v>
      </c>
      <c r="C16" s="140">
        <f>VLOOKUP($A16,'Data shares'!$C:$FB,3)</f>
        <v>571.5</v>
      </c>
      <c r="D16" s="140">
        <f>VLOOKUP($A16,'Data shares'!$C:$FB,4)</f>
        <v>569.29999999999995</v>
      </c>
      <c r="E16" s="50">
        <f t="shared" si="0"/>
        <v>0.38643948708941606</v>
      </c>
      <c r="F16" s="49">
        <f>VLOOKUP($A16,'Data shares'!$C:$FB,98)</f>
        <v>61345200</v>
      </c>
      <c r="G16" s="49">
        <f>VLOOKUP($A16,'Data shares'!$C:$FB,99)</f>
        <v>61724250</v>
      </c>
      <c r="H16" s="50">
        <f t="shared" si="1"/>
        <v>-0.61410223696521216</v>
      </c>
      <c r="I16" s="49">
        <f>VLOOKUP($A16,'Data shares'!$C:$FB,66)</f>
        <v>15866550</v>
      </c>
      <c r="J16" s="49">
        <f>VLOOKUP($A16,'Data shares'!$C:$FB,67)</f>
        <v>11127900</v>
      </c>
      <c r="K16" s="50">
        <f t="shared" si="2"/>
        <v>29.86566077691748</v>
      </c>
      <c r="L16" s="50">
        <f>VLOOKUP($A16,'Data shares'!$C:$FB,118)</f>
        <v>0.62</v>
      </c>
      <c r="M16" s="50">
        <f>VLOOKUP($A16,'Data shares'!$C:$FB,119)</f>
        <v>0.63</v>
      </c>
      <c r="N16" s="50">
        <f>VLOOKUP($A16,'Data shares'!$C:$FB,121)*100</f>
        <v>-1.59</v>
      </c>
      <c r="O16" s="50">
        <f>VLOOKUP($A16,'Data shares'!$C:$FB,124)</f>
        <v>0.48</v>
      </c>
      <c r="P16" s="50">
        <f>VLOOKUP($A16,'Data shares'!$C:$FB,125)</f>
        <v>0.39</v>
      </c>
      <c r="Q16" s="50">
        <f>VLOOKUP($A16,'Data shares'!$C:$FB,127)*100</f>
        <v>23.080000000000002</v>
      </c>
    </row>
    <row r="17" spans="1:17" x14ac:dyDescent="0.25">
      <c r="A17" s="97" t="str">
        <f>'Data Vlaue (Cr)'!C12</f>
        <v>ANGELONE</v>
      </c>
      <c r="B17" s="140">
        <f>VLOOKUP($A17,'Data shares'!$C:$FB,7)</f>
        <v>2482.6</v>
      </c>
      <c r="C17" s="140">
        <f>VLOOKUP($A17,'Data shares'!$C:$FB,3)</f>
        <v>2479.5</v>
      </c>
      <c r="D17" s="140">
        <f>VLOOKUP($A17,'Data shares'!$C:$FB,4)</f>
        <v>2452.3000000000002</v>
      </c>
      <c r="E17" s="50">
        <f t="shared" si="0"/>
        <v>1.109162826734079</v>
      </c>
      <c r="F17" s="49">
        <f>VLOOKUP($A17,'Data shares'!$C:$FB,98)</f>
        <v>8646250</v>
      </c>
      <c r="G17" s="49">
        <f>VLOOKUP($A17,'Data shares'!$C:$FB,99)</f>
        <v>9173250</v>
      </c>
      <c r="H17" s="50">
        <f t="shared" si="1"/>
        <v>-5.7449649796964</v>
      </c>
      <c r="I17" s="49">
        <f>VLOOKUP($A17,'Data shares'!$C:$FB,66)</f>
        <v>47133500</v>
      </c>
      <c r="J17" s="49">
        <f>VLOOKUP($A17,'Data shares'!$C:$FB,67)</f>
        <v>18841000</v>
      </c>
      <c r="K17" s="50">
        <f t="shared" si="2"/>
        <v>60.026308252092463</v>
      </c>
      <c r="L17" s="50">
        <f>VLOOKUP($A17,'Data shares'!$C:$FB,118)</f>
        <v>0.82</v>
      </c>
      <c r="M17" s="50">
        <f>VLOOKUP($A17,'Data shares'!$C:$FB,119)</f>
        <v>0.84</v>
      </c>
      <c r="N17" s="50">
        <f>VLOOKUP($A17,'Data shares'!$C:$FB,121)*100</f>
        <v>-2.3800000000000003</v>
      </c>
      <c r="O17" s="50">
        <f>VLOOKUP($A17,'Data shares'!$C:$FB,124)</f>
        <v>0.66</v>
      </c>
      <c r="P17" s="50">
        <f>VLOOKUP($A17,'Data shares'!$C:$FB,125)</f>
        <v>0.44</v>
      </c>
      <c r="Q17" s="50">
        <f>VLOOKUP($A17,'Data shares'!$C:$FB,127)*100</f>
        <v>50</v>
      </c>
    </row>
    <row r="18" spans="1:17" x14ac:dyDescent="0.25">
      <c r="A18" s="97" t="str">
        <f>'Data Vlaue (Cr)'!C13</f>
        <v>APLAPOLLO</v>
      </c>
      <c r="B18" s="140">
        <f>VLOOKUP($A18,'Data shares'!$C:$FB,7)</f>
        <v>1728</v>
      </c>
      <c r="C18" s="140">
        <f>VLOOKUP($A18,'Data shares'!$C:$FB,3)</f>
        <v>1734</v>
      </c>
      <c r="D18" s="140">
        <f>VLOOKUP($A18,'Data shares'!$C:$FB,4)</f>
        <v>1740.7</v>
      </c>
      <c r="E18" s="50">
        <f t="shared" si="0"/>
        <v>-0.38490262538059661</v>
      </c>
      <c r="F18" s="49">
        <f>VLOOKUP($A18,'Data shares'!$C:$FB,98)</f>
        <v>11492950</v>
      </c>
      <c r="G18" s="49">
        <f>VLOOKUP($A18,'Data shares'!$C:$FB,99)</f>
        <v>11441500</v>
      </c>
      <c r="H18" s="50">
        <f t="shared" si="1"/>
        <v>0.44967880085653106</v>
      </c>
      <c r="I18" s="49">
        <f>VLOOKUP($A18,'Data shares'!$C:$FB,66)</f>
        <v>1295000</v>
      </c>
      <c r="J18" s="49">
        <f>VLOOKUP($A18,'Data shares'!$C:$FB,67)</f>
        <v>1144500</v>
      </c>
      <c r="K18" s="50">
        <f t="shared" si="2"/>
        <v>11.621621621621623</v>
      </c>
      <c r="L18" s="50">
        <f>VLOOKUP($A18,'Data shares'!$C:$FB,118)</f>
        <v>0.5</v>
      </c>
      <c r="M18" s="50">
        <f>VLOOKUP($A18,'Data shares'!$C:$FB,119)</f>
        <v>0.52</v>
      </c>
      <c r="N18" s="50">
        <f>VLOOKUP($A18,'Data shares'!$C:$FB,121)*100</f>
        <v>-3.85</v>
      </c>
      <c r="O18" s="50">
        <f>VLOOKUP($A18,'Data shares'!$C:$FB,124)</f>
        <v>0.33</v>
      </c>
      <c r="P18" s="50">
        <f>VLOOKUP($A18,'Data shares'!$C:$FB,125)</f>
        <v>0.41</v>
      </c>
      <c r="Q18" s="50">
        <f>VLOOKUP($A18,'Data shares'!$C:$FB,127)*100</f>
        <v>-19.509999999999998</v>
      </c>
    </row>
    <row r="19" spans="1:17" x14ac:dyDescent="0.25">
      <c r="A19" s="97" t="str">
        <f>'Data Vlaue (Cr)'!C14</f>
        <v>APOLLOHOSP</v>
      </c>
      <c r="B19" s="140">
        <f>VLOOKUP($A19,'Data shares'!$C:$FB,7)</f>
        <v>7833.5</v>
      </c>
      <c r="C19" s="140">
        <f>VLOOKUP($A19,'Data shares'!$C:$FB,3)</f>
        <v>7860.5</v>
      </c>
      <c r="D19" s="140">
        <f>VLOOKUP($A19,'Data shares'!$C:$FB,4)</f>
        <v>7838</v>
      </c>
      <c r="E19" s="50">
        <f t="shared" si="0"/>
        <v>0.28706302628221486</v>
      </c>
      <c r="F19" s="49">
        <f>VLOOKUP($A19,'Data shares'!$C:$FB,98)</f>
        <v>3932250</v>
      </c>
      <c r="G19" s="49">
        <f>VLOOKUP($A19,'Data shares'!$C:$FB,99)</f>
        <v>3964375</v>
      </c>
      <c r="H19" s="50">
        <f t="shared" si="1"/>
        <v>-0.81034210941195017</v>
      </c>
      <c r="I19" s="49">
        <f>VLOOKUP($A19,'Data shares'!$C:$FB,66)</f>
        <v>1742125</v>
      </c>
      <c r="J19" s="49">
        <f>VLOOKUP($A19,'Data shares'!$C:$FB,67)</f>
        <v>3094000</v>
      </c>
      <c r="K19" s="50">
        <f t="shared" si="2"/>
        <v>-77.599196383726763</v>
      </c>
      <c r="L19" s="50">
        <f>VLOOKUP($A19,'Data shares'!$C:$FB,118)</f>
        <v>0.87</v>
      </c>
      <c r="M19" s="50">
        <f>VLOOKUP($A19,'Data shares'!$C:$FB,119)</f>
        <v>0.81</v>
      </c>
      <c r="N19" s="50">
        <f>VLOOKUP($A19,'Data shares'!$C:$FB,121)*100</f>
        <v>7.41</v>
      </c>
      <c r="O19" s="50">
        <f>VLOOKUP($A19,'Data shares'!$C:$FB,124)</f>
        <v>0.61</v>
      </c>
      <c r="P19" s="50">
        <f>VLOOKUP($A19,'Data shares'!$C:$FB,125)</f>
        <v>0.63</v>
      </c>
      <c r="Q19" s="50">
        <f>VLOOKUP($A19,'Data shares'!$C:$FB,127)*100</f>
        <v>-3.17</v>
      </c>
    </row>
    <row r="20" spans="1:17" x14ac:dyDescent="0.25">
      <c r="A20" s="97" t="str">
        <f>'Data Vlaue (Cr)'!C15</f>
        <v>ASHOKLEY</v>
      </c>
      <c r="B20" s="140">
        <f>VLOOKUP($A20,'Data shares'!$C:$FB,7)</f>
        <v>137.24</v>
      </c>
      <c r="C20" s="140">
        <f>VLOOKUP($A20,'Data shares'!$C:$FB,3)</f>
        <v>137.08000000000001</v>
      </c>
      <c r="D20" s="140">
        <f>VLOOKUP($A20,'Data shares'!$C:$FB,4)</f>
        <v>135.97999999999999</v>
      </c>
      <c r="E20" s="50">
        <f t="shared" si="0"/>
        <v>0.80894249154289077</v>
      </c>
      <c r="F20" s="49">
        <f>VLOOKUP($A20,'Data shares'!$C:$FB,98)</f>
        <v>274040000</v>
      </c>
      <c r="G20" s="49">
        <f>VLOOKUP($A20,'Data shares'!$C:$FB,99)</f>
        <v>266875000</v>
      </c>
      <c r="H20" s="50">
        <f t="shared" si="1"/>
        <v>2.6847775175644029</v>
      </c>
      <c r="I20" s="49">
        <f>VLOOKUP($A20,'Data shares'!$C:$FB,66)</f>
        <v>109005000</v>
      </c>
      <c r="J20" s="49">
        <f>VLOOKUP($A20,'Data shares'!$C:$FB,67)</f>
        <v>76695000</v>
      </c>
      <c r="K20" s="50">
        <f t="shared" si="2"/>
        <v>29.640842163203523</v>
      </c>
      <c r="L20" s="50">
        <f>VLOOKUP($A20,'Data shares'!$C:$FB,118)</f>
        <v>0.42</v>
      </c>
      <c r="M20" s="50">
        <f>VLOOKUP($A20,'Data shares'!$C:$FB,119)</f>
        <v>0.41</v>
      </c>
      <c r="N20" s="50">
        <f>VLOOKUP($A20,'Data shares'!$C:$FB,121)*100</f>
        <v>2.44</v>
      </c>
      <c r="O20" s="50">
        <f>VLOOKUP($A20,'Data shares'!$C:$FB,124)</f>
        <v>0.4</v>
      </c>
      <c r="P20" s="50">
        <f>VLOOKUP($A20,'Data shares'!$C:$FB,125)</f>
        <v>0.33</v>
      </c>
      <c r="Q20" s="50">
        <f>VLOOKUP($A20,'Data shares'!$C:$FB,127)*100</f>
        <v>21.21</v>
      </c>
    </row>
    <row r="21" spans="1:17" x14ac:dyDescent="0.25">
      <c r="A21" s="97" t="str">
        <f>'Data Vlaue (Cr)'!C16</f>
        <v>ASIANPAINT</v>
      </c>
      <c r="B21" s="140">
        <f>VLOOKUP($A21,'Data shares'!$C:$FB,7)</f>
        <v>2409.6999999999998</v>
      </c>
      <c r="C21" s="140">
        <f>VLOOKUP($A21,'Data shares'!$C:$FB,3)</f>
        <v>2417.9</v>
      </c>
      <c r="D21" s="140">
        <f>VLOOKUP($A21,'Data shares'!$C:$FB,4)</f>
        <v>2384.9</v>
      </c>
      <c r="E21" s="50">
        <f t="shared" si="0"/>
        <v>1.383705815757474</v>
      </c>
      <c r="F21" s="49">
        <f>VLOOKUP($A21,'Data shares'!$C:$FB,98)</f>
        <v>22999500</v>
      </c>
      <c r="G21" s="49">
        <f>VLOOKUP($A21,'Data shares'!$C:$FB,99)</f>
        <v>23086750</v>
      </c>
      <c r="H21" s="50">
        <f t="shared" si="1"/>
        <v>-0.37792240137741345</v>
      </c>
      <c r="I21" s="49">
        <f>VLOOKUP($A21,'Data shares'!$C:$FB,66)</f>
        <v>18399750</v>
      </c>
      <c r="J21" s="49">
        <f>VLOOKUP($A21,'Data shares'!$C:$FB,67)</f>
        <v>21485750</v>
      </c>
      <c r="K21" s="50">
        <f t="shared" si="2"/>
        <v>-16.771967010421339</v>
      </c>
      <c r="L21" s="50">
        <f>VLOOKUP($A21,'Data shares'!$C:$FB,118)</f>
        <v>0.63</v>
      </c>
      <c r="M21" s="50">
        <f>VLOOKUP($A21,'Data shares'!$C:$FB,119)</f>
        <v>0.64</v>
      </c>
      <c r="N21" s="50">
        <f>VLOOKUP($A21,'Data shares'!$C:$FB,121)*100</f>
        <v>-1.5599999999999998</v>
      </c>
      <c r="O21" s="50">
        <f>VLOOKUP($A21,'Data shares'!$C:$FB,124)</f>
        <v>0.48</v>
      </c>
      <c r="P21" s="50">
        <f>VLOOKUP($A21,'Data shares'!$C:$FB,125)</f>
        <v>0.43</v>
      </c>
      <c r="Q21" s="50">
        <f>VLOOKUP($A21,'Data shares'!$C:$FB,127)*100</f>
        <v>11.63</v>
      </c>
    </row>
    <row r="22" spans="1:17" x14ac:dyDescent="0.25">
      <c r="A22" s="97" t="str">
        <f>'Data Vlaue (Cr)'!C17</f>
        <v>ASTRAL</v>
      </c>
      <c r="B22" s="140">
        <f>VLOOKUP($A22,'Data shares'!$C:$FB,7)</f>
        <v>1444.8</v>
      </c>
      <c r="C22" s="140">
        <f>VLOOKUP($A22,'Data shares'!$C:$FB,3)</f>
        <v>1445.3</v>
      </c>
      <c r="D22" s="140">
        <f>VLOOKUP($A22,'Data shares'!$C:$FB,4)</f>
        <v>1444.6</v>
      </c>
      <c r="E22" s="50">
        <f t="shared" si="0"/>
        <v>4.8456320088608992E-2</v>
      </c>
      <c r="F22" s="49">
        <f>VLOOKUP($A22,'Data shares'!$C:$FB,98)</f>
        <v>13796775</v>
      </c>
      <c r="G22" s="49">
        <f>VLOOKUP($A22,'Data shares'!$C:$FB,99)</f>
        <v>13820150</v>
      </c>
      <c r="H22" s="50">
        <f t="shared" si="1"/>
        <v>-0.16913709330217111</v>
      </c>
      <c r="I22" s="49">
        <f>VLOOKUP($A22,'Data shares'!$C:$FB,66)</f>
        <v>3468425</v>
      </c>
      <c r="J22" s="49">
        <f>VLOOKUP($A22,'Data shares'!$C:$FB,67)</f>
        <v>10663675</v>
      </c>
      <c r="K22" s="50">
        <f t="shared" si="2"/>
        <v>-207.45006739370174</v>
      </c>
      <c r="L22" s="50">
        <f>VLOOKUP($A22,'Data shares'!$C:$FB,118)</f>
        <v>0.48</v>
      </c>
      <c r="M22" s="50">
        <f>VLOOKUP($A22,'Data shares'!$C:$FB,119)</f>
        <v>0.46</v>
      </c>
      <c r="N22" s="50">
        <f>VLOOKUP($A22,'Data shares'!$C:$FB,121)*100</f>
        <v>4.3499999999999996</v>
      </c>
      <c r="O22" s="50">
        <f>VLOOKUP($A22,'Data shares'!$C:$FB,124)</f>
        <v>0.39</v>
      </c>
      <c r="P22" s="50">
        <f>VLOOKUP($A22,'Data shares'!$C:$FB,125)</f>
        <v>0.37</v>
      </c>
      <c r="Q22" s="50">
        <f>VLOOKUP($A22,'Data shares'!$C:$FB,127)*100</f>
        <v>5.41</v>
      </c>
    </row>
    <row r="23" spans="1:17" x14ac:dyDescent="0.25">
      <c r="A23" s="97" t="str">
        <f>'Data Vlaue (Cr)'!C18</f>
        <v>AUBANK</v>
      </c>
      <c r="B23" s="140">
        <f>VLOOKUP($A23,'Data shares'!$C:$FB,7)</f>
        <v>798.5</v>
      </c>
      <c r="C23" s="140">
        <f>VLOOKUP($A23,'Data shares'!$C:$FB,3)</f>
        <v>799</v>
      </c>
      <c r="D23" s="140">
        <f>VLOOKUP($A23,'Data shares'!$C:$FB,4)</f>
        <v>802.7</v>
      </c>
      <c r="E23" s="50">
        <f t="shared" si="0"/>
        <v>-0.46094431294382027</v>
      </c>
      <c r="F23" s="49">
        <f>VLOOKUP($A23,'Data shares'!$C:$FB,98)</f>
        <v>34366000</v>
      </c>
      <c r="G23" s="49">
        <f>VLOOKUP($A23,'Data shares'!$C:$FB,99)</f>
        <v>34001000</v>
      </c>
      <c r="H23" s="50">
        <f t="shared" si="1"/>
        <v>1.0734978382988736</v>
      </c>
      <c r="I23" s="49">
        <f>VLOOKUP($A23,'Data shares'!$C:$FB,66)</f>
        <v>31721000</v>
      </c>
      <c r="J23" s="49">
        <f>VLOOKUP($A23,'Data shares'!$C:$FB,67)</f>
        <v>60517000</v>
      </c>
      <c r="K23" s="50">
        <f t="shared" si="2"/>
        <v>-90.778979225119002</v>
      </c>
      <c r="L23" s="50">
        <f>VLOOKUP($A23,'Data shares'!$C:$FB,118)</f>
        <v>0.95</v>
      </c>
      <c r="M23" s="50">
        <f>VLOOKUP($A23,'Data shares'!$C:$FB,119)</f>
        <v>1.05</v>
      </c>
      <c r="N23" s="50">
        <f>VLOOKUP($A23,'Data shares'!$C:$FB,121)*100</f>
        <v>-9.5200000000000014</v>
      </c>
      <c r="O23" s="50">
        <f>VLOOKUP($A23,'Data shares'!$C:$FB,124)</f>
        <v>0.56999999999999995</v>
      </c>
      <c r="P23" s="50">
        <f>VLOOKUP($A23,'Data shares'!$C:$FB,125)</f>
        <v>0.61</v>
      </c>
      <c r="Q23" s="50">
        <f>VLOOKUP($A23,'Data shares'!$C:$FB,127)*100</f>
        <v>-6.5600000000000005</v>
      </c>
    </row>
    <row r="24" spans="1:17" x14ac:dyDescent="0.25">
      <c r="A24" s="97" t="str">
        <f>'Data Vlaue (Cr)'!C19</f>
        <v>AUROPHARMA</v>
      </c>
      <c r="B24" s="140">
        <f>VLOOKUP($A24,'Data shares'!$C:$FB,7)</f>
        <v>1106.3</v>
      </c>
      <c r="C24" s="140">
        <f>VLOOKUP($A24,'Data shares'!$C:$FB,3)</f>
        <v>1110.7</v>
      </c>
      <c r="D24" s="140">
        <f>VLOOKUP($A24,'Data shares'!$C:$FB,4)</f>
        <v>1114.5999999999999</v>
      </c>
      <c r="E24" s="50">
        <f t="shared" si="0"/>
        <v>-0.34990130988694274</v>
      </c>
      <c r="F24" s="49">
        <f>VLOOKUP($A24,'Data shares'!$C:$FB,98)</f>
        <v>30760950</v>
      </c>
      <c r="G24" s="49">
        <f>VLOOKUP($A24,'Data shares'!$C:$FB,99)</f>
        <v>30274750</v>
      </c>
      <c r="H24" s="50">
        <f t="shared" si="1"/>
        <v>1.605958761013716</v>
      </c>
      <c r="I24" s="49">
        <f>VLOOKUP($A24,'Data shares'!$C:$FB,66)</f>
        <v>9579350</v>
      </c>
      <c r="J24" s="49">
        <f>VLOOKUP($A24,'Data shares'!$C:$FB,67)</f>
        <v>7383750</v>
      </c>
      <c r="K24" s="50">
        <f t="shared" si="2"/>
        <v>22.920135499799045</v>
      </c>
      <c r="L24" s="50">
        <f>VLOOKUP($A24,'Data shares'!$C:$FB,118)</f>
        <v>0.64</v>
      </c>
      <c r="M24" s="50">
        <f>VLOOKUP($A24,'Data shares'!$C:$FB,119)</f>
        <v>0.64</v>
      </c>
      <c r="N24" s="50">
        <f>VLOOKUP($A24,'Data shares'!$C:$FB,121)*100</f>
        <v>0</v>
      </c>
      <c r="O24" s="50">
        <f>VLOOKUP($A24,'Data shares'!$C:$FB,124)</f>
        <v>0.38</v>
      </c>
      <c r="P24" s="50">
        <f>VLOOKUP($A24,'Data shares'!$C:$FB,125)</f>
        <v>0.61</v>
      </c>
      <c r="Q24" s="50">
        <f>VLOOKUP($A24,'Data shares'!$C:$FB,127)*100</f>
        <v>-37.700000000000003</v>
      </c>
    </row>
    <row r="25" spans="1:17" x14ac:dyDescent="0.25">
      <c r="A25" s="97" t="str">
        <f>'Data Vlaue (Cr)'!C20</f>
        <v>AXISBANK</v>
      </c>
      <c r="B25" s="140">
        <f>VLOOKUP($A25,'Data shares'!$C:$FB,7)</f>
        <v>1196.3</v>
      </c>
      <c r="C25" s="140">
        <f>VLOOKUP($A25,'Data shares'!$C:$FB,3)</f>
        <v>1197.5999999999999</v>
      </c>
      <c r="D25" s="140">
        <f>VLOOKUP($A25,'Data shares'!$C:$FB,4)</f>
        <v>1174.5999999999999</v>
      </c>
      <c r="E25" s="50">
        <f t="shared" si="0"/>
        <v>1.9581134003064875</v>
      </c>
      <c r="F25" s="49">
        <f>VLOOKUP($A25,'Data shares'!$C:$FB,98)</f>
        <v>128194375</v>
      </c>
      <c r="G25" s="49">
        <f>VLOOKUP($A25,'Data shares'!$C:$FB,99)</f>
        <v>131109375</v>
      </c>
      <c r="H25" s="50">
        <f t="shared" si="1"/>
        <v>-2.2233345250864023</v>
      </c>
      <c r="I25" s="49">
        <f>VLOOKUP($A25,'Data shares'!$C:$FB,66)</f>
        <v>241516875</v>
      </c>
      <c r="J25" s="49">
        <f>VLOOKUP($A25,'Data shares'!$C:$FB,67)</f>
        <v>103886875</v>
      </c>
      <c r="K25" s="50">
        <f t="shared" si="2"/>
        <v>56.985666115462955</v>
      </c>
      <c r="L25" s="50">
        <f>VLOOKUP($A25,'Data shares'!$C:$FB,118)</f>
        <v>0.57999999999999996</v>
      </c>
      <c r="M25" s="50">
        <f>VLOOKUP($A25,'Data shares'!$C:$FB,119)</f>
        <v>0.61</v>
      </c>
      <c r="N25" s="50">
        <f>VLOOKUP($A25,'Data shares'!$C:$FB,121)*100</f>
        <v>-4.92</v>
      </c>
      <c r="O25" s="50">
        <f>VLOOKUP($A25,'Data shares'!$C:$FB,124)</f>
        <v>0.72</v>
      </c>
      <c r="P25" s="50">
        <f>VLOOKUP($A25,'Data shares'!$C:$FB,125)</f>
        <v>0.75</v>
      </c>
      <c r="Q25" s="50">
        <f>VLOOKUP($A25,'Data shares'!$C:$FB,127)*100</f>
        <v>-4</v>
      </c>
    </row>
    <row r="26" spans="1:17" x14ac:dyDescent="0.25">
      <c r="A26" s="97" t="str">
        <f>'Data Vlaue (Cr)'!C21</f>
        <v>BAJAJ-AUTO</v>
      </c>
      <c r="B26" s="140">
        <f>VLOOKUP($A26,'Data shares'!$C:$FB,7)</f>
        <v>9151.5</v>
      </c>
      <c r="C26" s="140">
        <f>VLOOKUP($A26,'Data shares'!$C:$FB,3)</f>
        <v>9158</v>
      </c>
      <c r="D26" s="140">
        <f>VLOOKUP($A26,'Data shares'!$C:$FB,4)</f>
        <v>9036.5</v>
      </c>
      <c r="E26" s="50">
        <f t="shared" si="0"/>
        <v>1.3445471144801637</v>
      </c>
      <c r="F26" s="49">
        <f>VLOOKUP($A26,'Data shares'!$C:$FB,98)</f>
        <v>5688000</v>
      </c>
      <c r="G26" s="49">
        <f>VLOOKUP($A26,'Data shares'!$C:$FB,99)</f>
        <v>5945625</v>
      </c>
      <c r="H26" s="50">
        <f t="shared" si="1"/>
        <v>-4.3330179754020817</v>
      </c>
      <c r="I26" s="49">
        <f>VLOOKUP($A26,'Data shares'!$C:$FB,66)</f>
        <v>5546025</v>
      </c>
      <c r="J26" s="49">
        <f>VLOOKUP($A26,'Data shares'!$C:$FB,67)</f>
        <v>7579200</v>
      </c>
      <c r="K26" s="50">
        <f t="shared" si="2"/>
        <v>-36.660040299133165</v>
      </c>
      <c r="L26" s="50">
        <f>VLOOKUP($A26,'Data shares'!$C:$FB,118)</f>
        <v>0.67</v>
      </c>
      <c r="M26" s="50">
        <f>VLOOKUP($A26,'Data shares'!$C:$FB,119)</f>
        <v>0.61</v>
      </c>
      <c r="N26" s="50">
        <f>VLOOKUP($A26,'Data shares'!$C:$FB,121)*100</f>
        <v>9.84</v>
      </c>
      <c r="O26" s="50">
        <f>VLOOKUP($A26,'Data shares'!$C:$FB,124)</f>
        <v>0.42</v>
      </c>
      <c r="P26" s="50">
        <f>VLOOKUP($A26,'Data shares'!$C:$FB,125)</f>
        <v>0.57999999999999996</v>
      </c>
      <c r="Q26" s="50">
        <f>VLOOKUP($A26,'Data shares'!$C:$FB,127)*100</f>
        <v>-27.589999999999996</v>
      </c>
    </row>
    <row r="27" spans="1:17" x14ac:dyDescent="0.25">
      <c r="A27" s="97" t="str">
        <f>'Data Vlaue (Cr)'!C22</f>
        <v>BAJAJFINSV</v>
      </c>
      <c r="B27" s="140">
        <f>VLOOKUP($A27,'Data shares'!$C:$FB,7)</f>
        <v>2090.1999999999998</v>
      </c>
      <c r="C27" s="140">
        <f>VLOOKUP($A27,'Data shares'!$C:$FB,3)</f>
        <v>2098</v>
      </c>
      <c r="D27" s="140">
        <f>VLOOKUP($A27,'Data shares'!$C:$FB,4)</f>
        <v>2088.3000000000002</v>
      </c>
      <c r="E27" s="50">
        <f t="shared" si="0"/>
        <v>0.4644926495235272</v>
      </c>
      <c r="F27" s="49">
        <f>VLOOKUP($A27,'Data shares'!$C:$FB,98)</f>
        <v>29045000</v>
      </c>
      <c r="G27" s="49">
        <f>VLOOKUP($A27,'Data shares'!$C:$FB,99)</f>
        <v>28159500</v>
      </c>
      <c r="H27" s="50">
        <f t="shared" si="1"/>
        <v>3.1445870842877177</v>
      </c>
      <c r="I27" s="49">
        <f>VLOOKUP($A27,'Data shares'!$C:$FB,66)</f>
        <v>20073500</v>
      </c>
      <c r="J27" s="49">
        <f>VLOOKUP($A27,'Data shares'!$C:$FB,67)</f>
        <v>30037500</v>
      </c>
      <c r="K27" s="50">
        <f t="shared" si="2"/>
        <v>-49.637581886566871</v>
      </c>
      <c r="L27" s="50">
        <f>VLOOKUP($A27,'Data shares'!$C:$FB,118)</f>
        <v>0.76</v>
      </c>
      <c r="M27" s="50">
        <f>VLOOKUP($A27,'Data shares'!$C:$FB,119)</f>
        <v>0.72</v>
      </c>
      <c r="N27" s="50">
        <f>VLOOKUP($A27,'Data shares'!$C:$FB,121)*100</f>
        <v>5.56</v>
      </c>
      <c r="O27" s="50">
        <f>VLOOKUP($A27,'Data shares'!$C:$FB,124)</f>
        <v>0.52</v>
      </c>
      <c r="P27" s="50">
        <f>VLOOKUP($A27,'Data shares'!$C:$FB,125)</f>
        <v>0.43</v>
      </c>
      <c r="Q27" s="50">
        <f>VLOOKUP($A27,'Data shares'!$C:$FB,127)*100</f>
        <v>20.93</v>
      </c>
    </row>
    <row r="28" spans="1:17" x14ac:dyDescent="0.25">
      <c r="A28" s="97" t="str">
        <f>'Data Vlaue (Cr)'!C23</f>
        <v>BAJFINANCE</v>
      </c>
      <c r="B28" s="140">
        <f>VLOOKUP($A28,'Data shares'!$C:$FB,7)</f>
        <v>1065.75</v>
      </c>
      <c r="C28" s="140">
        <f>VLOOKUP($A28,'Data shares'!$C:$FB,3)</f>
        <v>1066.45</v>
      </c>
      <c r="D28" s="140">
        <f>VLOOKUP($A28,'Data shares'!$C:$FB,4)</f>
        <v>1060.9000000000001</v>
      </c>
      <c r="E28" s="50">
        <f t="shared" si="0"/>
        <v>0.5231407295692293</v>
      </c>
      <c r="F28" s="49">
        <f>VLOOKUP($A28,'Data shares'!$C:$FB,98)</f>
        <v>126126750</v>
      </c>
      <c r="G28" s="49">
        <f>VLOOKUP($A28,'Data shares'!$C:$FB,99)</f>
        <v>123542250</v>
      </c>
      <c r="H28" s="50">
        <f t="shared" si="1"/>
        <v>2.0919968674684166</v>
      </c>
      <c r="I28" s="49">
        <f>VLOOKUP($A28,'Data shares'!$C:$FB,66)</f>
        <v>105969750</v>
      </c>
      <c r="J28" s="49">
        <f>VLOOKUP($A28,'Data shares'!$C:$FB,67)</f>
        <v>108786000</v>
      </c>
      <c r="K28" s="50">
        <f t="shared" si="2"/>
        <v>-2.6575980409503654</v>
      </c>
      <c r="L28" s="50">
        <f>VLOOKUP($A28,'Data shares'!$C:$FB,118)</f>
        <v>0.89</v>
      </c>
      <c r="M28" s="50">
        <f>VLOOKUP($A28,'Data shares'!$C:$FB,119)</f>
        <v>0.86</v>
      </c>
      <c r="N28" s="50">
        <f>VLOOKUP($A28,'Data shares'!$C:$FB,121)*100</f>
        <v>3.49</v>
      </c>
      <c r="O28" s="50">
        <f>VLOOKUP($A28,'Data shares'!$C:$FB,124)</f>
        <v>0.63</v>
      </c>
      <c r="P28" s="50">
        <f>VLOOKUP($A28,'Data shares'!$C:$FB,125)</f>
        <v>0.56000000000000005</v>
      </c>
      <c r="Q28" s="50">
        <f>VLOOKUP($A28,'Data shares'!$C:$FB,127)*100</f>
        <v>12.5</v>
      </c>
    </row>
    <row r="29" spans="1:17" x14ac:dyDescent="0.25">
      <c r="A29" s="97" t="str">
        <f>'Data Vlaue (Cr)'!C24</f>
        <v>BANDHANBNK</v>
      </c>
      <c r="B29" s="140">
        <f>VLOOKUP($A29,'Data shares'!$C:$FB,7)</f>
        <v>161.56</v>
      </c>
      <c r="C29" s="140">
        <f>VLOOKUP($A29,'Data shares'!$C:$FB,3)</f>
        <v>161.85</v>
      </c>
      <c r="D29" s="140">
        <f>VLOOKUP($A29,'Data shares'!$C:$FB,4)</f>
        <v>163.74</v>
      </c>
      <c r="E29" s="50">
        <f t="shared" si="0"/>
        <v>-1.1542689629901153</v>
      </c>
      <c r="F29" s="49">
        <f>VLOOKUP($A29,'Data shares'!$C:$FB,98)</f>
        <v>190418400</v>
      </c>
      <c r="G29" s="49">
        <f>VLOOKUP($A29,'Data shares'!$C:$FB,99)</f>
        <v>181065600</v>
      </c>
      <c r="H29" s="50">
        <f t="shared" si="1"/>
        <v>5.1654207094003501</v>
      </c>
      <c r="I29" s="49">
        <f>VLOOKUP($A29,'Data shares'!$C:$FB,66)</f>
        <v>68814000</v>
      </c>
      <c r="J29" s="49">
        <f>VLOOKUP($A29,'Data shares'!$C:$FB,67)</f>
        <v>66387600</v>
      </c>
      <c r="K29" s="50">
        <f t="shared" si="2"/>
        <v>3.5260266806173162</v>
      </c>
      <c r="L29" s="50">
        <f>VLOOKUP($A29,'Data shares'!$C:$FB,118)</f>
        <v>0.71</v>
      </c>
      <c r="M29" s="50">
        <f>VLOOKUP($A29,'Data shares'!$C:$FB,119)</f>
        <v>0.77</v>
      </c>
      <c r="N29" s="50">
        <f>VLOOKUP($A29,'Data shares'!$C:$FB,121)*100</f>
        <v>-7.79</v>
      </c>
      <c r="O29" s="50">
        <f>VLOOKUP($A29,'Data shares'!$C:$FB,124)</f>
        <v>0.46</v>
      </c>
      <c r="P29" s="50">
        <f>VLOOKUP($A29,'Data shares'!$C:$FB,125)</f>
        <v>0.52</v>
      </c>
      <c r="Q29" s="50">
        <f>VLOOKUP($A29,'Data shares'!$C:$FB,127)*100</f>
        <v>-11.540000000000001</v>
      </c>
    </row>
    <row r="30" spans="1:17" x14ac:dyDescent="0.25">
      <c r="A30" s="97" t="str">
        <f>'Data Vlaue (Cr)'!C25</f>
        <v>BANKBARODA</v>
      </c>
      <c r="B30" s="176">
        <f>VLOOKUP($A30,'Data shares'!$C:$FB,7)</f>
        <v>266.14999999999998</v>
      </c>
      <c r="C30" s="176">
        <f>VLOOKUP($A30,'Data shares'!$C:$FB,3)</f>
        <v>266.85000000000002</v>
      </c>
      <c r="D30" s="176">
        <f>VLOOKUP($A30,'Data shares'!$C:$FB,4)</f>
        <v>268.85000000000002</v>
      </c>
      <c r="E30" s="50">
        <f t="shared" si="0"/>
        <v>-0.74390924307234507</v>
      </c>
      <c r="F30" s="49">
        <f>VLOOKUP($A30,'Data shares'!$C:$FB,98)</f>
        <v>203618025</v>
      </c>
      <c r="G30" s="49">
        <f>VLOOKUP($A30,'Data shares'!$C:$FB,99)</f>
        <v>201275100</v>
      </c>
      <c r="H30" s="50">
        <f t="shared" si="1"/>
        <v>1.1640411556123931</v>
      </c>
      <c r="I30" s="49">
        <f>VLOOKUP($A30,'Data shares'!$C:$FB,66)</f>
        <v>67245750</v>
      </c>
      <c r="J30" s="49">
        <f>VLOOKUP($A30,'Data shares'!$C:$FB,67)</f>
        <v>104908050</v>
      </c>
      <c r="K30" s="50">
        <f t="shared" si="2"/>
        <v>-56.006959547629407</v>
      </c>
      <c r="L30" s="50">
        <f>VLOOKUP($A30,'Data shares'!$C:$FB,118)</f>
        <v>0.68</v>
      </c>
      <c r="M30" s="50">
        <f>VLOOKUP($A30,'Data shares'!$C:$FB,119)</f>
        <v>0.72</v>
      </c>
      <c r="N30" s="50">
        <f>VLOOKUP($A30,'Data shares'!$C:$FB,121)*100</f>
        <v>-5.56</v>
      </c>
      <c r="O30" s="50">
        <f>VLOOKUP($A30,'Data shares'!$C:$FB,124)</f>
        <v>0.52</v>
      </c>
      <c r="P30" s="50">
        <f>VLOOKUP($A30,'Data shares'!$C:$FB,125)</f>
        <v>0.6</v>
      </c>
      <c r="Q30" s="50">
        <f>VLOOKUP($A30,'Data shares'!$C:$FB,127)*100</f>
        <v>-13.33</v>
      </c>
    </row>
    <row r="31" spans="1:17" x14ac:dyDescent="0.25">
      <c r="A31" s="97" t="str">
        <f>'Data Vlaue (Cr)'!C26</f>
        <v>BANKINDIA</v>
      </c>
      <c r="B31" s="140">
        <f>VLOOKUP($A31,'Data shares'!$C:$FB,7)</f>
        <v>125.42</v>
      </c>
      <c r="C31" s="140">
        <f>VLOOKUP($A31,'Data shares'!$C:$FB,3)</f>
        <v>125.76</v>
      </c>
      <c r="D31" s="140">
        <f>VLOOKUP($A31,'Data shares'!$C:$FB,4)</f>
        <v>126.85</v>
      </c>
      <c r="E31" s="50">
        <f t="shared" si="0"/>
        <v>-0.85928261726447719</v>
      </c>
      <c r="F31" s="49">
        <f>VLOOKUP($A31,'Data shares'!$C:$FB,98)</f>
        <v>119340000</v>
      </c>
      <c r="G31" s="49">
        <f>VLOOKUP($A31,'Data shares'!$C:$FB,99)</f>
        <v>118747200</v>
      </c>
      <c r="H31" s="50">
        <f t="shared" si="1"/>
        <v>0.49921177088807145</v>
      </c>
      <c r="I31" s="49">
        <f>VLOOKUP($A31,'Data shares'!$C:$FB,66)</f>
        <v>35547200</v>
      </c>
      <c r="J31" s="49">
        <f>VLOOKUP($A31,'Data shares'!$C:$FB,67)</f>
        <v>37336000</v>
      </c>
      <c r="K31" s="50">
        <f t="shared" si="2"/>
        <v>-5.0321825629022818</v>
      </c>
      <c r="L31" s="50">
        <f>VLOOKUP($A31,'Data shares'!$C:$FB,118)</f>
        <v>0.55000000000000004</v>
      </c>
      <c r="M31" s="50">
        <f>VLOOKUP($A31,'Data shares'!$C:$FB,119)</f>
        <v>0.53</v>
      </c>
      <c r="N31" s="50">
        <f>VLOOKUP($A31,'Data shares'!$C:$FB,121)*100</f>
        <v>3.7699999999999996</v>
      </c>
      <c r="O31" s="50">
        <f>VLOOKUP($A31,'Data shares'!$C:$FB,124)</f>
        <v>0.32</v>
      </c>
      <c r="P31" s="50">
        <f>VLOOKUP($A31,'Data shares'!$C:$FB,125)</f>
        <v>0.28999999999999998</v>
      </c>
      <c r="Q31" s="50">
        <f>VLOOKUP($A31,'Data shares'!$C:$FB,127)*100</f>
        <v>10.34</v>
      </c>
    </row>
    <row r="32" spans="1:17" x14ac:dyDescent="0.25">
      <c r="A32" s="97" t="str">
        <f>'Data Vlaue (Cr)'!C27</f>
        <v>BANKNIFTY</v>
      </c>
      <c r="B32" s="140">
        <f>VLOOKUP($A32,'Data shares'!$C:$FB,7)</f>
        <v>57422.55</v>
      </c>
      <c r="C32" s="140">
        <f>VLOOKUP($A32,'Data shares'!$C:$FB,3)</f>
        <v>57486.2</v>
      </c>
      <c r="D32" s="140">
        <f>VLOOKUP($A32,'Data shares'!$C:$FB,4)</f>
        <v>56987.199999999997</v>
      </c>
      <c r="E32" s="50">
        <f t="shared" si="0"/>
        <v>0.87563523036752122</v>
      </c>
      <c r="F32" s="49">
        <f>VLOOKUP($A32,'Data shares'!$C:$FB,98)</f>
        <v>45127605</v>
      </c>
      <c r="G32" s="49">
        <f>VLOOKUP($A32,'Data shares'!$C:$FB,99)</f>
        <v>44066020</v>
      </c>
      <c r="H32" s="50">
        <f t="shared" si="1"/>
        <v>2.4090784690788958</v>
      </c>
      <c r="I32" s="49">
        <f>VLOOKUP($A32,'Data shares'!$C:$FB,66)</f>
        <v>149847775</v>
      </c>
      <c r="J32" s="49">
        <f>VLOOKUP($A32,'Data shares'!$C:$FB,67)</f>
        <v>117241775</v>
      </c>
      <c r="K32" s="50">
        <f t="shared" si="2"/>
        <v>21.759415513510294</v>
      </c>
      <c r="L32" s="50">
        <f>VLOOKUP($A32,'Data shares'!$C:$FB,118)</f>
        <v>1.18</v>
      </c>
      <c r="M32" s="50">
        <f>VLOOKUP($A32,'Data shares'!$C:$FB,119)</f>
        <v>1.1000000000000001</v>
      </c>
      <c r="N32" s="50">
        <f>VLOOKUP($A32,'Data shares'!$C:$FB,121)*100</f>
        <v>7.2700000000000005</v>
      </c>
      <c r="O32" s="50">
        <f>VLOOKUP($A32,'Data shares'!$C:$FB,124)</f>
        <v>0.87</v>
      </c>
      <c r="P32" s="50">
        <f>VLOOKUP($A32,'Data shares'!$C:$FB,125)</f>
        <v>0.87</v>
      </c>
      <c r="Q32" s="50">
        <f>VLOOKUP($A32,'Data shares'!$C:$FB,127)*100</f>
        <v>0</v>
      </c>
    </row>
    <row r="33" spans="1:17" x14ac:dyDescent="0.25">
      <c r="A33" s="97" t="str">
        <f>'Data Vlaue (Cr)'!C28</f>
        <v>BDL</v>
      </c>
      <c r="B33" s="140">
        <f>VLOOKUP($A33,'Data shares'!$C:$FB,7)</f>
        <v>1504.9</v>
      </c>
      <c r="C33" s="140">
        <f>VLOOKUP($A33,'Data shares'!$C:$FB,3)</f>
        <v>1510.3</v>
      </c>
      <c r="D33" s="140">
        <f>VLOOKUP($A33,'Data shares'!$C:$FB,4)</f>
        <v>1507</v>
      </c>
      <c r="E33" s="50">
        <f t="shared" si="0"/>
        <v>0.21897810218977801</v>
      </c>
      <c r="F33" s="49">
        <f>VLOOKUP($A33,'Data shares'!$C:$FB,98)</f>
        <v>10464350</v>
      </c>
      <c r="G33" s="49">
        <f>VLOOKUP($A33,'Data shares'!$C:$FB,99)</f>
        <v>10393500</v>
      </c>
      <c r="H33" s="50">
        <f t="shared" si="1"/>
        <v>0.68167604752970612</v>
      </c>
      <c r="I33" s="49">
        <f>VLOOKUP($A33,'Data shares'!$C:$FB,66)</f>
        <v>4438525</v>
      </c>
      <c r="J33" s="49">
        <f>VLOOKUP($A33,'Data shares'!$C:$FB,67)</f>
        <v>4998175</v>
      </c>
      <c r="K33" s="50">
        <f t="shared" si="2"/>
        <v>-12.608918503331626</v>
      </c>
      <c r="L33" s="50">
        <f>VLOOKUP($A33,'Data shares'!$C:$FB,118)</f>
        <v>0.57999999999999996</v>
      </c>
      <c r="M33" s="50">
        <f>VLOOKUP($A33,'Data shares'!$C:$FB,119)</f>
        <v>0.56999999999999995</v>
      </c>
      <c r="N33" s="50">
        <f>VLOOKUP($A33,'Data shares'!$C:$FB,121)*100</f>
        <v>1.7500000000000002</v>
      </c>
      <c r="O33" s="50">
        <f>VLOOKUP($A33,'Data shares'!$C:$FB,124)</f>
        <v>0.24</v>
      </c>
      <c r="P33" s="50">
        <f>VLOOKUP($A33,'Data shares'!$C:$FB,125)</f>
        <v>0.33</v>
      </c>
      <c r="Q33" s="50">
        <f>VLOOKUP($A33,'Data shares'!$C:$FB,127)*100</f>
        <v>-27.27</v>
      </c>
    </row>
    <row r="34" spans="1:17" x14ac:dyDescent="0.25">
      <c r="A34" s="97" t="str">
        <f>'Data Vlaue (Cr)'!C29</f>
        <v>BEL</v>
      </c>
      <c r="B34" s="140">
        <f>VLOOKUP($A34,'Data shares'!$C:$FB,7)</f>
        <v>411.8</v>
      </c>
      <c r="C34" s="140">
        <f>VLOOKUP($A34,'Data shares'!$C:$FB,3)</f>
        <v>413.45</v>
      </c>
      <c r="D34" s="140">
        <f>VLOOKUP($A34,'Data shares'!$C:$FB,4)</f>
        <v>409.95</v>
      </c>
      <c r="E34" s="50">
        <f t="shared" si="0"/>
        <v>0.85376265398219298</v>
      </c>
      <c r="F34" s="49">
        <f>VLOOKUP($A34,'Data shares'!$C:$FB,98)</f>
        <v>226184550</v>
      </c>
      <c r="G34" s="49">
        <f>VLOOKUP($A34,'Data shares'!$C:$FB,99)</f>
        <v>228758100</v>
      </c>
      <c r="H34" s="50">
        <f t="shared" si="1"/>
        <v>-1.1250093439314279</v>
      </c>
      <c r="I34" s="49">
        <f>VLOOKUP($A34,'Data shares'!$C:$FB,66)</f>
        <v>135540300</v>
      </c>
      <c r="J34" s="49">
        <f>VLOOKUP($A34,'Data shares'!$C:$FB,67)</f>
        <v>155310750</v>
      </c>
      <c r="K34" s="50">
        <f t="shared" si="2"/>
        <v>-14.586399764498086</v>
      </c>
      <c r="L34" s="50">
        <f>VLOOKUP($A34,'Data shares'!$C:$FB,118)</f>
        <v>0.57999999999999996</v>
      </c>
      <c r="M34" s="50">
        <f>VLOOKUP($A34,'Data shares'!$C:$FB,119)</f>
        <v>0.56000000000000005</v>
      </c>
      <c r="N34" s="50">
        <f>VLOOKUP($A34,'Data shares'!$C:$FB,121)*100</f>
        <v>3.5700000000000003</v>
      </c>
      <c r="O34" s="50">
        <f>VLOOKUP($A34,'Data shares'!$C:$FB,124)</f>
        <v>0.53</v>
      </c>
      <c r="P34" s="50">
        <f>VLOOKUP($A34,'Data shares'!$C:$FB,125)</f>
        <v>0.53</v>
      </c>
      <c r="Q34" s="50">
        <f>VLOOKUP($A34,'Data shares'!$C:$FB,127)*100</f>
        <v>0</v>
      </c>
    </row>
    <row r="35" spans="1:17" x14ac:dyDescent="0.25">
      <c r="A35" s="97" t="str">
        <f>'Data Vlaue (Cr)'!C30</f>
        <v>BHARATFORG</v>
      </c>
      <c r="B35" s="140">
        <f>VLOOKUP($A35,'Data shares'!$C:$FB,7)</f>
        <v>1265.2</v>
      </c>
      <c r="C35" s="140">
        <f>VLOOKUP($A35,'Data shares'!$C:$FB,3)</f>
        <v>1270.2</v>
      </c>
      <c r="D35" s="140">
        <f>VLOOKUP($A35,'Data shares'!$C:$FB,4)</f>
        <v>1231.3</v>
      </c>
      <c r="E35" s="50">
        <f t="shared" si="0"/>
        <v>3.1592625680175499</v>
      </c>
      <c r="F35" s="49">
        <f>VLOOKUP($A35,'Data shares'!$C:$FB,98)</f>
        <v>18480500</v>
      </c>
      <c r="G35" s="49">
        <f>VLOOKUP($A35,'Data shares'!$C:$FB,99)</f>
        <v>17795500</v>
      </c>
      <c r="H35" s="50">
        <f t="shared" si="1"/>
        <v>3.8492877412829083</v>
      </c>
      <c r="I35" s="49">
        <f>VLOOKUP($A35,'Data shares'!$C:$FB,66)</f>
        <v>31744500</v>
      </c>
      <c r="J35" s="49">
        <f>VLOOKUP($A35,'Data shares'!$C:$FB,67)</f>
        <v>9972500</v>
      </c>
      <c r="K35" s="50">
        <f t="shared" si="2"/>
        <v>68.58510923152042</v>
      </c>
      <c r="L35" s="50">
        <f>VLOOKUP($A35,'Data shares'!$C:$FB,118)</f>
        <v>0.61</v>
      </c>
      <c r="M35" s="50">
        <f>VLOOKUP($A35,'Data shares'!$C:$FB,119)</f>
        <v>0.66</v>
      </c>
      <c r="N35" s="50">
        <f>VLOOKUP($A35,'Data shares'!$C:$FB,121)*100</f>
        <v>-7.580000000000001</v>
      </c>
      <c r="O35" s="50">
        <f>VLOOKUP($A35,'Data shares'!$C:$FB,124)</f>
        <v>0.28000000000000003</v>
      </c>
      <c r="P35" s="50">
        <f>VLOOKUP($A35,'Data shares'!$C:$FB,125)</f>
        <v>0.4</v>
      </c>
      <c r="Q35" s="50">
        <f>VLOOKUP($A35,'Data shares'!$C:$FB,127)*100</f>
        <v>-30</v>
      </c>
    </row>
    <row r="36" spans="1:17" x14ac:dyDescent="0.25">
      <c r="A36" s="97" t="str">
        <f>'Data Vlaue (Cr)'!C31</f>
        <v>BHARTIARTL</v>
      </c>
      <c r="B36" s="140">
        <f>VLOOKUP($A36,'Data shares'!$C:$FB,7)</f>
        <v>1967.4</v>
      </c>
      <c r="C36" s="140">
        <f>VLOOKUP($A36,'Data shares'!$C:$FB,3)</f>
        <v>1974</v>
      </c>
      <c r="D36" s="140">
        <f>VLOOKUP($A36,'Data shares'!$C:$FB,4)</f>
        <v>1976.3</v>
      </c>
      <c r="E36" s="50">
        <f t="shared" si="0"/>
        <v>-0.1163790922430782</v>
      </c>
      <c r="F36" s="49">
        <f>VLOOKUP($A36,'Data shares'!$C:$FB,98)</f>
        <v>69732375</v>
      </c>
      <c r="G36" s="49">
        <f>VLOOKUP($A36,'Data shares'!$C:$FB,99)</f>
        <v>69461625</v>
      </c>
      <c r="H36" s="50">
        <f t="shared" si="1"/>
        <v>0.38978356754538923</v>
      </c>
      <c r="I36" s="49">
        <f>VLOOKUP($A36,'Data shares'!$C:$FB,66)</f>
        <v>37887425</v>
      </c>
      <c r="J36" s="49">
        <f>VLOOKUP($A36,'Data shares'!$C:$FB,67)</f>
        <v>39036925</v>
      </c>
      <c r="K36" s="50">
        <f t="shared" si="2"/>
        <v>-3.0339881900129133</v>
      </c>
      <c r="L36" s="50">
        <f>VLOOKUP($A36,'Data shares'!$C:$FB,118)</f>
        <v>0.57999999999999996</v>
      </c>
      <c r="M36" s="50">
        <f>VLOOKUP($A36,'Data shares'!$C:$FB,119)</f>
        <v>0.57999999999999996</v>
      </c>
      <c r="N36" s="50">
        <f>VLOOKUP($A36,'Data shares'!$C:$FB,121)*100</f>
        <v>0</v>
      </c>
      <c r="O36" s="50">
        <f>VLOOKUP($A36,'Data shares'!$C:$FB,124)</f>
        <v>0.54</v>
      </c>
      <c r="P36" s="50">
        <f>VLOOKUP($A36,'Data shares'!$C:$FB,125)</f>
        <v>0.53</v>
      </c>
      <c r="Q36" s="50">
        <f>VLOOKUP($A36,'Data shares'!$C:$FB,127)*100</f>
        <v>1.8900000000000001</v>
      </c>
    </row>
    <row r="37" spans="1:17" x14ac:dyDescent="0.25">
      <c r="A37" s="97" t="str">
        <f>'Data Vlaue (Cr)'!C32</f>
        <v>BHEL</v>
      </c>
      <c r="B37" s="140">
        <f>VLOOKUP($A37,'Data shares'!$C:$FB,7)</f>
        <v>236.17</v>
      </c>
      <c r="C37" s="140">
        <f>VLOOKUP($A37,'Data shares'!$C:$FB,3)</f>
        <v>236.86</v>
      </c>
      <c r="D37" s="140">
        <f>VLOOKUP($A37,'Data shares'!$C:$FB,4)</f>
        <v>236.56</v>
      </c>
      <c r="E37" s="50">
        <f t="shared" si="0"/>
        <v>0.12681772066283878</v>
      </c>
      <c r="F37" s="49">
        <f>VLOOKUP($A37,'Data shares'!$C:$FB,98)</f>
        <v>104070750</v>
      </c>
      <c r="G37" s="49">
        <f>VLOOKUP($A37,'Data shares'!$C:$FB,99)</f>
        <v>103041750</v>
      </c>
      <c r="H37" s="50">
        <f t="shared" si="1"/>
        <v>0.9986243440158965</v>
      </c>
      <c r="I37" s="49">
        <f>VLOOKUP($A37,'Data shares'!$C:$FB,66)</f>
        <v>40942125</v>
      </c>
      <c r="J37" s="49">
        <f>VLOOKUP($A37,'Data shares'!$C:$FB,67)</f>
        <v>54697125</v>
      </c>
      <c r="K37" s="50">
        <f t="shared" si="2"/>
        <v>-33.596204398281721</v>
      </c>
      <c r="L37" s="50">
        <f>VLOOKUP($A37,'Data shares'!$C:$FB,118)</f>
        <v>0.57999999999999996</v>
      </c>
      <c r="M37" s="50">
        <f>VLOOKUP($A37,'Data shares'!$C:$FB,119)</f>
        <v>0.61</v>
      </c>
      <c r="N37" s="50">
        <f>VLOOKUP($A37,'Data shares'!$C:$FB,121)*100</f>
        <v>-4.92</v>
      </c>
      <c r="O37" s="50">
        <f>VLOOKUP($A37,'Data shares'!$C:$FB,124)</f>
        <v>0.45</v>
      </c>
      <c r="P37" s="50">
        <f>VLOOKUP($A37,'Data shares'!$C:$FB,125)</f>
        <v>0.54</v>
      </c>
      <c r="Q37" s="50">
        <f>VLOOKUP($A37,'Data shares'!$C:$FB,127)*100</f>
        <v>-16.669999999999998</v>
      </c>
    </row>
    <row r="38" spans="1:17" x14ac:dyDescent="0.25">
      <c r="A38" s="97" t="str">
        <f>'Data Vlaue (Cr)'!C33</f>
        <v>BIOCON</v>
      </c>
      <c r="B38" s="140">
        <f>VLOOKUP($A38,'Data shares'!$C:$FB,7)</f>
        <v>358.2</v>
      </c>
      <c r="C38" s="140">
        <f>VLOOKUP($A38,'Data shares'!$C:$FB,3)</f>
        <v>359.65</v>
      </c>
      <c r="D38" s="140">
        <f>VLOOKUP($A38,'Data shares'!$C:$FB,4)</f>
        <v>357.35</v>
      </c>
      <c r="E38" s="50">
        <f t="shared" si="0"/>
        <v>0.64362669651600801</v>
      </c>
      <c r="F38" s="49">
        <f>VLOOKUP($A38,'Data shares'!$C:$FB,98)</f>
        <v>70332500</v>
      </c>
      <c r="G38" s="49">
        <f>VLOOKUP($A38,'Data shares'!$C:$FB,99)</f>
        <v>71045000</v>
      </c>
      <c r="H38" s="50">
        <f t="shared" si="1"/>
        <v>-1.002885495108734</v>
      </c>
      <c r="I38" s="49">
        <f>VLOOKUP($A38,'Data shares'!$C:$FB,66)</f>
        <v>32860000</v>
      </c>
      <c r="J38" s="49">
        <f>VLOOKUP($A38,'Data shares'!$C:$FB,67)</f>
        <v>28850000</v>
      </c>
      <c r="K38" s="50">
        <f t="shared" si="2"/>
        <v>12.203286670724285</v>
      </c>
      <c r="L38" s="50">
        <f>VLOOKUP($A38,'Data shares'!$C:$FB,118)</f>
        <v>0.62</v>
      </c>
      <c r="M38" s="50">
        <f>VLOOKUP($A38,'Data shares'!$C:$FB,119)</f>
        <v>0.6</v>
      </c>
      <c r="N38" s="50">
        <f>VLOOKUP($A38,'Data shares'!$C:$FB,121)*100</f>
        <v>3.3300000000000005</v>
      </c>
      <c r="O38" s="50">
        <f>VLOOKUP($A38,'Data shares'!$C:$FB,124)</f>
        <v>0.55000000000000004</v>
      </c>
      <c r="P38" s="50">
        <f>VLOOKUP($A38,'Data shares'!$C:$FB,125)</f>
        <v>0.46</v>
      </c>
      <c r="Q38" s="50">
        <f>VLOOKUP($A38,'Data shares'!$C:$FB,127)*100</f>
        <v>19.57</v>
      </c>
    </row>
    <row r="39" spans="1:17" x14ac:dyDescent="0.25">
      <c r="A39" s="97" t="str">
        <f>'Data Vlaue (Cr)'!C34</f>
        <v>BLUESTARCO</v>
      </c>
      <c r="B39" s="140">
        <f>VLOOKUP($A39,'Data shares'!$C:$FB,7)</f>
        <v>1957.6</v>
      </c>
      <c r="C39" s="140">
        <f>VLOOKUP($A39,'Data shares'!$C:$FB,3)</f>
        <v>1964.7</v>
      </c>
      <c r="D39" s="140">
        <f>VLOOKUP($A39,'Data shares'!$C:$FB,4)</f>
        <v>1922.4</v>
      </c>
      <c r="E39" s="50">
        <f t="shared" si="0"/>
        <v>2.2003745318352035</v>
      </c>
      <c r="F39" s="49">
        <f>VLOOKUP($A39,'Data shares'!$C:$FB,98)</f>
        <v>2827825</v>
      </c>
      <c r="G39" s="49">
        <f>VLOOKUP($A39,'Data shares'!$C:$FB,99)</f>
        <v>2842125</v>
      </c>
      <c r="H39" s="50">
        <f t="shared" si="1"/>
        <v>-0.50314465408805031</v>
      </c>
      <c r="I39" s="49">
        <f>VLOOKUP($A39,'Data shares'!$C:$FB,66)</f>
        <v>2702700</v>
      </c>
      <c r="J39" s="49">
        <f>VLOOKUP($A39,'Data shares'!$C:$FB,67)</f>
        <v>1370525</v>
      </c>
      <c r="K39" s="50">
        <f t="shared" si="2"/>
        <v>49.290524290524289</v>
      </c>
      <c r="L39" s="50">
        <f>VLOOKUP($A39,'Data shares'!$C:$FB,118)</f>
        <v>0.64</v>
      </c>
      <c r="M39" s="50">
        <f>VLOOKUP($A39,'Data shares'!$C:$FB,119)</f>
        <v>0.59</v>
      </c>
      <c r="N39" s="50">
        <f>VLOOKUP($A39,'Data shares'!$C:$FB,121)*100</f>
        <v>8.4699999999999989</v>
      </c>
      <c r="O39" s="50">
        <f>VLOOKUP($A39,'Data shares'!$C:$FB,124)</f>
        <v>0.38</v>
      </c>
      <c r="P39" s="50">
        <f>VLOOKUP($A39,'Data shares'!$C:$FB,125)</f>
        <v>0.27</v>
      </c>
      <c r="Q39" s="50">
        <f>VLOOKUP($A39,'Data shares'!$C:$FB,127)*100</f>
        <v>40.739999999999995</v>
      </c>
    </row>
    <row r="40" spans="1:17" x14ac:dyDescent="0.25">
      <c r="A40" s="97" t="str">
        <f>'Data Vlaue (Cr)'!C35</f>
        <v>BOSCHLTD</v>
      </c>
      <c r="B40" s="140">
        <f>VLOOKUP($A40,'Data shares'!$C:$FB,7)</f>
        <v>38510</v>
      </c>
      <c r="C40" s="140">
        <f>VLOOKUP($A40,'Data shares'!$C:$FB,3)</f>
        <v>38585</v>
      </c>
      <c r="D40" s="140">
        <f>VLOOKUP($A40,'Data shares'!$C:$FB,4)</f>
        <v>38455</v>
      </c>
      <c r="E40" s="50">
        <f t="shared" si="0"/>
        <v>0.3380574697698609</v>
      </c>
      <c r="F40" s="49">
        <f>VLOOKUP($A40,'Data shares'!$C:$FB,98)</f>
        <v>388800</v>
      </c>
      <c r="G40" s="49">
        <f>VLOOKUP($A40,'Data shares'!$C:$FB,99)</f>
        <v>390125</v>
      </c>
      <c r="H40" s="50">
        <f t="shared" si="1"/>
        <v>-0.33963473245754566</v>
      </c>
      <c r="I40" s="49">
        <f>VLOOKUP($A40,'Data shares'!$C:$FB,66)</f>
        <v>136800</v>
      </c>
      <c r="J40" s="49">
        <f>VLOOKUP($A40,'Data shares'!$C:$FB,67)</f>
        <v>220050</v>
      </c>
      <c r="K40" s="50">
        <f t="shared" si="2"/>
        <v>-60.855263157894733</v>
      </c>
      <c r="L40" s="50">
        <f>VLOOKUP($A40,'Data shares'!$C:$FB,118)</f>
        <v>0.57999999999999996</v>
      </c>
      <c r="M40" s="50">
        <f>VLOOKUP($A40,'Data shares'!$C:$FB,119)</f>
        <v>0.56000000000000005</v>
      </c>
      <c r="N40" s="50">
        <f>VLOOKUP($A40,'Data shares'!$C:$FB,121)*100</f>
        <v>3.5700000000000003</v>
      </c>
      <c r="O40" s="50">
        <f>VLOOKUP($A40,'Data shares'!$C:$FB,124)</f>
        <v>0.41</v>
      </c>
      <c r="P40" s="50">
        <f>VLOOKUP($A40,'Data shares'!$C:$FB,125)</f>
        <v>0.48</v>
      </c>
      <c r="Q40" s="50">
        <f>VLOOKUP($A40,'Data shares'!$C:$FB,127)*100</f>
        <v>-14.580000000000002</v>
      </c>
    </row>
    <row r="41" spans="1:17" x14ac:dyDescent="0.25">
      <c r="A41" s="97" t="str">
        <f>'Data Vlaue (Cr)'!C36</f>
        <v>BPCL</v>
      </c>
      <c r="B41" s="140">
        <f>VLOOKUP($A41,'Data shares'!$C:$FB,7)</f>
        <v>335.9</v>
      </c>
      <c r="C41" s="140">
        <f>VLOOKUP($A41,'Data shares'!$C:$FB,3)</f>
        <v>337.15</v>
      </c>
      <c r="D41" s="140">
        <f>VLOOKUP($A41,'Data shares'!$C:$FB,4)</f>
        <v>339.45</v>
      </c>
      <c r="E41" s="50">
        <f t="shared" si="0"/>
        <v>-0.67756665193696031</v>
      </c>
      <c r="F41" s="49">
        <f>VLOOKUP($A41,'Data shares'!$C:$FB,98)</f>
        <v>65706275</v>
      </c>
      <c r="G41" s="49">
        <f>VLOOKUP($A41,'Data shares'!$C:$FB,99)</f>
        <v>62929425</v>
      </c>
      <c r="H41" s="50">
        <f t="shared" si="1"/>
        <v>4.4126416219439477</v>
      </c>
      <c r="I41" s="49">
        <f>VLOOKUP($A41,'Data shares'!$C:$FB,66)</f>
        <v>34286000</v>
      </c>
      <c r="J41" s="49">
        <f>VLOOKUP($A41,'Data shares'!$C:$FB,67)</f>
        <v>64560775</v>
      </c>
      <c r="K41" s="50">
        <f t="shared" si="2"/>
        <v>-88.30069124423963</v>
      </c>
      <c r="L41" s="50">
        <f>VLOOKUP($A41,'Data shares'!$C:$FB,118)</f>
        <v>0.65</v>
      </c>
      <c r="M41" s="50">
        <f>VLOOKUP($A41,'Data shares'!$C:$FB,119)</f>
        <v>0.68</v>
      </c>
      <c r="N41" s="50">
        <f>VLOOKUP($A41,'Data shares'!$C:$FB,121)*100</f>
        <v>-4.41</v>
      </c>
      <c r="O41" s="50">
        <f>VLOOKUP($A41,'Data shares'!$C:$FB,124)</f>
        <v>0.43</v>
      </c>
      <c r="P41" s="50">
        <f>VLOOKUP($A41,'Data shares'!$C:$FB,125)</f>
        <v>0.63</v>
      </c>
      <c r="Q41" s="50">
        <f>VLOOKUP($A41,'Data shares'!$C:$FB,127)*100</f>
        <v>-31.75</v>
      </c>
    </row>
    <row r="42" spans="1:17" x14ac:dyDescent="0.25">
      <c r="A42" s="97" t="str">
        <f>'Data Vlaue (Cr)'!C37</f>
        <v>BRITANNIA</v>
      </c>
      <c r="B42" s="140">
        <f>VLOOKUP($A42,'Data shares'!$C:$FB,7)</f>
        <v>6025.5</v>
      </c>
      <c r="C42" s="140">
        <f>VLOOKUP($A42,'Data shares'!$C:$FB,3)</f>
        <v>6034</v>
      </c>
      <c r="D42" s="140">
        <f>VLOOKUP($A42,'Data shares'!$C:$FB,4)</f>
        <v>5883</v>
      </c>
      <c r="E42" s="50">
        <f t="shared" si="0"/>
        <v>2.5667176610572837</v>
      </c>
      <c r="F42" s="49">
        <f>VLOOKUP($A42,'Data shares'!$C:$FB,98)</f>
        <v>5386250</v>
      </c>
      <c r="G42" s="49">
        <f>VLOOKUP($A42,'Data shares'!$C:$FB,99)</f>
        <v>5466500</v>
      </c>
      <c r="H42" s="50">
        <f t="shared" si="1"/>
        <v>-1.4680325619683527</v>
      </c>
      <c r="I42" s="49">
        <f>VLOOKUP($A42,'Data shares'!$C:$FB,66)</f>
        <v>4708875</v>
      </c>
      <c r="J42" s="49">
        <f>VLOOKUP($A42,'Data shares'!$C:$FB,67)</f>
        <v>1934250</v>
      </c>
      <c r="K42" s="50">
        <f t="shared" si="2"/>
        <v>58.923309707732741</v>
      </c>
      <c r="L42" s="50">
        <f>VLOOKUP($A42,'Data shares'!$C:$FB,118)</f>
        <v>0.56999999999999995</v>
      </c>
      <c r="M42" s="50">
        <f>VLOOKUP($A42,'Data shares'!$C:$FB,119)</f>
        <v>0.45</v>
      </c>
      <c r="N42" s="50">
        <f>VLOOKUP($A42,'Data shares'!$C:$FB,121)*100</f>
        <v>26.669999999999998</v>
      </c>
      <c r="O42" s="50">
        <f>VLOOKUP($A42,'Data shares'!$C:$FB,124)</f>
        <v>0.28000000000000003</v>
      </c>
      <c r="P42" s="50">
        <f>VLOOKUP($A42,'Data shares'!$C:$FB,125)</f>
        <v>0.38</v>
      </c>
      <c r="Q42" s="50">
        <f>VLOOKUP($A42,'Data shares'!$C:$FB,127)*100</f>
        <v>-26.32</v>
      </c>
    </row>
    <row r="43" spans="1:17" x14ac:dyDescent="0.25">
      <c r="A43" s="97" t="str">
        <f>'Data Vlaue (Cr)'!C38</f>
        <v>BSE</v>
      </c>
      <c r="B43" s="140">
        <f>VLOOKUP($A43,'Data shares'!$C:$FB,7)</f>
        <v>2509.1999999999998</v>
      </c>
      <c r="C43" s="140">
        <f>VLOOKUP($A43,'Data shares'!$C:$FB,3)</f>
        <v>2519.6</v>
      </c>
      <c r="D43" s="140">
        <f>VLOOKUP($A43,'Data shares'!$C:$FB,4)</f>
        <v>2467.1</v>
      </c>
      <c r="E43" s="50">
        <f t="shared" si="0"/>
        <v>2.1280045397430185</v>
      </c>
      <c r="F43" s="49">
        <f>VLOOKUP($A43,'Data shares'!$C:$FB,98)</f>
        <v>31581000</v>
      </c>
      <c r="G43" s="49">
        <f>VLOOKUP($A43,'Data shares'!$C:$FB,99)</f>
        <v>32634375</v>
      </c>
      <c r="H43" s="50">
        <f t="shared" si="1"/>
        <v>-3.2278081011203676</v>
      </c>
      <c r="I43" s="49">
        <f>VLOOKUP($A43,'Data shares'!$C:$FB,66)</f>
        <v>69946500</v>
      </c>
      <c r="J43" s="49">
        <f>VLOOKUP($A43,'Data shares'!$C:$FB,67)</f>
        <v>23860125</v>
      </c>
      <c r="K43" s="50">
        <f t="shared" si="2"/>
        <v>65.88803585597563</v>
      </c>
      <c r="L43" s="50">
        <f>VLOOKUP($A43,'Data shares'!$C:$FB,118)</f>
        <v>0.93</v>
      </c>
      <c r="M43" s="50">
        <f>VLOOKUP($A43,'Data shares'!$C:$FB,119)</f>
        <v>0.78</v>
      </c>
      <c r="N43" s="50">
        <f>VLOOKUP($A43,'Data shares'!$C:$FB,121)*100</f>
        <v>19.23</v>
      </c>
      <c r="O43" s="50">
        <f>VLOOKUP($A43,'Data shares'!$C:$FB,124)</f>
        <v>0.47</v>
      </c>
      <c r="P43" s="50">
        <f>VLOOKUP($A43,'Data shares'!$C:$FB,125)</f>
        <v>0.62</v>
      </c>
      <c r="Q43" s="50">
        <f>VLOOKUP($A43,'Data shares'!$C:$FB,127)*100</f>
        <v>-24.19</v>
      </c>
    </row>
    <row r="44" spans="1:17" x14ac:dyDescent="0.25">
      <c r="A44" s="97" t="str">
        <f>'Data Vlaue (Cr)'!C39</f>
        <v>CAMS</v>
      </c>
      <c r="B44" s="140">
        <f>VLOOKUP($A44,'Data shares'!$C:$FB,7)</f>
        <v>3830.8</v>
      </c>
      <c r="C44" s="140">
        <f>VLOOKUP($A44,'Data shares'!$C:$FB,3)</f>
        <v>3834.8</v>
      </c>
      <c r="D44" s="140">
        <f>VLOOKUP($A44,'Data shares'!$C:$FB,4)</f>
        <v>3852.5</v>
      </c>
      <c r="E44" s="50">
        <f t="shared" si="0"/>
        <v>-0.45944192083062468</v>
      </c>
      <c r="F44" s="49">
        <f>VLOOKUP($A44,'Data shares'!$C:$FB,98)</f>
        <v>4249800</v>
      </c>
      <c r="G44" s="49">
        <f>VLOOKUP($A44,'Data shares'!$C:$FB,99)</f>
        <v>4162350</v>
      </c>
      <c r="H44" s="50">
        <f t="shared" si="1"/>
        <v>2.1009766117697932</v>
      </c>
      <c r="I44" s="49">
        <f>VLOOKUP($A44,'Data shares'!$C:$FB,66)</f>
        <v>1777350</v>
      </c>
      <c r="J44" s="49">
        <f>VLOOKUP($A44,'Data shares'!$C:$FB,67)</f>
        <v>2519250</v>
      </c>
      <c r="K44" s="50">
        <f t="shared" si="2"/>
        <v>-41.741919149295299</v>
      </c>
      <c r="L44" s="50">
        <f>VLOOKUP($A44,'Data shares'!$C:$FB,118)</f>
        <v>0.64</v>
      </c>
      <c r="M44" s="50">
        <f>VLOOKUP($A44,'Data shares'!$C:$FB,119)</f>
        <v>0.62</v>
      </c>
      <c r="N44" s="50">
        <f>VLOOKUP($A44,'Data shares'!$C:$FB,121)*100</f>
        <v>3.2300000000000004</v>
      </c>
      <c r="O44" s="50">
        <f>VLOOKUP($A44,'Data shares'!$C:$FB,124)</f>
        <v>0.34</v>
      </c>
      <c r="P44" s="50">
        <f>VLOOKUP($A44,'Data shares'!$C:$FB,125)</f>
        <v>0.32</v>
      </c>
      <c r="Q44" s="50">
        <f>VLOOKUP($A44,'Data shares'!$C:$FB,127)*100</f>
        <v>6.25</v>
      </c>
    </row>
    <row r="45" spans="1:17" x14ac:dyDescent="0.25">
      <c r="A45" s="97" t="str">
        <f>'Data Vlaue (Cr)'!C40</f>
        <v>CANBK</v>
      </c>
      <c r="B45" s="140">
        <f>VLOOKUP($A45,'Data shares'!$C:$FB,7)</f>
        <v>127.37</v>
      </c>
      <c r="C45" s="140">
        <f>VLOOKUP($A45,'Data shares'!$C:$FB,3)</f>
        <v>127.58</v>
      </c>
      <c r="D45" s="140">
        <f>VLOOKUP($A45,'Data shares'!$C:$FB,4)</f>
        <v>128.6</v>
      </c>
      <c r="E45" s="50">
        <f t="shared" si="0"/>
        <v>-0.79315707620528464</v>
      </c>
      <c r="F45" s="49">
        <f>VLOOKUP($A45,'Data shares'!$C:$FB,98)</f>
        <v>469820250</v>
      </c>
      <c r="G45" s="49">
        <f>VLOOKUP($A45,'Data shares'!$C:$FB,99)</f>
        <v>456151500</v>
      </c>
      <c r="H45" s="50">
        <f t="shared" si="1"/>
        <v>2.9965373346355322</v>
      </c>
      <c r="I45" s="49">
        <f>VLOOKUP($A45,'Data shares'!$C:$FB,66)</f>
        <v>344304000</v>
      </c>
      <c r="J45" s="49">
        <f>VLOOKUP($A45,'Data shares'!$C:$FB,67)</f>
        <v>271626750</v>
      </c>
      <c r="K45" s="50">
        <f t="shared" si="2"/>
        <v>21.10845357590966</v>
      </c>
      <c r="L45" s="50">
        <f>VLOOKUP($A45,'Data shares'!$C:$FB,118)</f>
        <v>0.83</v>
      </c>
      <c r="M45" s="50">
        <f>VLOOKUP($A45,'Data shares'!$C:$FB,119)</f>
        <v>0.86</v>
      </c>
      <c r="N45" s="50">
        <f>VLOOKUP($A45,'Data shares'!$C:$FB,121)*100</f>
        <v>-3.49</v>
      </c>
      <c r="O45" s="50">
        <f>VLOOKUP($A45,'Data shares'!$C:$FB,124)</f>
        <v>0.6</v>
      </c>
      <c r="P45" s="50">
        <f>VLOOKUP($A45,'Data shares'!$C:$FB,125)</f>
        <v>0.59</v>
      </c>
      <c r="Q45" s="50">
        <f>VLOOKUP($A45,'Data shares'!$C:$FB,127)*100</f>
        <v>1.69</v>
      </c>
    </row>
    <row r="46" spans="1:17" x14ac:dyDescent="0.25">
      <c r="A46" s="97" t="str">
        <f>'Data Vlaue (Cr)'!C41</f>
        <v>CDSL</v>
      </c>
      <c r="B46" s="140">
        <f>VLOOKUP($A46,'Data shares'!$C:$FB,7)</f>
        <v>1620.3</v>
      </c>
      <c r="C46" s="140">
        <f>VLOOKUP($A46,'Data shares'!$C:$FB,3)</f>
        <v>1625.7</v>
      </c>
      <c r="D46" s="140">
        <f>VLOOKUP($A46,'Data shares'!$C:$FB,4)</f>
        <v>1629.1</v>
      </c>
      <c r="E46" s="50">
        <f t="shared" si="0"/>
        <v>-0.20870419249891742</v>
      </c>
      <c r="F46" s="49">
        <f>VLOOKUP($A46,'Data shares'!$C:$FB,98)</f>
        <v>19387125</v>
      </c>
      <c r="G46" s="49">
        <f>VLOOKUP($A46,'Data shares'!$C:$FB,99)</f>
        <v>19199025</v>
      </c>
      <c r="H46" s="50">
        <f t="shared" si="1"/>
        <v>0.97973725228234243</v>
      </c>
      <c r="I46" s="49">
        <f>VLOOKUP($A46,'Data shares'!$C:$FB,66)</f>
        <v>13205000</v>
      </c>
      <c r="J46" s="49">
        <f>VLOOKUP($A46,'Data shares'!$C:$FB,67)</f>
        <v>17582125</v>
      </c>
      <c r="K46" s="50">
        <f t="shared" si="2"/>
        <v>-33.147482014388494</v>
      </c>
      <c r="L46" s="50">
        <f>VLOOKUP($A46,'Data shares'!$C:$FB,118)</f>
        <v>0.7</v>
      </c>
      <c r="M46" s="50">
        <f>VLOOKUP($A46,'Data shares'!$C:$FB,119)</f>
        <v>0.71</v>
      </c>
      <c r="N46" s="50">
        <f>VLOOKUP($A46,'Data shares'!$C:$FB,121)*100</f>
        <v>-1.41</v>
      </c>
      <c r="O46" s="50">
        <f>VLOOKUP($A46,'Data shares'!$C:$FB,124)</f>
        <v>0.47</v>
      </c>
      <c r="P46" s="50">
        <f>VLOOKUP($A46,'Data shares'!$C:$FB,125)</f>
        <v>0.47</v>
      </c>
      <c r="Q46" s="50">
        <f>VLOOKUP($A46,'Data shares'!$C:$FB,127)*100</f>
        <v>0</v>
      </c>
    </row>
    <row r="47" spans="1:17" x14ac:dyDescent="0.25">
      <c r="A47" s="97" t="str">
        <f>'Data Vlaue (Cr)'!C42</f>
        <v>CGPOWER</v>
      </c>
      <c r="B47" s="140">
        <f>VLOOKUP($A47,'Data shares'!$C:$FB,7)</f>
        <v>760.6</v>
      </c>
      <c r="C47" s="140">
        <f>VLOOKUP($A47,'Data shares'!$C:$FB,3)</f>
        <v>763.45</v>
      </c>
      <c r="D47" s="140">
        <f>VLOOKUP($A47,'Data shares'!$C:$FB,4)</f>
        <v>758.4</v>
      </c>
      <c r="E47" s="50">
        <f t="shared" si="0"/>
        <v>0.6658755274261694</v>
      </c>
      <c r="F47" s="49">
        <f>VLOOKUP($A47,'Data shares'!$C:$FB,98)</f>
        <v>27587600</v>
      </c>
      <c r="G47" s="49">
        <f>VLOOKUP($A47,'Data shares'!$C:$FB,99)</f>
        <v>28029600</v>
      </c>
      <c r="H47" s="50">
        <f t="shared" si="1"/>
        <v>-1.576904415332363</v>
      </c>
      <c r="I47" s="49">
        <f>VLOOKUP($A47,'Data shares'!$C:$FB,66)</f>
        <v>11680700</v>
      </c>
      <c r="J47" s="49">
        <f>VLOOKUP($A47,'Data shares'!$C:$FB,67)</f>
        <v>11653500</v>
      </c>
      <c r="K47" s="50">
        <f t="shared" si="2"/>
        <v>0.23286275651288021</v>
      </c>
      <c r="L47" s="50">
        <f>VLOOKUP($A47,'Data shares'!$C:$FB,118)</f>
        <v>0.6</v>
      </c>
      <c r="M47" s="50">
        <f>VLOOKUP($A47,'Data shares'!$C:$FB,119)</f>
        <v>0.56999999999999995</v>
      </c>
      <c r="N47" s="50">
        <f>VLOOKUP($A47,'Data shares'!$C:$FB,121)*100</f>
        <v>5.26</v>
      </c>
      <c r="O47" s="50">
        <f>VLOOKUP($A47,'Data shares'!$C:$FB,124)</f>
        <v>0.37</v>
      </c>
      <c r="P47" s="50">
        <f>VLOOKUP($A47,'Data shares'!$C:$FB,125)</f>
        <v>0.36</v>
      </c>
      <c r="Q47" s="50">
        <f>VLOOKUP($A47,'Data shares'!$C:$FB,127)*100</f>
        <v>2.78</v>
      </c>
    </row>
    <row r="48" spans="1:17" x14ac:dyDescent="0.25">
      <c r="A48" s="97" t="str">
        <f>'Data Vlaue (Cr)'!C43</f>
        <v>CHOLAFIN</v>
      </c>
      <c r="B48" s="140">
        <f>VLOOKUP($A48,'Data shares'!$C:$FB,7)</f>
        <v>1668.1</v>
      </c>
      <c r="C48" s="140">
        <f>VLOOKUP($A48,'Data shares'!$C:$FB,3)</f>
        <v>1663.1</v>
      </c>
      <c r="D48" s="140">
        <f>VLOOKUP($A48,'Data shares'!$C:$FB,4)</f>
        <v>1680.2</v>
      </c>
      <c r="E48" s="50">
        <f t="shared" si="0"/>
        <v>-1.017735983811459</v>
      </c>
      <c r="F48" s="49">
        <f>VLOOKUP($A48,'Data shares'!$C:$FB,98)</f>
        <v>25354375</v>
      </c>
      <c r="G48" s="49">
        <f>VLOOKUP($A48,'Data shares'!$C:$FB,99)</f>
        <v>22866250</v>
      </c>
      <c r="H48" s="50">
        <f t="shared" si="1"/>
        <v>10.881211392335866</v>
      </c>
      <c r="I48" s="49">
        <f>VLOOKUP($A48,'Data shares'!$C:$FB,66)</f>
        <v>23078750</v>
      </c>
      <c r="J48" s="49">
        <f>VLOOKUP($A48,'Data shares'!$C:$FB,67)</f>
        <v>25111875</v>
      </c>
      <c r="K48" s="50">
        <f t="shared" si="2"/>
        <v>-8.8095109137193308</v>
      </c>
      <c r="L48" s="50">
        <f>VLOOKUP($A48,'Data shares'!$C:$FB,118)</f>
        <v>0.6</v>
      </c>
      <c r="M48" s="50">
        <f>VLOOKUP($A48,'Data shares'!$C:$FB,119)</f>
        <v>0.75</v>
      </c>
      <c r="N48" s="50">
        <f>VLOOKUP($A48,'Data shares'!$C:$FB,121)*100</f>
        <v>-20</v>
      </c>
      <c r="O48" s="50">
        <f>VLOOKUP($A48,'Data shares'!$C:$FB,124)</f>
        <v>0.36</v>
      </c>
      <c r="P48" s="50">
        <f>VLOOKUP($A48,'Data shares'!$C:$FB,125)</f>
        <v>0.33</v>
      </c>
      <c r="Q48" s="50">
        <f>VLOOKUP($A48,'Data shares'!$C:$FB,127)*100</f>
        <v>9.09</v>
      </c>
    </row>
    <row r="49" spans="1:17" x14ac:dyDescent="0.25">
      <c r="A49" s="97" t="str">
        <f>'Data Vlaue (Cr)'!C44</f>
        <v>CIPLA</v>
      </c>
      <c r="B49" s="140">
        <f>VLOOKUP($A49,'Data shares'!$C:$FB,7)</f>
        <v>1569.4</v>
      </c>
      <c r="C49" s="140">
        <f>VLOOKUP($A49,'Data shares'!$C:$FB,3)</f>
        <v>1572.3</v>
      </c>
      <c r="D49" s="140">
        <f>VLOOKUP($A49,'Data shares'!$C:$FB,4)</f>
        <v>1564.2</v>
      </c>
      <c r="E49" s="50">
        <f t="shared" si="0"/>
        <v>0.51783659378595503</v>
      </c>
      <c r="F49" s="49">
        <f>VLOOKUP($A49,'Data shares'!$C:$FB,98)</f>
        <v>23051250</v>
      </c>
      <c r="G49" s="49">
        <f>VLOOKUP($A49,'Data shares'!$C:$FB,99)</f>
        <v>22213875</v>
      </c>
      <c r="H49" s="50">
        <f t="shared" si="1"/>
        <v>3.7696034572986479</v>
      </c>
      <c r="I49" s="49">
        <f>VLOOKUP($A49,'Data shares'!$C:$FB,66)</f>
        <v>9226500</v>
      </c>
      <c r="J49" s="49">
        <f>VLOOKUP($A49,'Data shares'!$C:$FB,67)</f>
        <v>9076125</v>
      </c>
      <c r="K49" s="50">
        <f t="shared" si="2"/>
        <v>1.6298162900341406</v>
      </c>
      <c r="L49" s="50">
        <f>VLOOKUP($A49,'Data shares'!$C:$FB,118)</f>
        <v>0.41</v>
      </c>
      <c r="M49" s="50">
        <f>VLOOKUP($A49,'Data shares'!$C:$FB,119)</f>
        <v>0.44</v>
      </c>
      <c r="N49" s="50">
        <f>VLOOKUP($A49,'Data shares'!$C:$FB,121)*100</f>
        <v>-6.8199999999999994</v>
      </c>
      <c r="O49" s="50">
        <f>VLOOKUP($A49,'Data shares'!$C:$FB,124)</f>
        <v>0.24</v>
      </c>
      <c r="P49" s="50">
        <f>VLOOKUP($A49,'Data shares'!$C:$FB,125)</f>
        <v>0.26</v>
      </c>
      <c r="Q49" s="50">
        <f>VLOOKUP($A49,'Data shares'!$C:$FB,127)*100</f>
        <v>-7.6899999999999995</v>
      </c>
    </row>
    <row r="50" spans="1:17" x14ac:dyDescent="0.25">
      <c r="A50" s="97" t="str">
        <f>'Data Vlaue (Cr)'!C45</f>
        <v>COALINDIA</v>
      </c>
      <c r="B50" s="140">
        <f>VLOOKUP($A50,'Data shares'!$C:$FB,7)</f>
        <v>387.6</v>
      </c>
      <c r="C50" s="140">
        <f>VLOOKUP($A50,'Data shares'!$C:$FB,3)</f>
        <v>388.85</v>
      </c>
      <c r="D50" s="140">
        <f>VLOOKUP($A50,'Data shares'!$C:$FB,4)</f>
        <v>385.95</v>
      </c>
      <c r="E50" s="50">
        <f t="shared" si="0"/>
        <v>0.75139266744397826</v>
      </c>
      <c r="F50" s="49">
        <f>VLOOKUP($A50,'Data shares'!$C:$FB,98)</f>
        <v>120320100</v>
      </c>
      <c r="G50" s="49">
        <f>VLOOKUP($A50,'Data shares'!$C:$FB,99)</f>
        <v>120933000</v>
      </c>
      <c r="H50" s="50">
        <f t="shared" si="1"/>
        <v>-0.50680955570439834</v>
      </c>
      <c r="I50" s="49">
        <f>VLOOKUP($A50,'Data shares'!$C:$FB,66)</f>
        <v>37837800</v>
      </c>
      <c r="J50" s="49">
        <f>VLOOKUP($A50,'Data shares'!$C:$FB,67)</f>
        <v>40883400</v>
      </c>
      <c r="K50" s="50">
        <f t="shared" si="2"/>
        <v>-8.0490937633794779</v>
      </c>
      <c r="L50" s="50">
        <f>VLOOKUP($A50,'Data shares'!$C:$FB,118)</f>
        <v>0.68</v>
      </c>
      <c r="M50" s="50">
        <f>VLOOKUP($A50,'Data shares'!$C:$FB,119)</f>
        <v>0.69</v>
      </c>
      <c r="N50" s="50">
        <f>VLOOKUP($A50,'Data shares'!$C:$FB,121)*100</f>
        <v>-1.4500000000000002</v>
      </c>
      <c r="O50" s="50">
        <f>VLOOKUP($A50,'Data shares'!$C:$FB,124)</f>
        <v>0.71</v>
      </c>
      <c r="P50" s="50">
        <f>VLOOKUP($A50,'Data shares'!$C:$FB,125)</f>
        <v>0.7</v>
      </c>
      <c r="Q50" s="50">
        <f>VLOOKUP($A50,'Data shares'!$C:$FB,127)*100</f>
        <v>1.43</v>
      </c>
    </row>
    <row r="51" spans="1:17" x14ac:dyDescent="0.25">
      <c r="A51" s="97" t="str">
        <f>'Data Vlaue (Cr)'!C46</f>
        <v>COFORGE</v>
      </c>
      <c r="B51" s="140">
        <f>VLOOKUP($A51,'Data shares'!$C:$FB,7)</f>
        <v>1761.5</v>
      </c>
      <c r="C51" s="140">
        <f>VLOOKUP($A51,'Data shares'!$C:$FB,3)</f>
        <v>1766.1</v>
      </c>
      <c r="D51" s="140">
        <f>VLOOKUP($A51,'Data shares'!$C:$FB,4)</f>
        <v>1766.9</v>
      </c>
      <c r="E51" s="50">
        <f t="shared" si="0"/>
        <v>-4.5277038881667432E-2</v>
      </c>
      <c r="F51" s="49">
        <f>VLOOKUP($A51,'Data shares'!$C:$FB,98)</f>
        <v>20100750</v>
      </c>
      <c r="G51" s="49">
        <f>VLOOKUP($A51,'Data shares'!$C:$FB,99)</f>
        <v>19950375</v>
      </c>
      <c r="H51" s="50">
        <f t="shared" si="1"/>
        <v>0.75374523035281293</v>
      </c>
      <c r="I51" s="49">
        <f>VLOOKUP($A51,'Data shares'!$C:$FB,66)</f>
        <v>7384500</v>
      </c>
      <c r="J51" s="49">
        <f>VLOOKUP($A51,'Data shares'!$C:$FB,67)</f>
        <v>27365625</v>
      </c>
      <c r="K51" s="50">
        <f t="shared" si="2"/>
        <v>-270.58196221815962</v>
      </c>
      <c r="L51" s="50">
        <f>VLOOKUP($A51,'Data shares'!$C:$FB,118)</f>
        <v>0.71</v>
      </c>
      <c r="M51" s="50">
        <f>VLOOKUP($A51,'Data shares'!$C:$FB,119)</f>
        <v>0.68</v>
      </c>
      <c r="N51" s="50">
        <f>VLOOKUP($A51,'Data shares'!$C:$FB,121)*100</f>
        <v>4.41</v>
      </c>
      <c r="O51" s="50">
        <f>VLOOKUP($A51,'Data shares'!$C:$FB,124)</f>
        <v>0.46</v>
      </c>
      <c r="P51" s="50">
        <f>VLOOKUP($A51,'Data shares'!$C:$FB,125)</f>
        <v>0.25</v>
      </c>
      <c r="Q51" s="50">
        <f>VLOOKUP($A51,'Data shares'!$C:$FB,127)*100</f>
        <v>84</v>
      </c>
    </row>
    <row r="52" spans="1:17" x14ac:dyDescent="0.25">
      <c r="A52" s="97" t="str">
        <f>'Data Vlaue (Cr)'!C47</f>
        <v>COLPAL</v>
      </c>
      <c r="B52" s="140">
        <f>VLOOKUP($A52,'Data shares'!$C:$FB,7)</f>
        <v>2285.8000000000002</v>
      </c>
      <c r="C52" s="140">
        <f>VLOOKUP($A52,'Data shares'!$C:$FB,3)</f>
        <v>2294</v>
      </c>
      <c r="D52" s="140">
        <f>VLOOKUP($A52,'Data shares'!$C:$FB,4)</f>
        <v>2230.8000000000002</v>
      </c>
      <c r="E52" s="50">
        <f t="shared" si="0"/>
        <v>2.8330643715259014</v>
      </c>
      <c r="F52" s="49">
        <f>VLOOKUP($A52,'Data shares'!$C:$FB,98)</f>
        <v>8122050</v>
      </c>
      <c r="G52" s="49">
        <f>VLOOKUP($A52,'Data shares'!$C:$FB,99)</f>
        <v>8813475</v>
      </c>
      <c r="H52" s="50">
        <f t="shared" si="1"/>
        <v>-7.845089479461846</v>
      </c>
      <c r="I52" s="49">
        <f>VLOOKUP($A52,'Data shares'!$C:$FB,66)</f>
        <v>8202600</v>
      </c>
      <c r="J52" s="49">
        <f>VLOOKUP($A52,'Data shares'!$C:$FB,67)</f>
        <v>3182625</v>
      </c>
      <c r="K52" s="50">
        <f t="shared" si="2"/>
        <v>61.19980250164582</v>
      </c>
      <c r="L52" s="50">
        <f>VLOOKUP($A52,'Data shares'!$C:$FB,118)</f>
        <v>0.75</v>
      </c>
      <c r="M52" s="50">
        <f>VLOOKUP($A52,'Data shares'!$C:$FB,119)</f>
        <v>0.71</v>
      </c>
      <c r="N52" s="50">
        <f>VLOOKUP($A52,'Data shares'!$C:$FB,121)*100</f>
        <v>5.63</v>
      </c>
      <c r="O52" s="50">
        <f>VLOOKUP($A52,'Data shares'!$C:$FB,124)</f>
        <v>0.31</v>
      </c>
      <c r="P52" s="50">
        <f>VLOOKUP($A52,'Data shares'!$C:$FB,125)</f>
        <v>0.36</v>
      </c>
      <c r="Q52" s="50">
        <f>VLOOKUP($A52,'Data shares'!$C:$FB,127)*100</f>
        <v>-13.889999999999999</v>
      </c>
    </row>
    <row r="53" spans="1:17" x14ac:dyDescent="0.25">
      <c r="A53" s="97" t="str">
        <f>'Data Vlaue (Cr)'!C48</f>
        <v>CONCOR</v>
      </c>
      <c r="B53" s="140">
        <f>VLOOKUP($A53,'Data shares'!$C:$FB,7)</f>
        <v>534.1</v>
      </c>
      <c r="C53" s="140">
        <f>VLOOKUP($A53,'Data shares'!$C:$FB,3)</f>
        <v>535.9</v>
      </c>
      <c r="D53" s="140">
        <f>VLOOKUP($A53,'Data shares'!$C:$FB,4)</f>
        <v>532.4</v>
      </c>
      <c r="E53" s="50">
        <f t="shared" si="0"/>
        <v>0.65740045078888054</v>
      </c>
      <c r="F53" s="49">
        <f>VLOOKUP($A53,'Data shares'!$C:$FB,98)</f>
        <v>46612500</v>
      </c>
      <c r="G53" s="49">
        <f>VLOOKUP($A53,'Data shares'!$C:$FB,99)</f>
        <v>47510000</v>
      </c>
      <c r="H53" s="50">
        <f t="shared" si="1"/>
        <v>-1.8890759840033677</v>
      </c>
      <c r="I53" s="49">
        <f>VLOOKUP($A53,'Data shares'!$C:$FB,66)</f>
        <v>10711250</v>
      </c>
      <c r="J53" s="49">
        <f>VLOOKUP($A53,'Data shares'!$C:$FB,67)</f>
        <v>9806250</v>
      </c>
      <c r="K53" s="50">
        <f t="shared" si="2"/>
        <v>8.4490605671606964</v>
      </c>
      <c r="L53" s="50">
        <f>VLOOKUP($A53,'Data shares'!$C:$FB,118)</f>
        <v>0.7</v>
      </c>
      <c r="M53" s="50">
        <f>VLOOKUP($A53,'Data shares'!$C:$FB,119)</f>
        <v>0.68</v>
      </c>
      <c r="N53" s="50">
        <f>VLOOKUP($A53,'Data shares'!$C:$FB,121)*100</f>
        <v>2.94</v>
      </c>
      <c r="O53" s="50">
        <f>VLOOKUP($A53,'Data shares'!$C:$FB,124)</f>
        <v>0.36</v>
      </c>
      <c r="P53" s="50">
        <f>VLOOKUP($A53,'Data shares'!$C:$FB,125)</f>
        <v>0.32</v>
      </c>
      <c r="Q53" s="50">
        <f>VLOOKUP($A53,'Data shares'!$C:$FB,127)*100</f>
        <v>12.5</v>
      </c>
    </row>
    <row r="54" spans="1:17" x14ac:dyDescent="0.25">
      <c r="A54" s="97" t="str">
        <f>'Data Vlaue (Cr)'!C49</f>
        <v>CROMPTON</v>
      </c>
      <c r="B54" s="140">
        <f>VLOOKUP($A54,'Data shares'!$C:$FB,7)</f>
        <v>288.60000000000002</v>
      </c>
      <c r="C54" s="140">
        <f>VLOOKUP($A54,'Data shares'!$C:$FB,3)</f>
        <v>289.89999999999998</v>
      </c>
      <c r="D54" s="140">
        <f>VLOOKUP($A54,'Data shares'!$C:$FB,4)</f>
        <v>289</v>
      </c>
      <c r="E54" s="50">
        <f t="shared" si="0"/>
        <v>0.31141868512109944</v>
      </c>
      <c r="F54" s="49">
        <f>VLOOKUP($A54,'Data shares'!$C:$FB,98)</f>
        <v>83748600</v>
      </c>
      <c r="G54" s="49">
        <f>VLOOKUP($A54,'Data shares'!$C:$FB,99)</f>
        <v>83696400</v>
      </c>
      <c r="H54" s="50">
        <f t="shared" si="1"/>
        <v>6.2368273904253951E-2</v>
      </c>
      <c r="I54" s="49">
        <f>VLOOKUP($A54,'Data shares'!$C:$FB,66)</f>
        <v>22019400</v>
      </c>
      <c r="J54" s="49">
        <f>VLOOKUP($A54,'Data shares'!$C:$FB,67)</f>
        <v>42003000</v>
      </c>
      <c r="K54" s="50">
        <f t="shared" si="2"/>
        <v>-90.754516471838471</v>
      </c>
      <c r="L54" s="50">
        <f>VLOOKUP($A54,'Data shares'!$C:$FB,118)</f>
        <v>0.54</v>
      </c>
      <c r="M54" s="50">
        <f>VLOOKUP($A54,'Data shares'!$C:$FB,119)</f>
        <v>0.54</v>
      </c>
      <c r="N54" s="50">
        <f>VLOOKUP($A54,'Data shares'!$C:$FB,121)*100</f>
        <v>0</v>
      </c>
      <c r="O54" s="50">
        <f>VLOOKUP($A54,'Data shares'!$C:$FB,124)</f>
        <v>0.27</v>
      </c>
      <c r="P54" s="50">
        <f>VLOOKUP($A54,'Data shares'!$C:$FB,125)</f>
        <v>0.28999999999999998</v>
      </c>
      <c r="Q54" s="50">
        <f>VLOOKUP($A54,'Data shares'!$C:$FB,127)*100</f>
        <v>-6.9</v>
      </c>
    </row>
    <row r="55" spans="1:17" x14ac:dyDescent="0.25">
      <c r="A55" s="97" t="str">
        <f>'Data Vlaue (Cr)'!C50</f>
        <v>CUMMINSIND</v>
      </c>
      <c r="B55" s="140">
        <f>VLOOKUP($A55,'Data shares'!$C:$FB,7)</f>
        <v>3940.6</v>
      </c>
      <c r="C55" s="140">
        <f>VLOOKUP($A55,'Data shares'!$C:$FB,3)</f>
        <v>3950.5</v>
      </c>
      <c r="D55" s="140">
        <f>VLOOKUP($A55,'Data shares'!$C:$FB,4)</f>
        <v>3972.9</v>
      </c>
      <c r="E55" s="50">
        <f t="shared" si="0"/>
        <v>-0.56381987968486724</v>
      </c>
      <c r="F55" s="49">
        <f>VLOOKUP($A55,'Data shares'!$C:$FB,98)</f>
        <v>4383600</v>
      </c>
      <c r="G55" s="49">
        <f>VLOOKUP($A55,'Data shares'!$C:$FB,99)</f>
        <v>4282200</v>
      </c>
      <c r="H55" s="50">
        <f t="shared" si="1"/>
        <v>2.3679417122040074</v>
      </c>
      <c r="I55" s="49">
        <f>VLOOKUP($A55,'Data shares'!$C:$FB,66)</f>
        <v>2153200</v>
      </c>
      <c r="J55" s="49">
        <f>VLOOKUP($A55,'Data shares'!$C:$FB,67)</f>
        <v>1435600</v>
      </c>
      <c r="K55" s="50">
        <f t="shared" si="2"/>
        <v>33.32714099944269</v>
      </c>
      <c r="L55" s="50">
        <f>VLOOKUP($A55,'Data shares'!$C:$FB,118)</f>
        <v>0.63</v>
      </c>
      <c r="M55" s="50">
        <f>VLOOKUP($A55,'Data shares'!$C:$FB,119)</f>
        <v>0.7</v>
      </c>
      <c r="N55" s="50">
        <f>VLOOKUP($A55,'Data shares'!$C:$FB,121)*100</f>
        <v>-10</v>
      </c>
      <c r="O55" s="50">
        <f>VLOOKUP($A55,'Data shares'!$C:$FB,124)</f>
        <v>0.26</v>
      </c>
      <c r="P55" s="50">
        <f>VLOOKUP($A55,'Data shares'!$C:$FB,125)</f>
        <v>0.34</v>
      </c>
      <c r="Q55" s="50">
        <f>VLOOKUP($A55,'Data shares'!$C:$FB,127)*100</f>
        <v>-23.53</v>
      </c>
    </row>
    <row r="56" spans="1:17" x14ac:dyDescent="0.25">
      <c r="A56" s="97" t="str">
        <f>'Data Vlaue (Cr)'!C51</f>
        <v>CYIENT</v>
      </c>
      <c r="B56" s="140">
        <f>VLOOKUP($A56,'Data shares'!$C:$FB,7)</f>
        <v>1180.5999999999999</v>
      </c>
      <c r="C56" s="140">
        <f>VLOOKUP($A56,'Data shares'!$C:$FB,3)</f>
        <v>1172.2</v>
      </c>
      <c r="D56" s="140">
        <f>VLOOKUP($A56,'Data shares'!$C:$FB,4)</f>
        <v>1119.4000000000001</v>
      </c>
      <c r="E56" s="50">
        <f t="shared" si="0"/>
        <v>4.7168125781668708</v>
      </c>
      <c r="F56" s="49">
        <f>VLOOKUP($A56,'Data shares'!$C:$FB,98)</f>
        <v>11398925</v>
      </c>
      <c r="G56" s="49">
        <f>VLOOKUP($A56,'Data shares'!$C:$FB,99)</f>
        <v>8825550</v>
      </c>
      <c r="H56" s="50">
        <f t="shared" si="1"/>
        <v>29.158239429837234</v>
      </c>
      <c r="I56" s="49">
        <f>VLOOKUP($A56,'Data shares'!$C:$FB,66)</f>
        <v>43571425</v>
      </c>
      <c r="J56" s="49">
        <f>VLOOKUP($A56,'Data shares'!$C:$FB,67)</f>
        <v>10084400</v>
      </c>
      <c r="K56" s="50">
        <f t="shared" si="2"/>
        <v>76.855473512743728</v>
      </c>
      <c r="L56" s="50">
        <f>VLOOKUP($A56,'Data shares'!$C:$FB,118)</f>
        <v>0.69</v>
      </c>
      <c r="M56" s="50">
        <f>VLOOKUP($A56,'Data shares'!$C:$FB,119)</f>
        <v>0.53</v>
      </c>
      <c r="N56" s="50">
        <f>VLOOKUP($A56,'Data shares'!$C:$FB,121)*100</f>
        <v>30.19</v>
      </c>
      <c r="O56" s="50">
        <f>VLOOKUP($A56,'Data shares'!$C:$FB,124)</f>
        <v>0.6</v>
      </c>
      <c r="P56" s="50">
        <f>VLOOKUP($A56,'Data shares'!$C:$FB,125)</f>
        <v>0.86</v>
      </c>
      <c r="Q56" s="50">
        <f>VLOOKUP($A56,'Data shares'!$C:$FB,127)*100</f>
        <v>-30.23</v>
      </c>
    </row>
    <row r="57" spans="1:17" x14ac:dyDescent="0.25">
      <c r="A57" s="97" t="str">
        <f>'Data Vlaue (Cr)'!C52</f>
        <v>DABUR</v>
      </c>
      <c r="B57" s="140">
        <f>VLOOKUP($A57,'Data shares'!$C:$FB,7)</f>
        <v>500.75</v>
      </c>
      <c r="C57" s="140">
        <f>VLOOKUP($A57,'Data shares'!$C:$FB,3)</f>
        <v>501.25</v>
      </c>
      <c r="D57" s="140">
        <f>VLOOKUP($A57,'Data shares'!$C:$FB,4)</f>
        <v>494.5</v>
      </c>
      <c r="E57" s="50">
        <f t="shared" si="0"/>
        <v>1.3650151668351871</v>
      </c>
      <c r="F57" s="49">
        <f>VLOOKUP($A57,'Data shares'!$C:$FB,98)</f>
        <v>49560000</v>
      </c>
      <c r="G57" s="49">
        <f>VLOOKUP($A57,'Data shares'!$C:$FB,99)</f>
        <v>53431250</v>
      </c>
      <c r="H57" s="50">
        <f t="shared" si="1"/>
        <v>-7.245291846999649</v>
      </c>
      <c r="I57" s="49">
        <f>VLOOKUP($A57,'Data shares'!$C:$FB,66)</f>
        <v>27111250</v>
      </c>
      <c r="J57" s="49">
        <f>VLOOKUP($A57,'Data shares'!$C:$FB,67)</f>
        <v>18115000</v>
      </c>
      <c r="K57" s="50">
        <f t="shared" si="2"/>
        <v>33.182719350823</v>
      </c>
      <c r="L57" s="50">
        <f>VLOOKUP($A57,'Data shares'!$C:$FB,118)</f>
        <v>0.53</v>
      </c>
      <c r="M57" s="50">
        <f>VLOOKUP($A57,'Data shares'!$C:$FB,119)</f>
        <v>0.49</v>
      </c>
      <c r="N57" s="50">
        <f>VLOOKUP($A57,'Data shares'!$C:$FB,121)*100</f>
        <v>8.16</v>
      </c>
      <c r="O57" s="50">
        <f>VLOOKUP($A57,'Data shares'!$C:$FB,124)</f>
        <v>0.45</v>
      </c>
      <c r="P57" s="50">
        <f>VLOOKUP($A57,'Data shares'!$C:$FB,125)</f>
        <v>0.43</v>
      </c>
      <c r="Q57" s="50">
        <f>VLOOKUP($A57,'Data shares'!$C:$FB,127)*100</f>
        <v>4.6500000000000004</v>
      </c>
    </row>
    <row r="58" spans="1:17" x14ac:dyDescent="0.25">
      <c r="A58" s="97" t="str">
        <f>'Data Vlaue (Cr)'!C53</f>
        <v>DALBHARAT</v>
      </c>
      <c r="B58" s="140">
        <f>VLOOKUP($A58,'Data shares'!$C:$FB,7)</f>
        <v>2224.4</v>
      </c>
      <c r="C58" s="140">
        <f>VLOOKUP($A58,'Data shares'!$C:$FB,3)</f>
        <v>2228.1999999999998</v>
      </c>
      <c r="D58" s="140">
        <f>VLOOKUP($A58,'Data shares'!$C:$FB,4)</f>
        <v>2221.9</v>
      </c>
      <c r="E58" s="50">
        <f t="shared" si="0"/>
        <v>0.28354111346143962</v>
      </c>
      <c r="F58" s="49">
        <f>VLOOKUP($A58,'Data shares'!$C:$FB,98)</f>
        <v>3488225</v>
      </c>
      <c r="G58" s="49">
        <f>VLOOKUP($A58,'Data shares'!$C:$FB,99)</f>
        <v>3521375</v>
      </c>
      <c r="H58" s="50">
        <f t="shared" si="1"/>
        <v>-0.94139363174896173</v>
      </c>
      <c r="I58" s="49">
        <f>VLOOKUP($A58,'Data shares'!$C:$FB,66)</f>
        <v>1019850</v>
      </c>
      <c r="J58" s="49">
        <f>VLOOKUP($A58,'Data shares'!$C:$FB,67)</f>
        <v>1117025</v>
      </c>
      <c r="K58" s="50">
        <f t="shared" si="2"/>
        <v>-9.5283620140216705</v>
      </c>
      <c r="L58" s="50">
        <f>VLOOKUP($A58,'Data shares'!$C:$FB,118)</f>
        <v>0.5</v>
      </c>
      <c r="M58" s="50">
        <f>VLOOKUP($A58,'Data shares'!$C:$FB,119)</f>
        <v>0.55000000000000004</v>
      </c>
      <c r="N58" s="50">
        <f>VLOOKUP($A58,'Data shares'!$C:$FB,121)*100</f>
        <v>-9.09</v>
      </c>
      <c r="O58" s="50">
        <f>VLOOKUP($A58,'Data shares'!$C:$FB,124)</f>
        <v>0.43</v>
      </c>
      <c r="P58" s="50">
        <f>VLOOKUP($A58,'Data shares'!$C:$FB,125)</f>
        <v>0.71</v>
      </c>
      <c r="Q58" s="50">
        <f>VLOOKUP($A58,'Data shares'!$C:$FB,127)*100</f>
        <v>-39.44</v>
      </c>
    </row>
    <row r="59" spans="1:17" x14ac:dyDescent="0.25">
      <c r="A59" s="97" t="str">
        <f>'Data Vlaue (Cr)'!C54</f>
        <v>DELHIVERY</v>
      </c>
      <c r="B59" s="140">
        <f>VLOOKUP($A59,'Data shares'!$C:$FB,7)</f>
        <v>446.8</v>
      </c>
      <c r="C59" s="140">
        <f>VLOOKUP($A59,'Data shares'!$C:$FB,3)</f>
        <v>448.5</v>
      </c>
      <c r="D59" s="140">
        <f>VLOOKUP($A59,'Data shares'!$C:$FB,4)</f>
        <v>463.2</v>
      </c>
      <c r="E59" s="50">
        <f t="shared" si="0"/>
        <v>-3.1735751295336763</v>
      </c>
      <c r="F59" s="49">
        <f>VLOOKUP($A59,'Data shares'!$C:$FB,98)</f>
        <v>38671775</v>
      </c>
      <c r="G59" s="49">
        <f>VLOOKUP($A59,'Data shares'!$C:$FB,99)</f>
        <v>36327025</v>
      </c>
      <c r="H59" s="50">
        <f t="shared" si="1"/>
        <v>6.4545610327297647</v>
      </c>
      <c r="I59" s="49">
        <f>VLOOKUP($A59,'Data shares'!$C:$FB,66)</f>
        <v>34015475</v>
      </c>
      <c r="J59" s="49">
        <f>VLOOKUP($A59,'Data shares'!$C:$FB,67)</f>
        <v>22457725</v>
      </c>
      <c r="K59" s="50">
        <f t="shared" si="2"/>
        <v>33.977917403769901</v>
      </c>
      <c r="L59" s="50">
        <f>VLOOKUP($A59,'Data shares'!$C:$FB,118)</f>
        <v>0.43</v>
      </c>
      <c r="M59" s="50">
        <f>VLOOKUP($A59,'Data shares'!$C:$FB,119)</f>
        <v>0.55000000000000004</v>
      </c>
      <c r="N59" s="50">
        <f>VLOOKUP($A59,'Data shares'!$C:$FB,121)*100</f>
        <v>-21.82</v>
      </c>
      <c r="O59" s="50">
        <f>VLOOKUP($A59,'Data shares'!$C:$FB,124)</f>
        <v>0.42</v>
      </c>
      <c r="P59" s="50">
        <f>VLOOKUP($A59,'Data shares'!$C:$FB,125)</f>
        <v>0.55000000000000004</v>
      </c>
      <c r="Q59" s="50">
        <f>VLOOKUP($A59,'Data shares'!$C:$FB,127)*100</f>
        <v>-23.64</v>
      </c>
    </row>
    <row r="60" spans="1:17" x14ac:dyDescent="0.25">
      <c r="A60" s="97" t="str">
        <f>'Data Vlaue (Cr)'!C55</f>
        <v>DIVISLAB</v>
      </c>
      <c r="B60" s="140">
        <f>VLOOKUP($A60,'Data shares'!$C:$FB,7)</f>
        <v>6600.5</v>
      </c>
      <c r="C60" s="140">
        <f>VLOOKUP($A60,'Data shares'!$C:$FB,3)</f>
        <v>6615</v>
      </c>
      <c r="D60" s="140">
        <f>VLOOKUP($A60,'Data shares'!$C:$FB,4)</f>
        <v>6582</v>
      </c>
      <c r="E60" s="50">
        <f t="shared" si="0"/>
        <v>0.50136736554238837</v>
      </c>
      <c r="F60" s="49">
        <f>VLOOKUP($A60,'Data shares'!$C:$FB,98)</f>
        <v>6257000</v>
      </c>
      <c r="G60" s="49">
        <f>VLOOKUP($A60,'Data shares'!$C:$FB,99)</f>
        <v>6226900</v>
      </c>
      <c r="H60" s="50">
        <f t="shared" si="1"/>
        <v>0.48338659686200197</v>
      </c>
      <c r="I60" s="49">
        <f>VLOOKUP($A60,'Data shares'!$C:$FB,66)</f>
        <v>4802900</v>
      </c>
      <c r="J60" s="49">
        <f>VLOOKUP($A60,'Data shares'!$C:$FB,67)</f>
        <v>3412900</v>
      </c>
      <c r="K60" s="50">
        <f t="shared" si="2"/>
        <v>28.940848237523163</v>
      </c>
      <c r="L60" s="50">
        <f>VLOOKUP($A60,'Data shares'!$C:$FB,118)</f>
        <v>0.99</v>
      </c>
      <c r="M60" s="50">
        <f>VLOOKUP($A60,'Data shares'!$C:$FB,119)</f>
        <v>1.05</v>
      </c>
      <c r="N60" s="50">
        <f>VLOOKUP($A60,'Data shares'!$C:$FB,121)*100</f>
        <v>-5.71</v>
      </c>
      <c r="O60" s="50">
        <f>VLOOKUP($A60,'Data shares'!$C:$FB,124)</f>
        <v>0.59</v>
      </c>
      <c r="P60" s="50">
        <f>VLOOKUP($A60,'Data shares'!$C:$FB,125)</f>
        <v>0.7</v>
      </c>
      <c r="Q60" s="50">
        <f>VLOOKUP($A60,'Data shares'!$C:$FB,127)*100</f>
        <v>-15.709999999999999</v>
      </c>
    </row>
    <row r="61" spans="1:17" x14ac:dyDescent="0.25">
      <c r="A61" s="97" t="str">
        <f>'Data Vlaue (Cr)'!C56</f>
        <v>DIXON</v>
      </c>
      <c r="B61" s="140">
        <f>VLOOKUP($A61,'Data shares'!$C:$FB,7)</f>
        <v>16844</v>
      </c>
      <c r="C61" s="140">
        <f>VLOOKUP($A61,'Data shares'!$C:$FB,3)</f>
        <v>16911</v>
      </c>
      <c r="D61" s="140">
        <f>VLOOKUP($A61,'Data shares'!$C:$FB,4)</f>
        <v>16848</v>
      </c>
      <c r="E61" s="50">
        <f t="shared" si="0"/>
        <v>0.37393162393162394</v>
      </c>
      <c r="F61" s="49">
        <f>VLOOKUP($A61,'Data shares'!$C:$FB,98)</f>
        <v>3578700</v>
      </c>
      <c r="G61" s="49">
        <f>VLOOKUP($A61,'Data shares'!$C:$FB,99)</f>
        <v>3553000</v>
      </c>
      <c r="H61" s="50">
        <f t="shared" si="1"/>
        <v>0.72333239515902059</v>
      </c>
      <c r="I61" s="49">
        <f>VLOOKUP($A61,'Data shares'!$C:$FB,66)</f>
        <v>2872350</v>
      </c>
      <c r="J61" s="49">
        <f>VLOOKUP($A61,'Data shares'!$C:$FB,67)</f>
        <v>4622550</v>
      </c>
      <c r="K61" s="50">
        <f t="shared" si="2"/>
        <v>-60.932685779936293</v>
      </c>
      <c r="L61" s="50">
        <f>VLOOKUP($A61,'Data shares'!$C:$FB,118)</f>
        <v>0.66</v>
      </c>
      <c r="M61" s="50">
        <f>VLOOKUP($A61,'Data shares'!$C:$FB,119)</f>
        <v>0.64</v>
      </c>
      <c r="N61" s="50">
        <f>VLOOKUP($A61,'Data shares'!$C:$FB,121)*100</f>
        <v>3.1300000000000003</v>
      </c>
      <c r="O61" s="50">
        <f>VLOOKUP($A61,'Data shares'!$C:$FB,124)</f>
        <v>0.55000000000000004</v>
      </c>
      <c r="P61" s="50">
        <f>VLOOKUP($A61,'Data shares'!$C:$FB,125)</f>
        <v>0.53</v>
      </c>
      <c r="Q61" s="50">
        <f>VLOOKUP($A61,'Data shares'!$C:$FB,127)*100</f>
        <v>3.7699999999999996</v>
      </c>
    </row>
    <row r="62" spans="1:17" x14ac:dyDescent="0.25">
      <c r="A62" s="97" t="str">
        <f>'Data Vlaue (Cr)'!C57</f>
        <v>DLF</v>
      </c>
      <c r="B62" s="140">
        <f>VLOOKUP($A62,'Data shares'!$C:$FB,7)</f>
        <v>769.7</v>
      </c>
      <c r="C62" s="140">
        <f>VLOOKUP($A62,'Data shares'!$C:$FB,3)</f>
        <v>770.7</v>
      </c>
      <c r="D62" s="140">
        <f>VLOOKUP($A62,'Data shares'!$C:$FB,4)</f>
        <v>757.65</v>
      </c>
      <c r="E62" s="50">
        <f t="shared" si="0"/>
        <v>1.7224312017422381</v>
      </c>
      <c r="F62" s="49">
        <f>VLOOKUP($A62,'Data shares'!$C:$FB,98)</f>
        <v>63087750</v>
      </c>
      <c r="G62" s="49">
        <f>VLOOKUP($A62,'Data shares'!$C:$FB,99)</f>
        <v>64261725</v>
      </c>
      <c r="H62" s="50">
        <f t="shared" si="1"/>
        <v>-1.8268650584776551</v>
      </c>
      <c r="I62" s="49">
        <f>VLOOKUP($A62,'Data shares'!$C:$FB,66)</f>
        <v>43119450</v>
      </c>
      <c r="J62" s="49">
        <f>VLOOKUP($A62,'Data shares'!$C:$FB,67)</f>
        <v>67719300</v>
      </c>
      <c r="K62" s="50">
        <f t="shared" si="2"/>
        <v>-57.050472582558456</v>
      </c>
      <c r="L62" s="50">
        <f>VLOOKUP($A62,'Data shares'!$C:$FB,118)</f>
        <v>0.7</v>
      </c>
      <c r="M62" s="50">
        <f>VLOOKUP($A62,'Data shares'!$C:$FB,119)</f>
        <v>0.69</v>
      </c>
      <c r="N62" s="50">
        <f>VLOOKUP($A62,'Data shares'!$C:$FB,121)*100</f>
        <v>1.4500000000000002</v>
      </c>
      <c r="O62" s="50">
        <f>VLOOKUP($A62,'Data shares'!$C:$FB,124)</f>
        <v>0.41</v>
      </c>
      <c r="P62" s="50">
        <f>VLOOKUP($A62,'Data shares'!$C:$FB,125)</f>
        <v>0.45</v>
      </c>
      <c r="Q62" s="50">
        <f>VLOOKUP($A62,'Data shares'!$C:$FB,127)*100</f>
        <v>-8.89</v>
      </c>
    </row>
    <row r="63" spans="1:17" x14ac:dyDescent="0.25">
      <c r="A63" s="97" t="str">
        <f>'Data Vlaue (Cr)'!C58</f>
        <v>DMART</v>
      </c>
      <c r="B63" s="140">
        <f>VLOOKUP($A63,'Data shares'!$C:$FB,7)</f>
        <v>4316.1000000000004</v>
      </c>
      <c r="C63" s="140">
        <f>VLOOKUP($A63,'Data shares'!$C:$FB,3)</f>
        <v>4321.7</v>
      </c>
      <c r="D63" s="140">
        <f>VLOOKUP($A63,'Data shares'!$C:$FB,4)</f>
        <v>4270.5</v>
      </c>
      <c r="E63" s="50">
        <f t="shared" si="0"/>
        <v>1.1989228427584548</v>
      </c>
      <c r="F63" s="49">
        <f>VLOOKUP($A63,'Data shares'!$C:$FB,98)</f>
        <v>11278950</v>
      </c>
      <c r="G63" s="49">
        <f>VLOOKUP($A63,'Data shares'!$C:$FB,99)</f>
        <v>11887800</v>
      </c>
      <c r="H63" s="50">
        <f t="shared" si="1"/>
        <v>-5.1216373088376317</v>
      </c>
      <c r="I63" s="49">
        <f>VLOOKUP($A63,'Data shares'!$C:$FB,66)</f>
        <v>7868850</v>
      </c>
      <c r="J63" s="49">
        <f>VLOOKUP($A63,'Data shares'!$C:$FB,67)</f>
        <v>5199600</v>
      </c>
      <c r="K63" s="50">
        <f t="shared" si="2"/>
        <v>33.921729350540417</v>
      </c>
      <c r="L63" s="50">
        <f>VLOOKUP($A63,'Data shares'!$C:$FB,118)</f>
        <v>0.43</v>
      </c>
      <c r="M63" s="50">
        <f>VLOOKUP($A63,'Data shares'!$C:$FB,119)</f>
        <v>0.39</v>
      </c>
      <c r="N63" s="50">
        <f>VLOOKUP($A63,'Data shares'!$C:$FB,121)*100</f>
        <v>10.26</v>
      </c>
      <c r="O63" s="50">
        <f>VLOOKUP($A63,'Data shares'!$C:$FB,124)</f>
        <v>0.35</v>
      </c>
      <c r="P63" s="50">
        <f>VLOOKUP($A63,'Data shares'!$C:$FB,125)</f>
        <v>0.34</v>
      </c>
      <c r="Q63" s="50">
        <f>VLOOKUP($A63,'Data shares'!$C:$FB,127)*100</f>
        <v>2.94</v>
      </c>
    </row>
    <row r="64" spans="1:17" x14ac:dyDescent="0.25">
      <c r="A64" s="97" t="str">
        <f>'Data Vlaue (Cr)'!C59</f>
        <v>DRREDDY</v>
      </c>
      <c r="B64" s="140">
        <f>VLOOKUP($A64,'Data shares'!$C:$FB,7)</f>
        <v>1240.2</v>
      </c>
      <c r="C64" s="140">
        <f>VLOOKUP($A64,'Data shares'!$C:$FB,3)</f>
        <v>1245.3</v>
      </c>
      <c r="D64" s="140">
        <f>VLOOKUP($A64,'Data shares'!$C:$FB,4)</f>
        <v>1237.9000000000001</v>
      </c>
      <c r="E64" s="50">
        <f t="shared" si="0"/>
        <v>0.59778657403666391</v>
      </c>
      <c r="F64" s="49">
        <f>VLOOKUP($A64,'Data shares'!$C:$FB,98)</f>
        <v>23052500</v>
      </c>
      <c r="G64" s="49">
        <f>VLOOKUP($A64,'Data shares'!$C:$FB,99)</f>
        <v>22726875</v>
      </c>
      <c r="H64" s="50">
        <f t="shared" si="1"/>
        <v>1.4327750735637874</v>
      </c>
      <c r="I64" s="49">
        <f>VLOOKUP($A64,'Data shares'!$C:$FB,66)</f>
        <v>5919375</v>
      </c>
      <c r="J64" s="49">
        <f>VLOOKUP($A64,'Data shares'!$C:$FB,67)</f>
        <v>7452500</v>
      </c>
      <c r="K64" s="50">
        <f t="shared" si="2"/>
        <v>-25.900116144018583</v>
      </c>
      <c r="L64" s="50">
        <f>VLOOKUP($A64,'Data shares'!$C:$FB,118)</f>
        <v>0.49</v>
      </c>
      <c r="M64" s="50">
        <f>VLOOKUP($A64,'Data shares'!$C:$FB,119)</f>
        <v>0.49</v>
      </c>
      <c r="N64" s="50">
        <f>VLOOKUP($A64,'Data shares'!$C:$FB,121)*100</f>
        <v>0</v>
      </c>
      <c r="O64" s="50">
        <f>VLOOKUP($A64,'Data shares'!$C:$FB,124)</f>
        <v>0.43</v>
      </c>
      <c r="P64" s="50">
        <f>VLOOKUP($A64,'Data shares'!$C:$FB,125)</f>
        <v>0.55000000000000004</v>
      </c>
      <c r="Q64" s="50">
        <f>VLOOKUP($A64,'Data shares'!$C:$FB,127)*100</f>
        <v>-21.82</v>
      </c>
    </row>
    <row r="65" spans="1:17" x14ac:dyDescent="0.25">
      <c r="A65" s="97" t="str">
        <f>'Data Vlaue (Cr)'!C60</f>
        <v>EICHERMOT</v>
      </c>
      <c r="B65" s="140">
        <f>VLOOKUP($A65,'Data shares'!$C:$FB,7)</f>
        <v>6988</v>
      </c>
      <c r="C65" s="140">
        <f>VLOOKUP($A65,'Data shares'!$C:$FB,3)</f>
        <v>7014.5</v>
      </c>
      <c r="D65" s="140">
        <f>VLOOKUP($A65,'Data shares'!$C:$FB,4)</f>
        <v>6925</v>
      </c>
      <c r="E65" s="50">
        <f t="shared" si="0"/>
        <v>1.2924187725631768</v>
      </c>
      <c r="F65" s="49">
        <f>VLOOKUP($A65,'Data shares'!$C:$FB,98)</f>
        <v>7069475</v>
      </c>
      <c r="G65" s="49">
        <f>VLOOKUP($A65,'Data shares'!$C:$FB,99)</f>
        <v>7278950</v>
      </c>
      <c r="H65" s="50">
        <f t="shared" si="1"/>
        <v>-2.8778189161898351</v>
      </c>
      <c r="I65" s="49">
        <f>VLOOKUP($A65,'Data shares'!$C:$FB,66)</f>
        <v>6445075</v>
      </c>
      <c r="J65" s="49">
        <f>VLOOKUP($A65,'Data shares'!$C:$FB,67)</f>
        <v>3407950</v>
      </c>
      <c r="K65" s="50">
        <f t="shared" si="2"/>
        <v>47.123190963642777</v>
      </c>
      <c r="L65" s="50">
        <f>VLOOKUP($A65,'Data shares'!$C:$FB,118)</f>
        <v>0.75</v>
      </c>
      <c r="M65" s="50">
        <f>VLOOKUP($A65,'Data shares'!$C:$FB,119)</f>
        <v>0.69</v>
      </c>
      <c r="N65" s="50">
        <f>VLOOKUP($A65,'Data shares'!$C:$FB,121)*100</f>
        <v>8.6999999999999993</v>
      </c>
      <c r="O65" s="50">
        <f>VLOOKUP($A65,'Data shares'!$C:$FB,124)</f>
        <v>0.37</v>
      </c>
      <c r="P65" s="50">
        <f>VLOOKUP($A65,'Data shares'!$C:$FB,125)</f>
        <v>0.51</v>
      </c>
      <c r="Q65" s="50">
        <f>VLOOKUP($A65,'Data shares'!$C:$FB,127)*100</f>
        <v>-27.450000000000003</v>
      </c>
    </row>
    <row r="66" spans="1:17" x14ac:dyDescent="0.25">
      <c r="A66" s="97" t="str">
        <f>'Data Vlaue (Cr)'!C61</f>
        <v>ETERNAL</v>
      </c>
      <c r="B66" s="140">
        <f>VLOOKUP($A66,'Data shares'!$C:$FB,7)</f>
        <v>347.85</v>
      </c>
      <c r="C66" s="140">
        <f>VLOOKUP($A66,'Data shares'!$C:$FB,3)</f>
        <v>348.25</v>
      </c>
      <c r="D66" s="140">
        <f>VLOOKUP($A66,'Data shares'!$C:$FB,4)</f>
        <v>355.15</v>
      </c>
      <c r="E66" s="50">
        <f t="shared" si="0"/>
        <v>-1.9428410530761588</v>
      </c>
      <c r="F66" s="49">
        <f>VLOOKUP($A66,'Data shares'!$C:$FB,98)</f>
        <v>366344750</v>
      </c>
      <c r="G66" s="49">
        <f>VLOOKUP($A66,'Data shares'!$C:$FB,99)</f>
        <v>334642725</v>
      </c>
      <c r="H66" s="50">
        <f t="shared" si="1"/>
        <v>9.4733943491525174</v>
      </c>
      <c r="I66" s="49">
        <f>VLOOKUP($A66,'Data shares'!$C:$FB,66)</f>
        <v>1080478150</v>
      </c>
      <c r="J66" s="49">
        <f>VLOOKUP($A66,'Data shares'!$C:$FB,67)</f>
        <v>161374050</v>
      </c>
      <c r="K66" s="50">
        <f t="shared" si="2"/>
        <v>85.064570718065895</v>
      </c>
      <c r="L66" s="50">
        <f>VLOOKUP($A66,'Data shares'!$C:$FB,118)</f>
        <v>0.62</v>
      </c>
      <c r="M66" s="50">
        <f>VLOOKUP($A66,'Data shares'!$C:$FB,119)</f>
        <v>0.71</v>
      </c>
      <c r="N66" s="50">
        <f>VLOOKUP($A66,'Data shares'!$C:$FB,121)*100</f>
        <v>-12.68</v>
      </c>
      <c r="O66" s="50">
        <f>VLOOKUP($A66,'Data shares'!$C:$FB,124)</f>
        <v>0.61</v>
      </c>
      <c r="P66" s="50">
        <f>VLOOKUP($A66,'Data shares'!$C:$FB,125)</f>
        <v>0.44</v>
      </c>
      <c r="Q66" s="50">
        <f>VLOOKUP($A66,'Data shares'!$C:$FB,127)*100</f>
        <v>38.64</v>
      </c>
    </row>
    <row r="67" spans="1:17" x14ac:dyDescent="0.25">
      <c r="A67" s="97" t="str">
        <f>'Data Vlaue (Cr)'!C62</f>
        <v>EXIDEIND</v>
      </c>
      <c r="B67" s="140">
        <f>VLOOKUP($A67,'Data shares'!$C:$FB,7)</f>
        <v>397.85</v>
      </c>
      <c r="C67" s="140">
        <f>VLOOKUP($A67,'Data shares'!$C:$FB,3)</f>
        <v>398.95</v>
      </c>
      <c r="D67" s="140">
        <f>VLOOKUP($A67,'Data shares'!$C:$FB,4)</f>
        <v>392.35</v>
      </c>
      <c r="E67" s="50">
        <f t="shared" si="0"/>
        <v>1.6821715305212097</v>
      </c>
      <c r="F67" s="49">
        <f>VLOOKUP($A67,'Data shares'!$C:$FB,98)</f>
        <v>52628400</v>
      </c>
      <c r="G67" s="49">
        <f>VLOOKUP($A67,'Data shares'!$C:$FB,99)</f>
        <v>52882200</v>
      </c>
      <c r="H67" s="50">
        <f t="shared" si="1"/>
        <v>-0.47993464719697743</v>
      </c>
      <c r="I67" s="49">
        <f>VLOOKUP($A67,'Data shares'!$C:$FB,66)</f>
        <v>30839400</v>
      </c>
      <c r="J67" s="49">
        <f>VLOOKUP($A67,'Data shares'!$C:$FB,67)</f>
        <v>17427600</v>
      </c>
      <c r="K67" s="50">
        <f t="shared" si="2"/>
        <v>43.489172941107803</v>
      </c>
      <c r="L67" s="50">
        <f>VLOOKUP($A67,'Data shares'!$C:$FB,118)</f>
        <v>0.67</v>
      </c>
      <c r="M67" s="50">
        <f>VLOOKUP($A67,'Data shares'!$C:$FB,119)</f>
        <v>0.64</v>
      </c>
      <c r="N67" s="50">
        <f>VLOOKUP($A67,'Data shares'!$C:$FB,121)*100</f>
        <v>4.6899999999999995</v>
      </c>
      <c r="O67" s="50">
        <f>VLOOKUP($A67,'Data shares'!$C:$FB,124)</f>
        <v>0.53</v>
      </c>
      <c r="P67" s="50">
        <f>VLOOKUP($A67,'Data shares'!$C:$FB,125)</f>
        <v>0.64</v>
      </c>
      <c r="Q67" s="50">
        <f>VLOOKUP($A67,'Data shares'!$C:$FB,127)*100</f>
        <v>-17.190000000000001</v>
      </c>
    </row>
    <row r="68" spans="1:17" x14ac:dyDescent="0.25">
      <c r="A68" s="97" t="str">
        <f>'Data Vlaue (Cr)'!C63</f>
        <v>FEDERALBNK</v>
      </c>
      <c r="B68" s="140">
        <f>VLOOKUP($A68,'Data shares'!$C:$FB,7)</f>
        <v>214.5</v>
      </c>
      <c r="C68" s="140">
        <f>VLOOKUP($A68,'Data shares'!$C:$FB,3)</f>
        <v>215.29</v>
      </c>
      <c r="D68" s="140">
        <f>VLOOKUP($A68,'Data shares'!$C:$FB,4)</f>
        <v>217.25</v>
      </c>
      <c r="E68" s="50">
        <f t="shared" si="0"/>
        <v>-0.90218642117376668</v>
      </c>
      <c r="F68" s="49">
        <f>VLOOKUP($A68,'Data shares'!$C:$FB,98)</f>
        <v>214680000</v>
      </c>
      <c r="G68" s="49">
        <f>VLOOKUP($A68,'Data shares'!$C:$FB,99)</f>
        <v>211885000</v>
      </c>
      <c r="H68" s="50">
        <f t="shared" si="1"/>
        <v>1.3191117823347571</v>
      </c>
      <c r="I68" s="49">
        <f>VLOOKUP($A68,'Data shares'!$C:$FB,66)</f>
        <v>110465000</v>
      </c>
      <c r="J68" s="49">
        <f>VLOOKUP($A68,'Data shares'!$C:$FB,67)</f>
        <v>170645000</v>
      </c>
      <c r="K68" s="50">
        <f t="shared" si="2"/>
        <v>-54.478794188204404</v>
      </c>
      <c r="L68" s="50">
        <f>VLOOKUP($A68,'Data shares'!$C:$FB,118)</f>
        <v>0.66</v>
      </c>
      <c r="M68" s="50">
        <f>VLOOKUP($A68,'Data shares'!$C:$FB,119)</f>
        <v>0.65</v>
      </c>
      <c r="N68" s="50">
        <f>VLOOKUP($A68,'Data shares'!$C:$FB,121)*100</f>
        <v>1.54</v>
      </c>
      <c r="O68" s="50">
        <f>VLOOKUP($A68,'Data shares'!$C:$FB,124)</f>
        <v>0.45</v>
      </c>
      <c r="P68" s="50">
        <f>VLOOKUP($A68,'Data shares'!$C:$FB,125)</f>
        <v>0.47</v>
      </c>
      <c r="Q68" s="50">
        <f>VLOOKUP($A68,'Data shares'!$C:$FB,127)*100</f>
        <v>-4.26</v>
      </c>
    </row>
    <row r="69" spans="1:17" x14ac:dyDescent="0.25">
      <c r="A69" s="97" t="str">
        <f>'Data Vlaue (Cr)'!C64</f>
        <v>FINNIFTY</v>
      </c>
      <c r="B69" s="140">
        <f>VLOOKUP($A69,'Data shares'!$C:$FB,7)</f>
        <v>27381.200000000001</v>
      </c>
      <c r="C69" s="140">
        <f>VLOOKUP($A69,'Data shares'!$C:$FB,3)</f>
        <v>27409.4</v>
      </c>
      <c r="D69" s="140">
        <f>VLOOKUP($A69,'Data shares'!$C:$FB,4)</f>
        <v>27165.7</v>
      </c>
      <c r="E69" s="50">
        <f t="shared" si="0"/>
        <v>0.89708713561587117</v>
      </c>
      <c r="F69" s="49">
        <f>VLOOKUP($A69,'Data shares'!$C:$FB,98)</f>
        <v>2049125</v>
      </c>
      <c r="G69" s="49">
        <f>VLOOKUP($A69,'Data shares'!$C:$FB,99)</f>
        <v>2097030</v>
      </c>
      <c r="H69" s="50">
        <f t="shared" si="1"/>
        <v>-2.2844213006013265</v>
      </c>
      <c r="I69" s="49">
        <f>VLOOKUP($A69,'Data shares'!$C:$FB,66)</f>
        <v>5787795</v>
      </c>
      <c r="J69" s="49">
        <f>VLOOKUP($A69,'Data shares'!$C:$FB,67)</f>
        <v>4773340</v>
      </c>
      <c r="K69" s="50">
        <f t="shared" si="2"/>
        <v>17.527486719899375</v>
      </c>
      <c r="L69" s="50">
        <f>VLOOKUP($A69,'Data shares'!$C:$FB,118)</f>
        <v>0.94</v>
      </c>
      <c r="M69" s="50">
        <f>VLOOKUP($A69,'Data shares'!$C:$FB,119)</f>
        <v>0.8</v>
      </c>
      <c r="N69" s="50">
        <f>VLOOKUP($A69,'Data shares'!$C:$FB,121)*100</f>
        <v>17.5</v>
      </c>
      <c r="O69" s="50">
        <f>VLOOKUP($A69,'Data shares'!$C:$FB,124)</f>
        <v>0.6</v>
      </c>
      <c r="P69" s="50">
        <f>VLOOKUP($A69,'Data shares'!$C:$FB,125)</f>
        <v>0.75</v>
      </c>
      <c r="Q69" s="50">
        <f>VLOOKUP($A69,'Data shares'!$C:$FB,127)*100</f>
        <v>-20</v>
      </c>
    </row>
    <row r="70" spans="1:17" x14ac:dyDescent="0.25">
      <c r="A70" s="97" t="str">
        <f>'Data Vlaue (Cr)'!C65</f>
        <v>FORTIS</v>
      </c>
      <c r="B70" s="140">
        <f>VLOOKUP($A70,'Data shares'!$C:$FB,7)</f>
        <v>1095.25</v>
      </c>
      <c r="C70" s="140">
        <f>VLOOKUP($A70,'Data shares'!$C:$FB,3)</f>
        <v>1099.3</v>
      </c>
      <c r="D70" s="140">
        <f>VLOOKUP($A70,'Data shares'!$C:$FB,4)</f>
        <v>1092.1500000000001</v>
      </c>
      <c r="E70" s="50">
        <f t="shared" si="0"/>
        <v>0.65467197729248394</v>
      </c>
      <c r="F70" s="49">
        <f>VLOOKUP($A70,'Data shares'!$C:$FB,98)</f>
        <v>15782875</v>
      </c>
      <c r="G70" s="49">
        <f>VLOOKUP($A70,'Data shares'!$C:$FB,99)</f>
        <v>16012275</v>
      </c>
      <c r="H70" s="50">
        <f t="shared" si="1"/>
        <v>-1.4326508881467499</v>
      </c>
      <c r="I70" s="49">
        <f>VLOOKUP($A70,'Data shares'!$C:$FB,66)</f>
        <v>8194075</v>
      </c>
      <c r="J70" s="49">
        <f>VLOOKUP($A70,'Data shares'!$C:$FB,67)</f>
        <v>7634525</v>
      </c>
      <c r="K70" s="50">
        <f t="shared" si="2"/>
        <v>6.8287146505249225</v>
      </c>
      <c r="L70" s="50">
        <f>VLOOKUP($A70,'Data shares'!$C:$FB,118)</f>
        <v>0.83</v>
      </c>
      <c r="M70" s="50">
        <f>VLOOKUP($A70,'Data shares'!$C:$FB,119)</f>
        <v>0.79</v>
      </c>
      <c r="N70" s="50">
        <f>VLOOKUP($A70,'Data shares'!$C:$FB,121)*100</f>
        <v>5.0599999999999996</v>
      </c>
      <c r="O70" s="50">
        <f>VLOOKUP($A70,'Data shares'!$C:$FB,124)</f>
        <v>0.49</v>
      </c>
      <c r="P70" s="50">
        <f>VLOOKUP($A70,'Data shares'!$C:$FB,125)</f>
        <v>0.59</v>
      </c>
      <c r="Q70" s="50">
        <f>VLOOKUP($A70,'Data shares'!$C:$FB,127)*100</f>
        <v>-16.950000000000003</v>
      </c>
    </row>
    <row r="71" spans="1:17" x14ac:dyDescent="0.25">
      <c r="A71" s="97" t="str">
        <f>'Data Vlaue (Cr)'!C66</f>
        <v>GAIL</v>
      </c>
      <c r="B71" s="140">
        <f>VLOOKUP($A71,'Data shares'!$C:$FB,7)</f>
        <v>179.17</v>
      </c>
      <c r="C71" s="140">
        <f>VLOOKUP($A71,'Data shares'!$C:$FB,3)</f>
        <v>179.38</v>
      </c>
      <c r="D71" s="140">
        <f>VLOOKUP($A71,'Data shares'!$C:$FB,4)</f>
        <v>177.52</v>
      </c>
      <c r="E71" s="50">
        <f t="shared" si="0"/>
        <v>1.047769265434872</v>
      </c>
      <c r="F71" s="49">
        <f>VLOOKUP($A71,'Data shares'!$C:$FB,98)</f>
        <v>162149400</v>
      </c>
      <c r="G71" s="49">
        <f>VLOOKUP($A71,'Data shares'!$C:$FB,99)</f>
        <v>166575150</v>
      </c>
      <c r="H71" s="50">
        <f t="shared" si="1"/>
        <v>-2.656908908681757</v>
      </c>
      <c r="I71" s="49">
        <f>VLOOKUP($A71,'Data shares'!$C:$FB,66)</f>
        <v>74796750</v>
      </c>
      <c r="J71" s="49">
        <f>VLOOKUP($A71,'Data shares'!$C:$FB,67)</f>
        <v>68125050</v>
      </c>
      <c r="K71" s="50">
        <f t="shared" si="2"/>
        <v>8.9197725837018318</v>
      </c>
      <c r="L71" s="50">
        <f>VLOOKUP($A71,'Data shares'!$C:$FB,118)</f>
        <v>0.61</v>
      </c>
      <c r="M71" s="50">
        <f>VLOOKUP($A71,'Data shares'!$C:$FB,119)</f>
        <v>0.59</v>
      </c>
      <c r="N71" s="50">
        <f>VLOOKUP($A71,'Data shares'!$C:$FB,121)*100</f>
        <v>3.39</v>
      </c>
      <c r="O71" s="50">
        <f>VLOOKUP($A71,'Data shares'!$C:$FB,124)</f>
        <v>0.55000000000000004</v>
      </c>
      <c r="P71" s="50">
        <f>VLOOKUP($A71,'Data shares'!$C:$FB,125)</f>
        <v>0.47</v>
      </c>
      <c r="Q71" s="50">
        <f>VLOOKUP($A71,'Data shares'!$C:$FB,127)*100</f>
        <v>17.02</v>
      </c>
    </row>
    <row r="72" spans="1:17" x14ac:dyDescent="0.25">
      <c r="A72" s="97" t="str">
        <f>'Data Vlaue (Cr)'!C67</f>
        <v>GLENMARK</v>
      </c>
      <c r="B72" s="140">
        <f>VLOOKUP($A72,'Data shares'!$C:$FB,7)</f>
        <v>1864.4</v>
      </c>
      <c r="C72" s="140">
        <f>VLOOKUP($A72,'Data shares'!$C:$FB,3)</f>
        <v>1872.6</v>
      </c>
      <c r="D72" s="140">
        <f>VLOOKUP($A72,'Data shares'!$C:$FB,4)</f>
        <v>1897.8</v>
      </c>
      <c r="E72" s="50">
        <f t="shared" ref="E72:E135" si="3">(C72-D72)/D72*100</f>
        <v>-1.3278533038254845</v>
      </c>
      <c r="F72" s="49">
        <f>VLOOKUP($A72,'Data shares'!$C:$FB,98)</f>
        <v>11821500</v>
      </c>
      <c r="G72" s="49">
        <f>VLOOKUP($A72,'Data shares'!$C:$FB,99)</f>
        <v>11520375</v>
      </c>
      <c r="H72" s="50">
        <f t="shared" ref="H72:H135" si="4">(F72-G72)/G72*100</f>
        <v>2.6138472054946127</v>
      </c>
      <c r="I72" s="49">
        <f>VLOOKUP($A72,'Data shares'!$C:$FB,66)</f>
        <v>4828875</v>
      </c>
      <c r="J72" s="49">
        <f>VLOOKUP($A72,'Data shares'!$C:$FB,67)</f>
        <v>3418875</v>
      </c>
      <c r="K72" s="50">
        <f t="shared" ref="K72:K135" si="5">(I72-J72)/I72*100</f>
        <v>29.199347674147706</v>
      </c>
      <c r="L72" s="50">
        <f>VLOOKUP($A72,'Data shares'!$C:$FB,118)</f>
        <v>0.47</v>
      </c>
      <c r="M72" s="50">
        <f>VLOOKUP($A72,'Data shares'!$C:$FB,119)</f>
        <v>0.53</v>
      </c>
      <c r="N72" s="50">
        <f>VLOOKUP($A72,'Data shares'!$C:$FB,121)*100</f>
        <v>-11.32</v>
      </c>
      <c r="O72" s="50">
        <f>VLOOKUP($A72,'Data shares'!$C:$FB,124)</f>
        <v>0.45</v>
      </c>
      <c r="P72" s="50">
        <f>VLOOKUP($A72,'Data shares'!$C:$FB,125)</f>
        <v>0.47</v>
      </c>
      <c r="Q72" s="50">
        <f>VLOOKUP($A72,'Data shares'!$C:$FB,127)*100</f>
        <v>-4.26</v>
      </c>
    </row>
    <row r="73" spans="1:17" x14ac:dyDescent="0.25">
      <c r="A73" s="97" t="str">
        <f>'Data Vlaue (Cr)'!C68</f>
        <v>GMRAIRPORT</v>
      </c>
      <c r="B73" s="140">
        <f>VLOOKUP($A73,'Data shares'!$C:$FB,7)</f>
        <v>90.87</v>
      </c>
      <c r="C73" s="140">
        <f>VLOOKUP($A73,'Data shares'!$C:$FB,3)</f>
        <v>90.97</v>
      </c>
      <c r="D73" s="140">
        <f>VLOOKUP($A73,'Data shares'!$C:$FB,4)</f>
        <v>90.32</v>
      </c>
      <c r="E73" s="50">
        <f t="shared" si="3"/>
        <v>0.71966341895483366</v>
      </c>
      <c r="F73" s="49">
        <f>VLOOKUP($A73,'Data shares'!$C:$FB,98)</f>
        <v>341077500</v>
      </c>
      <c r="G73" s="49">
        <f>VLOOKUP($A73,'Data shares'!$C:$FB,99)</f>
        <v>336794850</v>
      </c>
      <c r="H73" s="50">
        <f t="shared" si="4"/>
        <v>1.2715901089342667</v>
      </c>
      <c r="I73" s="49">
        <f>VLOOKUP($A73,'Data shares'!$C:$FB,66)</f>
        <v>92676825</v>
      </c>
      <c r="J73" s="49">
        <f>VLOOKUP($A73,'Data shares'!$C:$FB,67)</f>
        <v>61686900</v>
      </c>
      <c r="K73" s="50">
        <f t="shared" si="5"/>
        <v>33.438699480695419</v>
      </c>
      <c r="L73" s="50">
        <f>VLOOKUP($A73,'Data shares'!$C:$FB,118)</f>
        <v>0.5</v>
      </c>
      <c r="M73" s="50">
        <f>VLOOKUP($A73,'Data shares'!$C:$FB,119)</f>
        <v>0.48</v>
      </c>
      <c r="N73" s="50">
        <f>VLOOKUP($A73,'Data shares'!$C:$FB,121)*100</f>
        <v>4.17</v>
      </c>
      <c r="O73" s="50">
        <f>VLOOKUP($A73,'Data shares'!$C:$FB,124)</f>
        <v>0.53</v>
      </c>
      <c r="P73" s="50">
        <f>VLOOKUP($A73,'Data shares'!$C:$FB,125)</f>
        <v>0.38</v>
      </c>
      <c r="Q73" s="50">
        <f>VLOOKUP($A73,'Data shares'!$C:$FB,127)*100</f>
        <v>39.47</v>
      </c>
    </row>
    <row r="74" spans="1:17" x14ac:dyDescent="0.25">
      <c r="A74" s="97" t="str">
        <f>'Data Vlaue (Cr)'!C69</f>
        <v>GODREJCP</v>
      </c>
      <c r="B74" s="140">
        <f>VLOOKUP($A74,'Data shares'!$C:$FB,7)</f>
        <v>1120.0999999999999</v>
      </c>
      <c r="C74" s="140">
        <f>VLOOKUP($A74,'Data shares'!$C:$FB,3)</f>
        <v>1122.9000000000001</v>
      </c>
      <c r="D74" s="140">
        <f>VLOOKUP($A74,'Data shares'!$C:$FB,4)</f>
        <v>1113</v>
      </c>
      <c r="E74" s="50">
        <f t="shared" si="3"/>
        <v>0.88948787061995438</v>
      </c>
      <c r="F74" s="49">
        <f>VLOOKUP($A74,'Data shares'!$C:$FB,98)</f>
        <v>19329500</v>
      </c>
      <c r="G74" s="49">
        <f>VLOOKUP($A74,'Data shares'!$C:$FB,99)</f>
        <v>18583500</v>
      </c>
      <c r="H74" s="50">
        <f t="shared" si="4"/>
        <v>4.0143137729706453</v>
      </c>
      <c r="I74" s="49">
        <f>VLOOKUP($A74,'Data shares'!$C:$FB,66)</f>
        <v>7805500</v>
      </c>
      <c r="J74" s="49">
        <f>VLOOKUP($A74,'Data shares'!$C:$FB,67)</f>
        <v>4139500</v>
      </c>
      <c r="K74" s="50">
        <f t="shared" si="5"/>
        <v>46.966882326564601</v>
      </c>
      <c r="L74" s="50">
        <f>VLOOKUP($A74,'Data shares'!$C:$FB,118)</f>
        <v>0.45</v>
      </c>
      <c r="M74" s="50">
        <f>VLOOKUP($A74,'Data shares'!$C:$FB,119)</f>
        <v>0.5</v>
      </c>
      <c r="N74" s="50">
        <f>VLOOKUP($A74,'Data shares'!$C:$FB,121)*100</f>
        <v>-10</v>
      </c>
      <c r="O74" s="50">
        <f>VLOOKUP($A74,'Data shares'!$C:$FB,124)</f>
        <v>0.2</v>
      </c>
      <c r="P74" s="50">
        <f>VLOOKUP($A74,'Data shares'!$C:$FB,125)</f>
        <v>0.36</v>
      </c>
      <c r="Q74" s="50">
        <f>VLOOKUP($A74,'Data shares'!$C:$FB,127)*100</f>
        <v>-44.440000000000005</v>
      </c>
    </row>
    <row r="75" spans="1:17" x14ac:dyDescent="0.25">
      <c r="A75" s="97" t="str">
        <f>'Data Vlaue (Cr)'!C70</f>
        <v>GODREJPROP</v>
      </c>
      <c r="B75" s="140">
        <f>VLOOKUP($A75,'Data shares'!$C:$FB,7)</f>
        <v>2205.3000000000002</v>
      </c>
      <c r="C75" s="140">
        <f>VLOOKUP($A75,'Data shares'!$C:$FB,3)</f>
        <v>2208</v>
      </c>
      <c r="D75" s="140">
        <f>VLOOKUP($A75,'Data shares'!$C:$FB,4)</f>
        <v>2140.4</v>
      </c>
      <c r="E75" s="50">
        <f t="shared" si="3"/>
        <v>3.1582881704354282</v>
      </c>
      <c r="F75" s="49">
        <f>VLOOKUP($A75,'Data shares'!$C:$FB,98)</f>
        <v>14248850</v>
      </c>
      <c r="G75" s="49">
        <f>VLOOKUP($A75,'Data shares'!$C:$FB,99)</f>
        <v>14358850</v>
      </c>
      <c r="H75" s="50">
        <f t="shared" si="4"/>
        <v>-0.76607806335465589</v>
      </c>
      <c r="I75" s="49">
        <f>VLOOKUP($A75,'Data shares'!$C:$FB,66)</f>
        <v>17374225</v>
      </c>
      <c r="J75" s="49">
        <f>VLOOKUP($A75,'Data shares'!$C:$FB,67)</f>
        <v>17378350</v>
      </c>
      <c r="K75" s="50">
        <f t="shared" si="5"/>
        <v>-2.3742066192880544E-2</v>
      </c>
      <c r="L75" s="50">
        <f>VLOOKUP($A75,'Data shares'!$C:$FB,118)</f>
        <v>0.74</v>
      </c>
      <c r="M75" s="50">
        <f>VLOOKUP($A75,'Data shares'!$C:$FB,119)</f>
        <v>0.65</v>
      </c>
      <c r="N75" s="50">
        <f>VLOOKUP($A75,'Data shares'!$C:$FB,121)*100</f>
        <v>13.850000000000001</v>
      </c>
      <c r="O75" s="50">
        <f>VLOOKUP($A75,'Data shares'!$C:$FB,124)</f>
        <v>0.47</v>
      </c>
      <c r="P75" s="50">
        <f>VLOOKUP($A75,'Data shares'!$C:$FB,125)</f>
        <v>0.38</v>
      </c>
      <c r="Q75" s="50">
        <f>VLOOKUP($A75,'Data shares'!$C:$FB,127)*100</f>
        <v>23.68</v>
      </c>
    </row>
    <row r="76" spans="1:17" x14ac:dyDescent="0.25">
      <c r="A76" s="97" t="str">
        <f>'Data Vlaue (Cr)'!C71</f>
        <v>GRASIM</v>
      </c>
      <c r="B76" s="140">
        <f>VLOOKUP($A76,'Data shares'!$C:$FB,7)</f>
        <v>2859.8</v>
      </c>
      <c r="C76" s="140">
        <f>VLOOKUP($A76,'Data shares'!$C:$FB,3)</f>
        <v>2868.7</v>
      </c>
      <c r="D76" s="140">
        <f>VLOOKUP($A76,'Data shares'!$C:$FB,4)</f>
        <v>2829</v>
      </c>
      <c r="E76" s="50">
        <f t="shared" si="3"/>
        <v>1.4033227288794563</v>
      </c>
      <c r="F76" s="49">
        <f>VLOOKUP($A76,'Data shares'!$C:$FB,98)</f>
        <v>17365750</v>
      </c>
      <c r="G76" s="49">
        <f>VLOOKUP($A76,'Data shares'!$C:$FB,99)</f>
        <v>17262500</v>
      </c>
      <c r="H76" s="50">
        <f t="shared" si="4"/>
        <v>0.59811730629978277</v>
      </c>
      <c r="I76" s="49">
        <f>VLOOKUP($A76,'Data shares'!$C:$FB,66)</f>
        <v>6985000</v>
      </c>
      <c r="J76" s="49">
        <f>VLOOKUP($A76,'Data shares'!$C:$FB,67)</f>
        <v>3180000</v>
      </c>
      <c r="K76" s="50">
        <f t="shared" si="5"/>
        <v>54.473872584108804</v>
      </c>
      <c r="L76" s="50">
        <f>VLOOKUP($A76,'Data shares'!$C:$FB,118)</f>
        <v>0.69</v>
      </c>
      <c r="M76" s="50">
        <f>VLOOKUP($A76,'Data shares'!$C:$FB,119)</f>
        <v>0.64</v>
      </c>
      <c r="N76" s="50">
        <f>VLOOKUP($A76,'Data shares'!$C:$FB,121)*100</f>
        <v>7.8100000000000005</v>
      </c>
      <c r="O76" s="50">
        <f>VLOOKUP($A76,'Data shares'!$C:$FB,124)</f>
        <v>0.47</v>
      </c>
      <c r="P76" s="50">
        <f>VLOOKUP($A76,'Data shares'!$C:$FB,125)</f>
        <v>0.44</v>
      </c>
      <c r="Q76" s="50">
        <f>VLOOKUP($A76,'Data shares'!$C:$FB,127)*100</f>
        <v>6.8199999999999994</v>
      </c>
    </row>
    <row r="77" spans="1:17" x14ac:dyDescent="0.25">
      <c r="A77" s="97" t="str">
        <f>'Data Vlaue (Cr)'!C72</f>
        <v>HAL</v>
      </c>
      <c r="B77" s="140">
        <f>VLOOKUP($A77,'Data shares'!$C:$FB,7)</f>
        <v>4861.3</v>
      </c>
      <c r="C77" s="140">
        <f>VLOOKUP($A77,'Data shares'!$C:$FB,3)</f>
        <v>4879.8</v>
      </c>
      <c r="D77" s="140">
        <f>VLOOKUP($A77,'Data shares'!$C:$FB,4)</f>
        <v>4866.2</v>
      </c>
      <c r="E77" s="50">
        <f t="shared" si="3"/>
        <v>0.27947885413670553</v>
      </c>
      <c r="F77" s="49">
        <f>VLOOKUP($A77,'Data shares'!$C:$FB,98)</f>
        <v>16763400</v>
      </c>
      <c r="G77" s="49">
        <f>VLOOKUP($A77,'Data shares'!$C:$FB,99)</f>
        <v>16631400</v>
      </c>
      <c r="H77" s="50">
        <f t="shared" si="4"/>
        <v>0.79367942566470651</v>
      </c>
      <c r="I77" s="49">
        <f>VLOOKUP($A77,'Data shares'!$C:$FB,66)</f>
        <v>7920600</v>
      </c>
      <c r="J77" s="49">
        <f>VLOOKUP($A77,'Data shares'!$C:$FB,67)</f>
        <v>14111850</v>
      </c>
      <c r="K77" s="50">
        <f t="shared" si="5"/>
        <v>-78.166426785849552</v>
      </c>
      <c r="L77" s="50">
        <f>VLOOKUP($A77,'Data shares'!$C:$FB,118)</f>
        <v>0.57999999999999996</v>
      </c>
      <c r="M77" s="50">
        <f>VLOOKUP($A77,'Data shares'!$C:$FB,119)</f>
        <v>0.6</v>
      </c>
      <c r="N77" s="50">
        <f>VLOOKUP($A77,'Data shares'!$C:$FB,121)*100</f>
        <v>-3.3300000000000005</v>
      </c>
      <c r="O77" s="50">
        <f>VLOOKUP($A77,'Data shares'!$C:$FB,124)</f>
        <v>0.43</v>
      </c>
      <c r="P77" s="50">
        <f>VLOOKUP($A77,'Data shares'!$C:$FB,125)</f>
        <v>0.43</v>
      </c>
      <c r="Q77" s="50">
        <f>VLOOKUP($A77,'Data shares'!$C:$FB,127)*100</f>
        <v>0</v>
      </c>
    </row>
    <row r="78" spans="1:17" x14ac:dyDescent="0.25">
      <c r="A78" s="97" t="str">
        <f>'Data Vlaue (Cr)'!C73</f>
        <v>HAVELLS</v>
      </c>
      <c r="B78" s="140">
        <f>VLOOKUP($A78,'Data shares'!$C:$FB,7)</f>
        <v>1475.8</v>
      </c>
      <c r="C78" s="140">
        <f>VLOOKUP($A78,'Data shares'!$C:$FB,3)</f>
        <v>1481.7</v>
      </c>
      <c r="D78" s="140">
        <f>VLOOKUP($A78,'Data shares'!$C:$FB,4)</f>
        <v>1470.6</v>
      </c>
      <c r="E78" s="50">
        <f t="shared" si="3"/>
        <v>0.75479396164831614</v>
      </c>
      <c r="F78" s="49">
        <f>VLOOKUP($A78,'Data shares'!$C:$FB,98)</f>
        <v>17122000</v>
      </c>
      <c r="G78" s="49">
        <f>VLOOKUP($A78,'Data shares'!$C:$FB,99)</f>
        <v>17189500</v>
      </c>
      <c r="H78" s="50">
        <f t="shared" si="4"/>
        <v>-0.39268157887082228</v>
      </c>
      <c r="I78" s="49">
        <f>VLOOKUP($A78,'Data shares'!$C:$FB,66)</f>
        <v>8177000</v>
      </c>
      <c r="J78" s="49">
        <f>VLOOKUP($A78,'Data shares'!$C:$FB,67)</f>
        <v>5300000</v>
      </c>
      <c r="K78" s="50">
        <f t="shared" si="5"/>
        <v>35.184052831111657</v>
      </c>
      <c r="L78" s="50">
        <f>VLOOKUP($A78,'Data shares'!$C:$FB,118)</f>
        <v>0.59</v>
      </c>
      <c r="M78" s="50">
        <f>VLOOKUP($A78,'Data shares'!$C:$FB,119)</f>
        <v>0.56000000000000005</v>
      </c>
      <c r="N78" s="50">
        <f>VLOOKUP($A78,'Data shares'!$C:$FB,121)*100</f>
        <v>5.36</v>
      </c>
      <c r="O78" s="50">
        <f>VLOOKUP($A78,'Data shares'!$C:$FB,124)</f>
        <v>0.34</v>
      </c>
      <c r="P78" s="50">
        <f>VLOOKUP($A78,'Data shares'!$C:$FB,125)</f>
        <v>0.39</v>
      </c>
      <c r="Q78" s="50">
        <f>VLOOKUP($A78,'Data shares'!$C:$FB,127)*100</f>
        <v>-12.82</v>
      </c>
    </row>
    <row r="79" spans="1:17" x14ac:dyDescent="0.25">
      <c r="A79" s="97" t="str">
        <f>'Data Vlaue (Cr)'!C74</f>
        <v>HCLTECH</v>
      </c>
      <c r="B79" s="140">
        <f>VLOOKUP($A79,'Data shares'!$C:$FB,7)</f>
        <v>1515</v>
      </c>
      <c r="C79" s="140">
        <f>VLOOKUP($A79,'Data shares'!$C:$FB,3)</f>
        <v>1504.6</v>
      </c>
      <c r="D79" s="140">
        <f>VLOOKUP($A79,'Data shares'!$C:$FB,4)</f>
        <v>1488.1</v>
      </c>
      <c r="E79" s="50">
        <f t="shared" si="3"/>
        <v>1.1087964518513542</v>
      </c>
      <c r="F79" s="49">
        <f>VLOOKUP($A79,'Data shares'!$C:$FB,98)</f>
        <v>33686100</v>
      </c>
      <c r="G79" s="49">
        <f>VLOOKUP($A79,'Data shares'!$C:$FB,99)</f>
        <v>38533950</v>
      </c>
      <c r="H79" s="50">
        <f t="shared" si="4"/>
        <v>-12.580724270416088</v>
      </c>
      <c r="I79" s="49">
        <f>VLOOKUP($A79,'Data shares'!$C:$FB,66)</f>
        <v>28423500</v>
      </c>
      <c r="J79" s="49">
        <f>VLOOKUP($A79,'Data shares'!$C:$FB,67)</f>
        <v>34682200</v>
      </c>
      <c r="K79" s="50">
        <f t="shared" si="5"/>
        <v>-22.019455732052702</v>
      </c>
      <c r="L79" s="50">
        <f>VLOOKUP($A79,'Data shares'!$C:$FB,118)</f>
        <v>0.59</v>
      </c>
      <c r="M79" s="50">
        <f>VLOOKUP($A79,'Data shares'!$C:$FB,119)</f>
        <v>0.53</v>
      </c>
      <c r="N79" s="50">
        <f>VLOOKUP($A79,'Data shares'!$C:$FB,121)*100</f>
        <v>11.32</v>
      </c>
      <c r="O79" s="50">
        <f>VLOOKUP($A79,'Data shares'!$C:$FB,124)</f>
        <v>0.56999999999999995</v>
      </c>
      <c r="P79" s="50">
        <f>VLOOKUP($A79,'Data shares'!$C:$FB,125)</f>
        <v>0.53</v>
      </c>
      <c r="Q79" s="50">
        <f>VLOOKUP($A79,'Data shares'!$C:$FB,127)*100</f>
        <v>7.55</v>
      </c>
    </row>
    <row r="80" spans="1:17" x14ac:dyDescent="0.25">
      <c r="A80" s="97" t="str">
        <f>'Data Vlaue (Cr)'!C75</f>
        <v>HDFCAMC</v>
      </c>
      <c r="B80" s="140">
        <f>VLOOKUP($A80,'Data shares'!$C:$FB,7)</f>
        <v>5803.5</v>
      </c>
      <c r="C80" s="140">
        <f>VLOOKUP($A80,'Data shares'!$C:$FB,3)</f>
        <v>5815.5</v>
      </c>
      <c r="D80" s="140">
        <f>VLOOKUP($A80,'Data shares'!$C:$FB,4)</f>
        <v>5786</v>
      </c>
      <c r="E80" s="50">
        <f t="shared" si="3"/>
        <v>0.50985136536467335</v>
      </c>
      <c r="F80" s="49">
        <f>VLOOKUP($A80,'Data shares'!$C:$FB,98)</f>
        <v>6026550</v>
      </c>
      <c r="G80" s="49">
        <f>VLOOKUP($A80,'Data shares'!$C:$FB,99)</f>
        <v>6025050</v>
      </c>
      <c r="H80" s="50">
        <f t="shared" si="4"/>
        <v>2.4896058953867602E-2</v>
      </c>
      <c r="I80" s="49">
        <f>VLOOKUP($A80,'Data shares'!$C:$FB,66)</f>
        <v>45212700</v>
      </c>
      <c r="J80" s="49">
        <f>VLOOKUP($A80,'Data shares'!$C:$FB,67)</f>
        <v>23756550</v>
      </c>
      <c r="K80" s="50">
        <f t="shared" si="5"/>
        <v>47.456024524082835</v>
      </c>
      <c r="L80" s="50">
        <f>VLOOKUP($A80,'Data shares'!$C:$FB,118)</f>
        <v>0.54</v>
      </c>
      <c r="M80" s="50">
        <f>VLOOKUP($A80,'Data shares'!$C:$FB,119)</f>
        <v>0.47</v>
      </c>
      <c r="N80" s="50">
        <f>VLOOKUP($A80,'Data shares'!$C:$FB,121)*100</f>
        <v>14.89</v>
      </c>
      <c r="O80" s="50">
        <f>VLOOKUP($A80,'Data shares'!$C:$FB,124)</f>
        <v>0.4</v>
      </c>
      <c r="P80" s="50">
        <f>VLOOKUP($A80,'Data shares'!$C:$FB,125)</f>
        <v>0.3</v>
      </c>
      <c r="Q80" s="50">
        <f>VLOOKUP($A80,'Data shares'!$C:$FB,127)*100</f>
        <v>33.33</v>
      </c>
    </row>
    <row r="81" spans="1:17" x14ac:dyDescent="0.25">
      <c r="A81" s="97" t="str">
        <f>'Data Vlaue (Cr)'!C76</f>
        <v>HDFCBANK</v>
      </c>
      <c r="B81" s="140">
        <f>VLOOKUP($A81,'Data shares'!$C:$FB,7)</f>
        <v>994.35</v>
      </c>
      <c r="C81" s="140">
        <f>VLOOKUP($A81,'Data shares'!$C:$FB,3)</f>
        <v>995.65</v>
      </c>
      <c r="D81" s="140">
        <f>VLOOKUP($A81,'Data shares'!$C:$FB,4)</f>
        <v>982.45</v>
      </c>
      <c r="E81" s="50">
        <f t="shared" si="3"/>
        <v>1.3435798259453338</v>
      </c>
      <c r="F81" s="49">
        <f>VLOOKUP($A81,'Data shares'!$C:$FB,98)</f>
        <v>267382500</v>
      </c>
      <c r="G81" s="49">
        <f>VLOOKUP($A81,'Data shares'!$C:$FB,99)</f>
        <v>269339400</v>
      </c>
      <c r="H81" s="50">
        <f t="shared" si="4"/>
        <v>-0.72655541669729717</v>
      </c>
      <c r="I81" s="49">
        <f>VLOOKUP($A81,'Data shares'!$C:$FB,66)</f>
        <v>125464900</v>
      </c>
      <c r="J81" s="49">
        <f>VLOOKUP($A81,'Data shares'!$C:$FB,67)</f>
        <v>98092500</v>
      </c>
      <c r="K81" s="50">
        <f t="shared" si="5"/>
        <v>21.8167790354115</v>
      </c>
      <c r="L81" s="50">
        <f>VLOOKUP($A81,'Data shares'!$C:$FB,118)</f>
        <v>0.86</v>
      </c>
      <c r="M81" s="50">
        <f>VLOOKUP($A81,'Data shares'!$C:$FB,119)</f>
        <v>0.74</v>
      </c>
      <c r="N81" s="50">
        <f>VLOOKUP($A81,'Data shares'!$C:$FB,121)*100</f>
        <v>16.220000000000002</v>
      </c>
      <c r="O81" s="50">
        <f>VLOOKUP($A81,'Data shares'!$C:$FB,124)</f>
        <v>0.63</v>
      </c>
      <c r="P81" s="50">
        <f>VLOOKUP($A81,'Data shares'!$C:$FB,125)</f>
        <v>0.56000000000000005</v>
      </c>
      <c r="Q81" s="50">
        <f>VLOOKUP($A81,'Data shares'!$C:$FB,127)*100</f>
        <v>12.5</v>
      </c>
    </row>
    <row r="82" spans="1:17" x14ac:dyDescent="0.25">
      <c r="A82" s="97" t="str">
        <f>'Data Vlaue (Cr)'!C77</f>
        <v>HDFCLIFE</v>
      </c>
      <c r="B82" s="140">
        <f>VLOOKUP($A82,'Data shares'!$C:$FB,7)</f>
        <v>742.85</v>
      </c>
      <c r="C82" s="140">
        <f>VLOOKUP($A82,'Data shares'!$C:$FB,3)</f>
        <v>743.5</v>
      </c>
      <c r="D82" s="140">
        <f>VLOOKUP($A82,'Data shares'!$C:$FB,4)</f>
        <v>762.35</v>
      </c>
      <c r="E82" s="50">
        <f t="shared" si="3"/>
        <v>-2.4726175641109753</v>
      </c>
      <c r="F82" s="49">
        <f>VLOOKUP($A82,'Data shares'!$C:$FB,98)</f>
        <v>58207600</v>
      </c>
      <c r="G82" s="49">
        <f>VLOOKUP($A82,'Data shares'!$C:$FB,99)</f>
        <v>51191800</v>
      </c>
      <c r="H82" s="50">
        <f t="shared" si="4"/>
        <v>13.704929305084018</v>
      </c>
      <c r="I82" s="49">
        <f>VLOOKUP($A82,'Data shares'!$C:$FB,66)</f>
        <v>102547500</v>
      </c>
      <c r="J82" s="49">
        <f>VLOOKUP($A82,'Data shares'!$C:$FB,67)</f>
        <v>50065400</v>
      </c>
      <c r="K82" s="50">
        <f t="shared" si="5"/>
        <v>51.178331992491287</v>
      </c>
      <c r="L82" s="50">
        <f>VLOOKUP($A82,'Data shares'!$C:$FB,118)</f>
        <v>0.46</v>
      </c>
      <c r="M82" s="50">
        <f>VLOOKUP($A82,'Data shares'!$C:$FB,119)</f>
        <v>0.54</v>
      </c>
      <c r="N82" s="50">
        <f>VLOOKUP($A82,'Data shares'!$C:$FB,121)*100</f>
        <v>-14.81</v>
      </c>
      <c r="O82" s="50">
        <f>VLOOKUP($A82,'Data shares'!$C:$FB,124)</f>
        <v>0.43</v>
      </c>
      <c r="P82" s="50">
        <f>VLOOKUP($A82,'Data shares'!$C:$FB,125)</f>
        <v>0.39</v>
      </c>
      <c r="Q82" s="50">
        <f>VLOOKUP($A82,'Data shares'!$C:$FB,127)*100</f>
        <v>10.26</v>
      </c>
    </row>
    <row r="83" spans="1:17" x14ac:dyDescent="0.25">
      <c r="A83" s="97" t="str">
        <f>'Data Vlaue (Cr)'!C78</f>
        <v>HEROMOTOCO</v>
      </c>
      <c r="B83" s="140">
        <f>VLOOKUP($A83,'Data shares'!$C:$FB,7)</f>
        <v>5579.5</v>
      </c>
      <c r="C83" s="140">
        <f>VLOOKUP($A83,'Data shares'!$C:$FB,3)</f>
        <v>5591</v>
      </c>
      <c r="D83" s="140">
        <f>VLOOKUP($A83,'Data shares'!$C:$FB,4)</f>
        <v>5549.5</v>
      </c>
      <c r="E83" s="50">
        <f t="shared" si="3"/>
        <v>0.74781511847914228</v>
      </c>
      <c r="F83" s="49">
        <f>VLOOKUP($A83,'Data shares'!$C:$FB,98)</f>
        <v>8937900</v>
      </c>
      <c r="G83" s="49">
        <f>VLOOKUP($A83,'Data shares'!$C:$FB,99)</f>
        <v>9146700</v>
      </c>
      <c r="H83" s="50">
        <f t="shared" si="4"/>
        <v>-2.2827905146118272</v>
      </c>
      <c r="I83" s="49">
        <f>VLOOKUP($A83,'Data shares'!$C:$FB,66)</f>
        <v>5539500</v>
      </c>
      <c r="J83" s="49">
        <f>VLOOKUP($A83,'Data shares'!$C:$FB,67)</f>
        <v>10078800</v>
      </c>
      <c r="K83" s="50">
        <f t="shared" si="5"/>
        <v>-81.944218792309769</v>
      </c>
      <c r="L83" s="50">
        <f>VLOOKUP($A83,'Data shares'!$C:$FB,118)</f>
        <v>0.67</v>
      </c>
      <c r="M83" s="50">
        <f>VLOOKUP($A83,'Data shares'!$C:$FB,119)</f>
        <v>0.63</v>
      </c>
      <c r="N83" s="50">
        <f>VLOOKUP($A83,'Data shares'!$C:$FB,121)*100</f>
        <v>6.35</v>
      </c>
      <c r="O83" s="50">
        <f>VLOOKUP($A83,'Data shares'!$C:$FB,124)</f>
        <v>0.56000000000000005</v>
      </c>
      <c r="P83" s="50">
        <f>VLOOKUP($A83,'Data shares'!$C:$FB,125)</f>
        <v>0.66</v>
      </c>
      <c r="Q83" s="50">
        <f>VLOOKUP($A83,'Data shares'!$C:$FB,127)*100</f>
        <v>-15.15</v>
      </c>
    </row>
    <row r="84" spans="1:17" x14ac:dyDescent="0.25">
      <c r="A84" s="97" t="str">
        <f>'Data Vlaue (Cr)'!C79</f>
        <v>HFCL</v>
      </c>
      <c r="B84" s="140">
        <f>VLOOKUP($A84,'Data shares'!$C:$FB,7)</f>
        <v>77.319999999999993</v>
      </c>
      <c r="C84" s="140">
        <f>VLOOKUP($A84,'Data shares'!$C:$FB,3)</f>
        <v>77.599999999999994</v>
      </c>
      <c r="D84" s="140">
        <f>VLOOKUP($A84,'Data shares'!$C:$FB,4)</f>
        <v>77.62</v>
      </c>
      <c r="E84" s="50">
        <f t="shared" si="3"/>
        <v>-2.5766555011608128E-2</v>
      </c>
      <c r="F84" s="49">
        <f>VLOOKUP($A84,'Data shares'!$C:$FB,98)</f>
        <v>205213200</v>
      </c>
      <c r="G84" s="49">
        <f>VLOOKUP($A84,'Data shares'!$C:$FB,99)</f>
        <v>202033350</v>
      </c>
      <c r="H84" s="50">
        <f t="shared" si="4"/>
        <v>1.5739233151358427</v>
      </c>
      <c r="I84" s="49">
        <f>VLOOKUP($A84,'Data shares'!$C:$FB,66)</f>
        <v>65699700</v>
      </c>
      <c r="J84" s="49">
        <f>VLOOKUP($A84,'Data shares'!$C:$FB,67)</f>
        <v>77354850</v>
      </c>
      <c r="K84" s="50">
        <f t="shared" si="5"/>
        <v>-17.740035342627138</v>
      </c>
      <c r="L84" s="50">
        <f>VLOOKUP($A84,'Data shares'!$C:$FB,118)</f>
        <v>0.51</v>
      </c>
      <c r="M84" s="50">
        <f>VLOOKUP($A84,'Data shares'!$C:$FB,119)</f>
        <v>0.52</v>
      </c>
      <c r="N84" s="50">
        <f>VLOOKUP($A84,'Data shares'!$C:$FB,121)*100</f>
        <v>-1.92</v>
      </c>
      <c r="O84" s="50">
        <f>VLOOKUP($A84,'Data shares'!$C:$FB,124)</f>
        <v>0.44</v>
      </c>
      <c r="P84" s="50">
        <f>VLOOKUP($A84,'Data shares'!$C:$FB,125)</f>
        <v>0.31</v>
      </c>
      <c r="Q84" s="50">
        <f>VLOOKUP($A84,'Data shares'!$C:$FB,127)*100</f>
        <v>41.94</v>
      </c>
    </row>
    <row r="85" spans="1:17" x14ac:dyDescent="0.25">
      <c r="A85" s="97" t="str">
        <f>'Data Vlaue (Cr)'!C80</f>
        <v>HINDALCO</v>
      </c>
      <c r="B85" s="140">
        <f>VLOOKUP($A85,'Data shares'!$C:$FB,7)</f>
        <v>780.1</v>
      </c>
      <c r="C85" s="140">
        <f>VLOOKUP($A85,'Data shares'!$C:$FB,3)</f>
        <v>781.25</v>
      </c>
      <c r="D85" s="140">
        <f>VLOOKUP($A85,'Data shares'!$C:$FB,4)</f>
        <v>767.6</v>
      </c>
      <c r="E85" s="50">
        <f t="shared" si="3"/>
        <v>1.7782699322563804</v>
      </c>
      <c r="F85" s="49">
        <f>VLOOKUP($A85,'Data shares'!$C:$FB,98)</f>
        <v>97332200</v>
      </c>
      <c r="G85" s="49">
        <f>VLOOKUP($A85,'Data shares'!$C:$FB,99)</f>
        <v>99967000</v>
      </c>
      <c r="H85" s="50">
        <f t="shared" si="4"/>
        <v>-2.6356697710244381</v>
      </c>
      <c r="I85" s="49">
        <f>VLOOKUP($A85,'Data shares'!$C:$FB,66)</f>
        <v>52494400</v>
      </c>
      <c r="J85" s="49">
        <f>VLOOKUP($A85,'Data shares'!$C:$FB,67)</f>
        <v>32393200</v>
      </c>
      <c r="K85" s="50">
        <f t="shared" si="5"/>
        <v>38.292084489012161</v>
      </c>
      <c r="L85" s="50">
        <f>VLOOKUP($A85,'Data shares'!$C:$FB,118)</f>
        <v>0.72</v>
      </c>
      <c r="M85" s="50">
        <f>VLOOKUP($A85,'Data shares'!$C:$FB,119)</f>
        <v>0.64</v>
      </c>
      <c r="N85" s="50">
        <f>VLOOKUP($A85,'Data shares'!$C:$FB,121)*100</f>
        <v>12.5</v>
      </c>
      <c r="O85" s="50">
        <f>VLOOKUP($A85,'Data shares'!$C:$FB,124)</f>
        <v>0.59</v>
      </c>
      <c r="P85" s="50">
        <f>VLOOKUP($A85,'Data shares'!$C:$FB,125)</f>
        <v>0.57999999999999996</v>
      </c>
      <c r="Q85" s="50">
        <f>VLOOKUP($A85,'Data shares'!$C:$FB,127)*100</f>
        <v>1.72</v>
      </c>
    </row>
    <row r="86" spans="1:17" x14ac:dyDescent="0.25">
      <c r="A86" s="97" t="str">
        <f>'Data Vlaue (Cr)'!C81</f>
        <v>HINDPETRO</v>
      </c>
      <c r="B86" s="140">
        <f>VLOOKUP($A86,'Data shares'!$C:$FB,7)</f>
        <v>451.95</v>
      </c>
      <c r="C86" s="140">
        <f>VLOOKUP($A86,'Data shares'!$C:$FB,3)</f>
        <v>452.5</v>
      </c>
      <c r="D86" s="140">
        <f>VLOOKUP($A86,'Data shares'!$C:$FB,4)</f>
        <v>450.6</v>
      </c>
      <c r="E86" s="50">
        <f t="shared" si="3"/>
        <v>0.42166000887704769</v>
      </c>
      <c r="F86" s="49">
        <f>VLOOKUP($A86,'Data shares'!$C:$FB,98)</f>
        <v>84065850</v>
      </c>
      <c r="G86" s="49">
        <f>VLOOKUP($A86,'Data shares'!$C:$FB,99)</f>
        <v>85961250</v>
      </c>
      <c r="H86" s="50">
        <f t="shared" si="4"/>
        <v>-2.2049469964664312</v>
      </c>
      <c r="I86" s="49">
        <f>VLOOKUP($A86,'Data shares'!$C:$FB,66)</f>
        <v>59429700</v>
      </c>
      <c r="J86" s="49">
        <f>VLOOKUP($A86,'Data shares'!$C:$FB,67)</f>
        <v>60681150</v>
      </c>
      <c r="K86" s="50">
        <f t="shared" si="5"/>
        <v>-2.1057652991685978</v>
      </c>
      <c r="L86" s="50">
        <f>VLOOKUP($A86,'Data shares'!$C:$FB,118)</f>
        <v>0.55000000000000004</v>
      </c>
      <c r="M86" s="50">
        <f>VLOOKUP($A86,'Data shares'!$C:$FB,119)</f>
        <v>0.53</v>
      </c>
      <c r="N86" s="50">
        <f>VLOOKUP($A86,'Data shares'!$C:$FB,121)*100</f>
        <v>3.7699999999999996</v>
      </c>
      <c r="O86" s="50">
        <f>VLOOKUP($A86,'Data shares'!$C:$FB,124)</f>
        <v>0.53</v>
      </c>
      <c r="P86" s="50">
        <f>VLOOKUP($A86,'Data shares'!$C:$FB,125)</f>
        <v>0.38</v>
      </c>
      <c r="Q86" s="50">
        <f>VLOOKUP($A86,'Data shares'!$C:$FB,127)*100</f>
        <v>39.47</v>
      </c>
    </row>
    <row r="87" spans="1:17" x14ac:dyDescent="0.25">
      <c r="A87" s="97" t="str">
        <f>'Data Vlaue (Cr)'!C82</f>
        <v>HINDUNILVR</v>
      </c>
      <c r="B87" s="140">
        <f>VLOOKUP($A87,'Data shares'!$C:$FB,7)</f>
        <v>2561.5</v>
      </c>
      <c r="C87" s="140">
        <f>VLOOKUP($A87,'Data shares'!$C:$FB,3)</f>
        <v>2562.3000000000002</v>
      </c>
      <c r="D87" s="140">
        <f>VLOOKUP($A87,'Data shares'!$C:$FB,4)</f>
        <v>2519.5</v>
      </c>
      <c r="E87" s="50">
        <f t="shared" si="3"/>
        <v>1.6987497519349148</v>
      </c>
      <c r="F87" s="49">
        <f>VLOOKUP($A87,'Data shares'!$C:$FB,98)</f>
        <v>22764900</v>
      </c>
      <c r="G87" s="49">
        <f>VLOOKUP($A87,'Data shares'!$C:$FB,99)</f>
        <v>22813200</v>
      </c>
      <c r="H87" s="50">
        <f t="shared" si="4"/>
        <v>-0.21171953079795908</v>
      </c>
      <c r="I87" s="49">
        <f>VLOOKUP($A87,'Data shares'!$C:$FB,66)</f>
        <v>15964200</v>
      </c>
      <c r="J87" s="49">
        <f>VLOOKUP($A87,'Data shares'!$C:$FB,67)</f>
        <v>7914300</v>
      </c>
      <c r="K87" s="50">
        <f t="shared" si="5"/>
        <v>50.424700266847069</v>
      </c>
      <c r="L87" s="50">
        <f>VLOOKUP($A87,'Data shares'!$C:$FB,118)</f>
        <v>0.65</v>
      </c>
      <c r="M87" s="50">
        <f>VLOOKUP($A87,'Data shares'!$C:$FB,119)</f>
        <v>0.59</v>
      </c>
      <c r="N87" s="50">
        <f>VLOOKUP($A87,'Data shares'!$C:$FB,121)*100</f>
        <v>10.17</v>
      </c>
      <c r="O87" s="50">
        <f>VLOOKUP($A87,'Data shares'!$C:$FB,124)</f>
        <v>0.52</v>
      </c>
      <c r="P87" s="50">
        <f>VLOOKUP($A87,'Data shares'!$C:$FB,125)</f>
        <v>0.53</v>
      </c>
      <c r="Q87" s="50">
        <f>VLOOKUP($A87,'Data shares'!$C:$FB,127)*100</f>
        <v>-1.8900000000000001</v>
      </c>
    </row>
    <row r="88" spans="1:17" x14ac:dyDescent="0.25">
      <c r="A88" s="97" t="str">
        <f>'Data Vlaue (Cr)'!C83</f>
        <v>HINDZINC</v>
      </c>
      <c r="B88" s="140">
        <f>VLOOKUP($A88,'Data shares'!$C:$FB,7)</f>
        <v>506.7</v>
      </c>
      <c r="C88" s="140">
        <f>VLOOKUP($A88,'Data shares'!$C:$FB,3)</f>
        <v>507.95</v>
      </c>
      <c r="D88" s="140">
        <f>VLOOKUP($A88,'Data shares'!$C:$FB,4)</f>
        <v>514.45000000000005</v>
      </c>
      <c r="E88" s="50">
        <f t="shared" si="3"/>
        <v>-1.2634852755369921</v>
      </c>
      <c r="F88" s="140">
        <f>VLOOKUP($A88,'Data shares'!$C:$FB,98)</f>
        <v>72679250</v>
      </c>
      <c r="G88" s="140">
        <f>VLOOKUP($A88,'Data shares'!$C:$FB,99)</f>
        <v>71576750</v>
      </c>
      <c r="H88" s="50">
        <f t="shared" si="4"/>
        <v>1.5403046380284102</v>
      </c>
      <c r="I88" s="49">
        <f>VLOOKUP($A88,'Data shares'!$C:$FB,66)</f>
        <v>37962750</v>
      </c>
      <c r="J88" s="49">
        <f>VLOOKUP($A88,'Data shares'!$C:$FB,67)</f>
        <v>62389250</v>
      </c>
      <c r="K88" s="50">
        <f t="shared" si="5"/>
        <v>-64.343336560180703</v>
      </c>
      <c r="L88" s="50">
        <f>VLOOKUP($A88,'Data shares'!$C:$FB,118)</f>
        <v>0.55000000000000004</v>
      </c>
      <c r="M88" s="50">
        <f>VLOOKUP($A88,'Data shares'!$C:$FB,119)</f>
        <v>0.56000000000000005</v>
      </c>
      <c r="N88" s="50">
        <f>VLOOKUP($A88,'Data shares'!$C:$FB,121)*100</f>
        <v>-1.79</v>
      </c>
      <c r="O88" s="50">
        <f>VLOOKUP($A88,'Data shares'!$C:$FB,124)</f>
        <v>0.34</v>
      </c>
      <c r="P88" s="50">
        <f>VLOOKUP($A88,'Data shares'!$C:$FB,125)</f>
        <v>0.3</v>
      </c>
      <c r="Q88" s="50">
        <f>VLOOKUP($A88,'Data shares'!$C:$FB,127)*100</f>
        <v>13.33</v>
      </c>
    </row>
    <row r="89" spans="1:17" x14ac:dyDescent="0.25">
      <c r="A89" s="97" t="str">
        <f>'Data Vlaue (Cr)'!C84</f>
        <v>HUDCO</v>
      </c>
      <c r="B89" s="140">
        <f>VLOOKUP($A89,'Data shares'!$C:$FB,7)</f>
        <v>227.99</v>
      </c>
      <c r="C89" s="140">
        <f>VLOOKUP($A89,'Data shares'!$C:$FB,3)</f>
        <v>228.89</v>
      </c>
      <c r="D89" s="140">
        <f>VLOOKUP($A89,'Data shares'!$C:$FB,4)</f>
        <v>229.88</v>
      </c>
      <c r="E89" s="50">
        <f t="shared" si="3"/>
        <v>-0.43065947450844311</v>
      </c>
      <c r="F89" s="49">
        <f>VLOOKUP($A89,'Data shares'!$C:$FB,98)</f>
        <v>54723000</v>
      </c>
      <c r="G89" s="49">
        <f>VLOOKUP($A89,'Data shares'!$C:$FB,99)</f>
        <v>52211625</v>
      </c>
      <c r="H89" s="50">
        <f t="shared" si="4"/>
        <v>4.8099920276375236</v>
      </c>
      <c r="I89" s="49">
        <f>VLOOKUP($A89,'Data shares'!$C:$FB,66)</f>
        <v>30438975</v>
      </c>
      <c r="J89" s="49">
        <f>VLOOKUP($A89,'Data shares'!$C:$FB,67)</f>
        <v>25557750</v>
      </c>
      <c r="K89" s="50">
        <f t="shared" si="5"/>
        <v>16.036101741270851</v>
      </c>
      <c r="L89" s="50">
        <f>VLOOKUP($A89,'Data shares'!$C:$FB,118)</f>
        <v>0.49</v>
      </c>
      <c r="M89" s="50">
        <f>VLOOKUP($A89,'Data shares'!$C:$FB,119)</f>
        <v>0.52</v>
      </c>
      <c r="N89" s="50">
        <f>VLOOKUP($A89,'Data shares'!$C:$FB,121)*100</f>
        <v>-5.7700000000000005</v>
      </c>
      <c r="O89" s="50">
        <f>VLOOKUP($A89,'Data shares'!$C:$FB,124)</f>
        <v>0.33</v>
      </c>
      <c r="P89" s="50">
        <f>VLOOKUP($A89,'Data shares'!$C:$FB,125)</f>
        <v>0.44</v>
      </c>
      <c r="Q89" s="50">
        <f>VLOOKUP($A89,'Data shares'!$C:$FB,127)*100</f>
        <v>-25</v>
      </c>
    </row>
    <row r="90" spans="1:17" x14ac:dyDescent="0.25">
      <c r="A90" s="97" t="str">
        <f>'Data Vlaue (Cr)'!C85</f>
        <v>ICICIBANK</v>
      </c>
      <c r="B90" s="140">
        <f>VLOOKUP($A90,'Data shares'!$C:$FB,7)</f>
        <v>1417.3</v>
      </c>
      <c r="C90" s="140">
        <f>VLOOKUP($A90,'Data shares'!$C:$FB,3)</f>
        <v>1419</v>
      </c>
      <c r="D90" s="140">
        <f>VLOOKUP($A90,'Data shares'!$C:$FB,4)</f>
        <v>1401</v>
      </c>
      <c r="E90" s="50">
        <f t="shared" si="3"/>
        <v>1.2847965738758029</v>
      </c>
      <c r="F90" s="49">
        <f>VLOOKUP($A90,'Data shares'!$C:$FB,98)</f>
        <v>153281800</v>
      </c>
      <c r="G90" s="49">
        <f>VLOOKUP($A90,'Data shares'!$C:$FB,99)</f>
        <v>155801800</v>
      </c>
      <c r="H90" s="50">
        <f t="shared" si="4"/>
        <v>-1.6174395931240846</v>
      </c>
      <c r="I90" s="49">
        <f>VLOOKUP($A90,'Data shares'!$C:$FB,66)</f>
        <v>89485200</v>
      </c>
      <c r="J90" s="49">
        <f>VLOOKUP($A90,'Data shares'!$C:$FB,67)</f>
        <v>63914900</v>
      </c>
      <c r="K90" s="50">
        <f t="shared" si="5"/>
        <v>28.574892831440284</v>
      </c>
      <c r="L90" s="50">
        <f>VLOOKUP($A90,'Data shares'!$C:$FB,118)</f>
        <v>0.81</v>
      </c>
      <c r="M90" s="50">
        <f>VLOOKUP($A90,'Data shares'!$C:$FB,119)</f>
        <v>0.8</v>
      </c>
      <c r="N90" s="50">
        <f>VLOOKUP($A90,'Data shares'!$C:$FB,121)*100</f>
        <v>1.25</v>
      </c>
      <c r="O90" s="50">
        <f>VLOOKUP($A90,'Data shares'!$C:$FB,124)</f>
        <v>0.51</v>
      </c>
      <c r="P90" s="50">
        <f>VLOOKUP($A90,'Data shares'!$C:$FB,125)</f>
        <v>0.7</v>
      </c>
      <c r="Q90" s="50">
        <f>VLOOKUP($A90,'Data shares'!$C:$FB,127)*100</f>
        <v>-27.139999999999997</v>
      </c>
    </row>
    <row r="91" spans="1:17" x14ac:dyDescent="0.25">
      <c r="A91" s="97" t="str">
        <f>'Data Vlaue (Cr)'!C86</f>
        <v>ICICIGI</v>
      </c>
      <c r="B91" s="140">
        <f>VLOOKUP($A91,'Data shares'!$C:$FB,7)</f>
        <v>2010.1</v>
      </c>
      <c r="C91" s="140">
        <f>VLOOKUP($A91,'Data shares'!$C:$FB,3)</f>
        <v>2005.3</v>
      </c>
      <c r="D91" s="140">
        <f>VLOOKUP($A91,'Data shares'!$C:$FB,4)</f>
        <v>2019</v>
      </c>
      <c r="E91" s="50">
        <f t="shared" si="3"/>
        <v>-0.67855373947498987</v>
      </c>
      <c r="F91" s="49">
        <f>VLOOKUP($A91,'Data shares'!$C:$FB,98)</f>
        <v>12104950</v>
      </c>
      <c r="G91" s="49">
        <f>VLOOKUP($A91,'Data shares'!$C:$FB,99)</f>
        <v>13953225</v>
      </c>
      <c r="H91" s="50">
        <f t="shared" si="4"/>
        <v>-13.246220855751986</v>
      </c>
      <c r="I91" s="49">
        <f>VLOOKUP($A91,'Data shares'!$C:$FB,66)</f>
        <v>16168425</v>
      </c>
      <c r="J91" s="49">
        <f>VLOOKUP($A91,'Data shares'!$C:$FB,67)</f>
        <v>79620125</v>
      </c>
      <c r="K91" s="50">
        <f t="shared" si="5"/>
        <v>-392.4420591368671</v>
      </c>
      <c r="L91" s="50">
        <f>VLOOKUP($A91,'Data shares'!$C:$FB,118)</f>
        <v>1.51</v>
      </c>
      <c r="M91" s="50">
        <f>VLOOKUP($A91,'Data shares'!$C:$FB,119)</f>
        <v>1.23</v>
      </c>
      <c r="N91" s="50">
        <f>VLOOKUP($A91,'Data shares'!$C:$FB,121)*100</f>
        <v>22.759999999999998</v>
      </c>
      <c r="O91" s="50">
        <f>VLOOKUP($A91,'Data shares'!$C:$FB,124)</f>
        <v>0.8</v>
      </c>
      <c r="P91" s="50">
        <f>VLOOKUP($A91,'Data shares'!$C:$FB,125)</f>
        <v>0.46</v>
      </c>
      <c r="Q91" s="50">
        <f>VLOOKUP($A91,'Data shares'!$C:$FB,127)*100</f>
        <v>73.91</v>
      </c>
    </row>
    <row r="92" spans="1:17" x14ac:dyDescent="0.25">
      <c r="A92" s="97" t="str">
        <f>'Data Vlaue (Cr)'!C87</f>
        <v>ICICIPRULI</v>
      </c>
      <c r="B92" s="140">
        <f>VLOOKUP($A92,'Data shares'!$C:$FB,7)</f>
        <v>587</v>
      </c>
      <c r="C92" s="140">
        <f>VLOOKUP($A92,'Data shares'!$C:$FB,3)</f>
        <v>589.20000000000005</v>
      </c>
      <c r="D92" s="140">
        <f>VLOOKUP($A92,'Data shares'!$C:$FB,4)</f>
        <v>590.65</v>
      </c>
      <c r="E92" s="50">
        <f t="shared" si="3"/>
        <v>-0.24549225429610291</v>
      </c>
      <c r="F92" s="49">
        <f>VLOOKUP($A92,'Data shares'!$C:$FB,98)</f>
        <v>24337675</v>
      </c>
      <c r="G92" s="49">
        <f>VLOOKUP($A92,'Data shares'!$C:$FB,99)</f>
        <v>24262750</v>
      </c>
      <c r="H92" s="50">
        <f t="shared" si="4"/>
        <v>0.30880670987418984</v>
      </c>
      <c r="I92" s="49">
        <f>VLOOKUP($A92,'Data shares'!$C:$FB,66)</f>
        <v>14698250</v>
      </c>
      <c r="J92" s="49">
        <f>VLOOKUP($A92,'Data shares'!$C:$FB,67)</f>
        <v>60770650</v>
      </c>
      <c r="K92" s="50">
        <f t="shared" si="5"/>
        <v>-313.45500314663309</v>
      </c>
      <c r="L92" s="50">
        <f>VLOOKUP($A92,'Data shares'!$C:$FB,118)</f>
        <v>0.44</v>
      </c>
      <c r="M92" s="50">
        <f>VLOOKUP($A92,'Data shares'!$C:$FB,119)</f>
        <v>0.46</v>
      </c>
      <c r="N92" s="50">
        <f>VLOOKUP($A92,'Data shares'!$C:$FB,121)*100</f>
        <v>-4.3499999999999996</v>
      </c>
      <c r="O92" s="50">
        <f>VLOOKUP($A92,'Data shares'!$C:$FB,124)</f>
        <v>0.35</v>
      </c>
      <c r="P92" s="50">
        <f>VLOOKUP($A92,'Data shares'!$C:$FB,125)</f>
        <v>0.44</v>
      </c>
      <c r="Q92" s="50">
        <f>VLOOKUP($A92,'Data shares'!$C:$FB,127)*100</f>
        <v>-20.45</v>
      </c>
    </row>
    <row r="93" spans="1:17" x14ac:dyDescent="0.25">
      <c r="A93" s="97" t="str">
        <f>'Data Vlaue (Cr)'!C88</f>
        <v>IDEA</v>
      </c>
      <c r="B93" s="140">
        <f>VLOOKUP($A93,'Data shares'!$C:$FB,7)</f>
        <v>8.85</v>
      </c>
      <c r="C93" s="140">
        <f>VLOOKUP($A93,'Data shares'!$C:$FB,3)</f>
        <v>8.8800000000000008</v>
      </c>
      <c r="D93" s="140">
        <f>VLOOKUP($A93,'Data shares'!$C:$FB,4)</f>
        <v>8.8000000000000007</v>
      </c>
      <c r="E93" s="50">
        <f t="shared" si="3"/>
        <v>0.90909090909090973</v>
      </c>
      <c r="F93" s="49">
        <f>VLOOKUP($A93,'Data shares'!$C:$FB,98)</f>
        <v>10196337600</v>
      </c>
      <c r="G93" s="49">
        <f>VLOOKUP($A93,'Data shares'!$C:$FB,99)</f>
        <v>10104849600</v>
      </c>
      <c r="H93" s="50">
        <f t="shared" si="4"/>
        <v>0.90538705296514255</v>
      </c>
      <c r="I93" s="49">
        <f>VLOOKUP($A93,'Data shares'!$C:$FB,66)</f>
        <v>1691241450</v>
      </c>
      <c r="J93" s="49">
        <f>VLOOKUP($A93,'Data shares'!$C:$FB,67)</f>
        <v>3156050100</v>
      </c>
      <c r="K93" s="50">
        <f t="shared" si="5"/>
        <v>-86.611444510185109</v>
      </c>
      <c r="L93" s="50">
        <f>VLOOKUP($A93,'Data shares'!$C:$FB,118)</f>
        <v>0.56000000000000005</v>
      </c>
      <c r="M93" s="50">
        <f>VLOOKUP($A93,'Data shares'!$C:$FB,119)</f>
        <v>0.53</v>
      </c>
      <c r="N93" s="50">
        <f>VLOOKUP($A93,'Data shares'!$C:$FB,121)*100</f>
        <v>5.66</v>
      </c>
      <c r="O93" s="50">
        <f>VLOOKUP($A93,'Data shares'!$C:$FB,124)</f>
        <v>0.41</v>
      </c>
      <c r="P93" s="50">
        <f>VLOOKUP($A93,'Data shares'!$C:$FB,125)</f>
        <v>0.19</v>
      </c>
      <c r="Q93" s="50">
        <f>VLOOKUP($A93,'Data shares'!$C:$FB,127)*100</f>
        <v>115.78999999999999</v>
      </c>
    </row>
    <row r="94" spans="1:17" x14ac:dyDescent="0.25">
      <c r="A94" s="97" t="str">
        <f>'Data Vlaue (Cr)'!C89</f>
        <v>IDFCFIRSTB</v>
      </c>
      <c r="B94" s="140">
        <f>VLOOKUP($A94,'Data shares'!$C:$FB,7)</f>
        <v>71.790000000000006</v>
      </c>
      <c r="C94" s="140">
        <f>VLOOKUP($A94,'Data shares'!$C:$FB,3)</f>
        <v>71.900000000000006</v>
      </c>
      <c r="D94" s="140">
        <f>VLOOKUP($A94,'Data shares'!$C:$FB,4)</f>
        <v>73.17</v>
      </c>
      <c r="E94" s="50">
        <f t="shared" si="3"/>
        <v>-1.7356840235068962</v>
      </c>
      <c r="F94" s="49">
        <f>VLOOKUP($A94,'Data shares'!$C:$FB,98)</f>
        <v>674997400</v>
      </c>
      <c r="G94" s="49">
        <f>VLOOKUP($A94,'Data shares'!$C:$FB,99)</f>
        <v>648062800</v>
      </c>
      <c r="H94" s="50">
        <f t="shared" si="4"/>
        <v>4.1561712846347607</v>
      </c>
      <c r="I94" s="49">
        <f>VLOOKUP($A94,'Data shares'!$C:$FB,66)</f>
        <v>314209175</v>
      </c>
      <c r="J94" s="49">
        <f>VLOOKUP($A94,'Data shares'!$C:$FB,67)</f>
        <v>171170125</v>
      </c>
      <c r="K94" s="50">
        <f t="shared" si="5"/>
        <v>45.523511526994717</v>
      </c>
      <c r="L94" s="50">
        <f>VLOOKUP($A94,'Data shares'!$C:$FB,118)</f>
        <v>0.68</v>
      </c>
      <c r="M94" s="50">
        <f>VLOOKUP($A94,'Data shares'!$C:$FB,119)</f>
        <v>0.7</v>
      </c>
      <c r="N94" s="50">
        <f>VLOOKUP($A94,'Data shares'!$C:$FB,121)*100</f>
        <v>-2.86</v>
      </c>
      <c r="O94" s="50">
        <f>VLOOKUP($A94,'Data shares'!$C:$FB,124)</f>
        <v>0.55000000000000004</v>
      </c>
      <c r="P94" s="50">
        <f>VLOOKUP($A94,'Data shares'!$C:$FB,125)</f>
        <v>0.57999999999999996</v>
      </c>
      <c r="Q94" s="50">
        <f>VLOOKUP($A94,'Data shares'!$C:$FB,127)*100</f>
        <v>-5.17</v>
      </c>
    </row>
    <row r="95" spans="1:17" x14ac:dyDescent="0.25">
      <c r="A95" s="97" t="str">
        <f>'Data Vlaue (Cr)'!C90</f>
        <v>IEX</v>
      </c>
      <c r="B95" s="140">
        <f>VLOOKUP($A95,'Data shares'!$C:$FB,7)</f>
        <v>134.79</v>
      </c>
      <c r="C95" s="140">
        <f>VLOOKUP($A95,'Data shares'!$C:$FB,3)</f>
        <v>135.04</v>
      </c>
      <c r="D95" s="140">
        <f>VLOOKUP($A95,'Data shares'!$C:$FB,4)</f>
        <v>135.53</v>
      </c>
      <c r="E95" s="50">
        <f t="shared" si="3"/>
        <v>-0.3615435696893744</v>
      </c>
      <c r="F95" s="49">
        <f>VLOOKUP($A95,'Data shares'!$C:$FB,98)</f>
        <v>135506250</v>
      </c>
      <c r="G95" s="49">
        <f>VLOOKUP($A95,'Data shares'!$C:$FB,99)</f>
        <v>128951250</v>
      </c>
      <c r="H95" s="50">
        <f t="shared" si="4"/>
        <v>5.083316369558263</v>
      </c>
      <c r="I95" s="49">
        <f>VLOOKUP($A95,'Data shares'!$C:$FB,66)</f>
        <v>56017500</v>
      </c>
      <c r="J95" s="49">
        <f>VLOOKUP($A95,'Data shares'!$C:$FB,67)</f>
        <v>78405000</v>
      </c>
      <c r="K95" s="50">
        <f t="shared" si="5"/>
        <v>-39.965189449725528</v>
      </c>
      <c r="L95" s="50">
        <f>VLOOKUP($A95,'Data shares'!$C:$FB,118)</f>
        <v>0.59</v>
      </c>
      <c r="M95" s="50">
        <f>VLOOKUP($A95,'Data shares'!$C:$FB,119)</f>
        <v>0.59</v>
      </c>
      <c r="N95" s="50">
        <f>VLOOKUP($A95,'Data shares'!$C:$FB,121)*100</f>
        <v>0</v>
      </c>
      <c r="O95" s="50">
        <f>VLOOKUP($A95,'Data shares'!$C:$FB,124)</f>
        <v>0.59</v>
      </c>
      <c r="P95" s="50">
        <f>VLOOKUP($A95,'Data shares'!$C:$FB,125)</f>
        <v>0.69</v>
      </c>
      <c r="Q95" s="50">
        <f>VLOOKUP($A95,'Data shares'!$C:$FB,127)*100</f>
        <v>-14.49</v>
      </c>
    </row>
    <row r="96" spans="1:17" x14ac:dyDescent="0.25">
      <c r="A96" s="97" t="str">
        <f>'Data Vlaue (Cr)'!C91</f>
        <v>IGL</v>
      </c>
      <c r="B96" s="140">
        <f>VLOOKUP($A96,'Data shares'!$C:$FB,7)</f>
        <v>213.67</v>
      </c>
      <c r="C96" s="140">
        <f>VLOOKUP($A96,'Data shares'!$C:$FB,3)</f>
        <v>213.87</v>
      </c>
      <c r="D96" s="140">
        <f>VLOOKUP($A96,'Data shares'!$C:$FB,4)</f>
        <v>212.31</v>
      </c>
      <c r="E96" s="50">
        <f t="shared" si="3"/>
        <v>0.73477462201497912</v>
      </c>
      <c r="F96" s="49">
        <f>VLOOKUP($A96,'Data shares'!$C:$FB,98)</f>
        <v>50484500</v>
      </c>
      <c r="G96" s="49">
        <f>VLOOKUP($A96,'Data shares'!$C:$FB,99)</f>
        <v>50206750</v>
      </c>
      <c r="H96" s="50">
        <f t="shared" si="4"/>
        <v>0.55321246645122413</v>
      </c>
      <c r="I96" s="49">
        <f>VLOOKUP($A96,'Data shares'!$C:$FB,66)</f>
        <v>14250500</v>
      </c>
      <c r="J96" s="49">
        <f>VLOOKUP($A96,'Data shares'!$C:$FB,67)</f>
        <v>28652250</v>
      </c>
      <c r="K96" s="50">
        <f t="shared" si="5"/>
        <v>-101.06136626785025</v>
      </c>
      <c r="L96" s="50">
        <f>VLOOKUP($A96,'Data shares'!$C:$FB,118)</f>
        <v>0.5</v>
      </c>
      <c r="M96" s="50">
        <f>VLOOKUP($A96,'Data shares'!$C:$FB,119)</f>
        <v>0.51</v>
      </c>
      <c r="N96" s="50">
        <f>VLOOKUP($A96,'Data shares'!$C:$FB,121)*100</f>
        <v>-1.96</v>
      </c>
      <c r="O96" s="50">
        <f>VLOOKUP($A96,'Data shares'!$C:$FB,124)</f>
        <v>0.41</v>
      </c>
      <c r="P96" s="50">
        <f>VLOOKUP($A96,'Data shares'!$C:$FB,125)</f>
        <v>0.48</v>
      </c>
      <c r="Q96" s="50">
        <f>VLOOKUP($A96,'Data shares'!$C:$FB,127)*100</f>
        <v>-14.580000000000002</v>
      </c>
    </row>
    <row r="97" spans="1:17" x14ac:dyDescent="0.25">
      <c r="A97" s="97" t="str">
        <f>'Data Vlaue (Cr)'!C92</f>
        <v>IIFL</v>
      </c>
      <c r="B97" s="140">
        <f>VLOOKUP($A97,'Data shares'!$C:$FB,7)</f>
        <v>499.9</v>
      </c>
      <c r="C97" s="140">
        <f>VLOOKUP($A97,'Data shares'!$C:$FB,3)</f>
        <v>501.55</v>
      </c>
      <c r="D97" s="140">
        <f>VLOOKUP($A97,'Data shares'!$C:$FB,4)</f>
        <v>507.75</v>
      </c>
      <c r="E97" s="50">
        <f t="shared" si="3"/>
        <v>-1.2210733628754287</v>
      </c>
      <c r="F97" s="49">
        <f>VLOOKUP($A97,'Data shares'!$C:$FB,98)</f>
        <v>23530650</v>
      </c>
      <c r="G97" s="49">
        <f>VLOOKUP($A97,'Data shares'!$C:$FB,99)</f>
        <v>23844150</v>
      </c>
      <c r="H97" s="50">
        <f t="shared" si="4"/>
        <v>-1.3147879039512838</v>
      </c>
      <c r="I97" s="49">
        <f>VLOOKUP($A97,'Data shares'!$C:$FB,66)</f>
        <v>8476050</v>
      </c>
      <c r="J97" s="49">
        <f>VLOOKUP($A97,'Data shares'!$C:$FB,67)</f>
        <v>30388050</v>
      </c>
      <c r="K97" s="50">
        <f t="shared" si="5"/>
        <v>-258.51664395561613</v>
      </c>
      <c r="L97" s="50">
        <f>VLOOKUP($A97,'Data shares'!$C:$FB,118)</f>
        <v>0.7</v>
      </c>
      <c r="M97" s="50">
        <f>VLOOKUP($A97,'Data shares'!$C:$FB,119)</f>
        <v>0.75</v>
      </c>
      <c r="N97" s="50">
        <f>VLOOKUP($A97,'Data shares'!$C:$FB,121)*100</f>
        <v>-6.67</v>
      </c>
      <c r="O97" s="50">
        <f>VLOOKUP($A97,'Data shares'!$C:$FB,124)</f>
        <v>0.5</v>
      </c>
      <c r="P97" s="50">
        <f>VLOOKUP($A97,'Data shares'!$C:$FB,125)</f>
        <v>0.39</v>
      </c>
      <c r="Q97" s="50">
        <f>VLOOKUP($A97,'Data shares'!$C:$FB,127)*100</f>
        <v>28.21</v>
      </c>
    </row>
    <row r="98" spans="1:17" x14ac:dyDescent="0.25">
      <c r="A98" s="97" t="str">
        <f>'Data Vlaue (Cr)'!C93</f>
        <v>INDHOTEL</v>
      </c>
      <c r="B98" s="140">
        <f>VLOOKUP($A98,'Data shares'!$C:$FB,7)</f>
        <v>738.05</v>
      </c>
      <c r="C98" s="140">
        <f>VLOOKUP($A98,'Data shares'!$C:$FB,3)</f>
        <v>739.05</v>
      </c>
      <c r="D98" s="140">
        <f>VLOOKUP($A98,'Data shares'!$C:$FB,4)</f>
        <v>731</v>
      </c>
      <c r="E98" s="50">
        <f t="shared" si="3"/>
        <v>1.1012311901504725</v>
      </c>
      <c r="F98" s="49">
        <f>VLOOKUP($A98,'Data shares'!$C:$FB,98)</f>
        <v>50689000</v>
      </c>
      <c r="G98" s="49">
        <f>VLOOKUP($A98,'Data shares'!$C:$FB,99)</f>
        <v>53299000</v>
      </c>
      <c r="H98" s="50">
        <f t="shared" si="4"/>
        <v>-4.8969023809077088</v>
      </c>
      <c r="I98" s="49">
        <f>VLOOKUP($A98,'Data shares'!$C:$FB,66)</f>
        <v>23320000</v>
      </c>
      <c r="J98" s="49">
        <f>VLOOKUP($A98,'Data shares'!$C:$FB,67)</f>
        <v>29297000</v>
      </c>
      <c r="K98" s="50">
        <f t="shared" si="5"/>
        <v>-25.630360205831902</v>
      </c>
      <c r="L98" s="50">
        <f>VLOOKUP($A98,'Data shares'!$C:$FB,118)</f>
        <v>0.49</v>
      </c>
      <c r="M98" s="50">
        <f>VLOOKUP($A98,'Data shares'!$C:$FB,119)</f>
        <v>0.48</v>
      </c>
      <c r="N98" s="50">
        <f>VLOOKUP($A98,'Data shares'!$C:$FB,121)*100</f>
        <v>2.08</v>
      </c>
      <c r="O98" s="50">
        <f>VLOOKUP($A98,'Data shares'!$C:$FB,124)</f>
        <v>0.39</v>
      </c>
      <c r="P98" s="50">
        <f>VLOOKUP($A98,'Data shares'!$C:$FB,125)</f>
        <v>0.27</v>
      </c>
      <c r="Q98" s="50">
        <f>VLOOKUP($A98,'Data shares'!$C:$FB,127)*100</f>
        <v>44.440000000000005</v>
      </c>
    </row>
    <row r="99" spans="1:17" x14ac:dyDescent="0.25">
      <c r="A99" s="97" t="str">
        <f>'Data Vlaue (Cr)'!C94</f>
        <v>INDIANB</v>
      </c>
      <c r="B99" s="140">
        <f>VLOOKUP($A99,'Data shares'!$C:$FB,7)</f>
        <v>771.05</v>
      </c>
      <c r="C99" s="140">
        <f>VLOOKUP($A99,'Data shares'!$C:$FB,3)</f>
        <v>774.45</v>
      </c>
      <c r="D99" s="140">
        <f>VLOOKUP($A99,'Data shares'!$C:$FB,4)</f>
        <v>778.15</v>
      </c>
      <c r="E99" s="50">
        <f t="shared" si="3"/>
        <v>-0.47548673134998798</v>
      </c>
      <c r="F99" s="49">
        <f>VLOOKUP($A99,'Data shares'!$C:$FB,98)</f>
        <v>16663000</v>
      </c>
      <c r="G99" s="49">
        <f>VLOOKUP($A99,'Data shares'!$C:$FB,99)</f>
        <v>13763000</v>
      </c>
      <c r="H99" s="50">
        <f t="shared" si="4"/>
        <v>21.070987430066118</v>
      </c>
      <c r="I99" s="49">
        <f>VLOOKUP($A99,'Data shares'!$C:$FB,66)</f>
        <v>60762000</v>
      </c>
      <c r="J99" s="49">
        <f>VLOOKUP($A99,'Data shares'!$C:$FB,67)</f>
        <v>6346000</v>
      </c>
      <c r="K99" s="50">
        <f t="shared" si="5"/>
        <v>89.555972482801749</v>
      </c>
      <c r="L99" s="50">
        <f>VLOOKUP($A99,'Data shares'!$C:$FB,118)</f>
        <v>0.62</v>
      </c>
      <c r="M99" s="50">
        <f>VLOOKUP($A99,'Data shares'!$C:$FB,119)</f>
        <v>0.87</v>
      </c>
      <c r="N99" s="50">
        <f>VLOOKUP($A99,'Data shares'!$C:$FB,121)*100</f>
        <v>-28.74</v>
      </c>
      <c r="O99" s="50">
        <f>VLOOKUP($A99,'Data shares'!$C:$FB,124)</f>
        <v>0.44</v>
      </c>
      <c r="P99" s="50">
        <f>VLOOKUP($A99,'Data shares'!$C:$FB,125)</f>
        <v>0.51</v>
      </c>
      <c r="Q99" s="50">
        <f>VLOOKUP($A99,'Data shares'!$C:$FB,127)*100</f>
        <v>-13.73</v>
      </c>
    </row>
    <row r="100" spans="1:17" x14ac:dyDescent="0.25">
      <c r="A100" s="97" t="str">
        <f>'Data Vlaue (Cr)'!C95</f>
        <v>INDIAVIX</v>
      </c>
      <c r="B100" s="140">
        <f>VLOOKUP($A100,'Data shares'!$C:$FB,7)</f>
        <v>10.87</v>
      </c>
      <c r="C100" s="140">
        <f>VLOOKUP($A100,'Data shares'!$C:$FB,3)</f>
        <v>10.87</v>
      </c>
      <c r="D100" s="140">
        <f>VLOOKUP($A100,'Data shares'!$C:$FB,4)</f>
        <v>10.53</v>
      </c>
      <c r="E100" s="50">
        <f t="shared" si="3"/>
        <v>3.2288698955365609</v>
      </c>
      <c r="F100" s="49">
        <f>VLOOKUP($A100,'Data shares'!$C:$FB,98)</f>
        <v>0</v>
      </c>
      <c r="G100" s="49">
        <f>VLOOKUP($A100,'Data shares'!$C:$FB,99)</f>
        <v>0</v>
      </c>
      <c r="H100" s="50" t="e">
        <f t="shared" si="4"/>
        <v>#DIV/0!</v>
      </c>
      <c r="I100" s="49">
        <f>VLOOKUP($A100,'Data shares'!$C:$FB,66)</f>
        <v>0</v>
      </c>
      <c r="J100" s="49">
        <f>VLOOKUP($A100,'Data shares'!$C:$FB,67)</f>
        <v>0</v>
      </c>
      <c r="K100" s="50" t="e">
        <f t="shared" si="5"/>
        <v>#DIV/0!</v>
      </c>
      <c r="L100" s="50">
        <f>VLOOKUP($A100,'Data shares'!$C:$FB,118)</f>
        <v>0</v>
      </c>
      <c r="M100" s="50">
        <f>VLOOKUP($A100,'Data shares'!$C:$FB,119)</f>
        <v>0</v>
      </c>
      <c r="N100" s="50">
        <f>VLOOKUP($A100,'Data shares'!$C:$FB,121)*100</f>
        <v>0</v>
      </c>
      <c r="O100" s="50">
        <f>VLOOKUP($A100,'Data shares'!$C:$FB,124)</f>
        <v>0</v>
      </c>
      <c r="P100" s="50">
        <f>VLOOKUP($A100,'Data shares'!$C:$FB,125)</f>
        <v>0</v>
      </c>
      <c r="Q100" s="50">
        <f>VLOOKUP($A100,'Data shares'!$C:$FB,127)*100</f>
        <v>0</v>
      </c>
    </row>
    <row r="101" spans="1:17" x14ac:dyDescent="0.25">
      <c r="A101" s="97" t="str">
        <f>'Data Vlaue (Cr)'!C96</f>
        <v>INDIGO</v>
      </c>
      <c r="B101" s="140">
        <f>VLOOKUP($A101,'Data shares'!$C:$FB,7)</f>
        <v>5881</v>
      </c>
      <c r="C101" s="140">
        <f>VLOOKUP($A101,'Data shares'!$C:$FB,3)</f>
        <v>5893.5</v>
      </c>
      <c r="D101" s="140">
        <f>VLOOKUP($A101,'Data shares'!$C:$FB,4)</f>
        <v>5874</v>
      </c>
      <c r="E101" s="50">
        <f t="shared" si="3"/>
        <v>0.33197139938712972</v>
      </c>
      <c r="F101" s="49">
        <f>VLOOKUP($A101,'Data shares'!$C:$FB,98)</f>
        <v>11534850</v>
      </c>
      <c r="G101" s="49">
        <f>VLOOKUP($A101,'Data shares'!$C:$FB,99)</f>
        <v>11308650</v>
      </c>
      <c r="H101" s="50">
        <f t="shared" si="4"/>
        <v>2.0002387552890926</v>
      </c>
      <c r="I101" s="49">
        <f>VLOOKUP($A101,'Data shares'!$C:$FB,66)</f>
        <v>5476050</v>
      </c>
      <c r="J101" s="49">
        <f>VLOOKUP($A101,'Data shares'!$C:$FB,67)</f>
        <v>8673450</v>
      </c>
      <c r="K101" s="50">
        <f t="shared" si="5"/>
        <v>-58.388802147533347</v>
      </c>
      <c r="L101" s="50">
        <f>VLOOKUP($A101,'Data shares'!$C:$FB,118)</f>
        <v>0.78</v>
      </c>
      <c r="M101" s="50">
        <f>VLOOKUP($A101,'Data shares'!$C:$FB,119)</f>
        <v>0.82</v>
      </c>
      <c r="N101" s="50">
        <f>VLOOKUP($A101,'Data shares'!$C:$FB,121)*100</f>
        <v>-4.88</v>
      </c>
      <c r="O101" s="50">
        <f>VLOOKUP($A101,'Data shares'!$C:$FB,124)</f>
        <v>0.49</v>
      </c>
      <c r="P101" s="50">
        <f>VLOOKUP($A101,'Data shares'!$C:$FB,125)</f>
        <v>0.41</v>
      </c>
      <c r="Q101" s="50">
        <f>VLOOKUP($A101,'Data shares'!$C:$FB,127)*100</f>
        <v>19.509999999999998</v>
      </c>
    </row>
    <row r="102" spans="1:17" x14ac:dyDescent="0.25">
      <c r="A102" s="97" t="str">
        <f>'Data Vlaue (Cr)'!C97</f>
        <v>INDUSINDBK</v>
      </c>
      <c r="B102" s="140">
        <f>VLOOKUP($A102,'Data shares'!$C:$FB,7)</f>
        <v>739.5</v>
      </c>
      <c r="C102" s="140">
        <f>VLOOKUP($A102,'Data shares'!$C:$FB,3)</f>
        <v>739.7</v>
      </c>
      <c r="D102" s="140">
        <f>VLOOKUP($A102,'Data shares'!$C:$FB,4)</f>
        <v>741.95</v>
      </c>
      <c r="E102" s="50">
        <f t="shared" si="3"/>
        <v>-0.30325493631646339</v>
      </c>
      <c r="F102" s="49">
        <f>VLOOKUP($A102,'Data shares'!$C:$FB,98)</f>
        <v>81106900</v>
      </c>
      <c r="G102" s="49">
        <f>VLOOKUP($A102,'Data shares'!$C:$FB,99)</f>
        <v>79291100</v>
      </c>
      <c r="H102" s="50">
        <f t="shared" si="4"/>
        <v>2.2900426403467731</v>
      </c>
      <c r="I102" s="49">
        <f>VLOOKUP($A102,'Data shares'!$C:$FB,66)</f>
        <v>20890800</v>
      </c>
      <c r="J102" s="49">
        <f>VLOOKUP($A102,'Data shares'!$C:$FB,67)</f>
        <v>30954000</v>
      </c>
      <c r="K102" s="50">
        <f t="shared" si="5"/>
        <v>-48.170486529955767</v>
      </c>
      <c r="L102" s="50">
        <f>VLOOKUP($A102,'Data shares'!$C:$FB,118)</f>
        <v>0.88</v>
      </c>
      <c r="M102" s="50">
        <f>VLOOKUP($A102,'Data shares'!$C:$FB,119)</f>
        <v>0.89</v>
      </c>
      <c r="N102" s="50">
        <f>VLOOKUP($A102,'Data shares'!$C:$FB,121)*100</f>
        <v>-1.1199999999999999</v>
      </c>
      <c r="O102" s="50">
        <f>VLOOKUP($A102,'Data shares'!$C:$FB,124)</f>
        <v>0.52</v>
      </c>
      <c r="P102" s="50">
        <f>VLOOKUP($A102,'Data shares'!$C:$FB,125)</f>
        <v>0.68</v>
      </c>
      <c r="Q102" s="50">
        <f>VLOOKUP($A102,'Data shares'!$C:$FB,127)*100</f>
        <v>-23.53</v>
      </c>
    </row>
    <row r="103" spans="1:17" x14ac:dyDescent="0.25">
      <c r="A103" s="97" t="str">
        <f>'Data Vlaue (Cr)'!C98</f>
        <v>INDUSTOWER</v>
      </c>
      <c r="B103" s="140">
        <f>VLOOKUP($A103,'Data shares'!$C:$FB,7)</f>
        <v>343.95</v>
      </c>
      <c r="C103" s="140">
        <f>VLOOKUP($A103,'Data shares'!$C:$FB,3)</f>
        <v>345.4</v>
      </c>
      <c r="D103" s="140">
        <f>VLOOKUP($A103,'Data shares'!$C:$FB,4)</f>
        <v>346.3</v>
      </c>
      <c r="E103" s="50">
        <f t="shared" si="3"/>
        <v>-0.25989026855328734</v>
      </c>
      <c r="F103" s="49">
        <f>VLOOKUP($A103,'Data shares'!$C:$FB,98)</f>
        <v>124999300</v>
      </c>
      <c r="G103" s="49">
        <f>VLOOKUP($A103,'Data shares'!$C:$FB,99)</f>
        <v>124127200</v>
      </c>
      <c r="H103" s="50">
        <f t="shared" si="4"/>
        <v>0.70258573463350504</v>
      </c>
      <c r="I103" s="49">
        <f>VLOOKUP($A103,'Data shares'!$C:$FB,66)</f>
        <v>17445400</v>
      </c>
      <c r="J103" s="49">
        <f>VLOOKUP($A103,'Data shares'!$C:$FB,67)</f>
        <v>34289000</v>
      </c>
      <c r="K103" s="50">
        <f t="shared" si="5"/>
        <v>-96.550380042876625</v>
      </c>
      <c r="L103" s="50">
        <f>VLOOKUP($A103,'Data shares'!$C:$FB,118)</f>
        <v>0.74</v>
      </c>
      <c r="M103" s="50">
        <f>VLOOKUP($A103,'Data shares'!$C:$FB,119)</f>
        <v>0.72</v>
      </c>
      <c r="N103" s="50">
        <f>VLOOKUP($A103,'Data shares'!$C:$FB,121)*100</f>
        <v>2.78</v>
      </c>
      <c r="O103" s="50">
        <f>VLOOKUP($A103,'Data shares'!$C:$FB,124)</f>
        <v>0.52</v>
      </c>
      <c r="P103" s="50">
        <f>VLOOKUP($A103,'Data shares'!$C:$FB,125)</f>
        <v>0.5</v>
      </c>
      <c r="Q103" s="50">
        <f>VLOOKUP($A103,'Data shares'!$C:$FB,127)*100</f>
        <v>4</v>
      </c>
    </row>
    <row r="104" spans="1:17" x14ac:dyDescent="0.25">
      <c r="A104" s="97" t="str">
        <f>'Data Vlaue (Cr)'!C99</f>
        <v>INFY</v>
      </c>
      <c r="B104" s="140">
        <f>VLOOKUP($A104,'Data shares'!$C:$FB,7)</f>
        <v>1471.5</v>
      </c>
      <c r="C104" s="140">
        <f>VLOOKUP($A104,'Data shares'!$C:$FB,3)</f>
        <v>1456.9</v>
      </c>
      <c r="D104" s="140">
        <f>VLOOKUP($A104,'Data shares'!$C:$FB,4)</f>
        <v>1464.9</v>
      </c>
      <c r="E104" s="50">
        <f t="shared" si="3"/>
        <v>-0.54611236261860874</v>
      </c>
      <c r="F104" s="49">
        <f>VLOOKUP($A104,'Data shares'!$C:$FB,98)</f>
        <v>146981600</v>
      </c>
      <c r="G104" s="49">
        <f>VLOOKUP($A104,'Data shares'!$C:$FB,99)</f>
        <v>129865600</v>
      </c>
      <c r="H104" s="50">
        <f t="shared" si="4"/>
        <v>13.179779710716311</v>
      </c>
      <c r="I104" s="49">
        <f>VLOOKUP($A104,'Data shares'!$C:$FB,66)</f>
        <v>109897200</v>
      </c>
      <c r="J104" s="49">
        <f>VLOOKUP($A104,'Data shares'!$C:$FB,67)</f>
        <v>65181600</v>
      </c>
      <c r="K104" s="50">
        <f t="shared" si="5"/>
        <v>40.688570773413701</v>
      </c>
      <c r="L104" s="50">
        <f>VLOOKUP($A104,'Data shares'!$C:$FB,118)</f>
        <v>0.48</v>
      </c>
      <c r="M104" s="50">
        <f>VLOOKUP($A104,'Data shares'!$C:$FB,119)</f>
        <v>0.48</v>
      </c>
      <c r="N104" s="50">
        <f>VLOOKUP($A104,'Data shares'!$C:$FB,121)*100</f>
        <v>0</v>
      </c>
      <c r="O104" s="50">
        <f>VLOOKUP($A104,'Data shares'!$C:$FB,124)</f>
        <v>0.45</v>
      </c>
      <c r="P104" s="50">
        <f>VLOOKUP($A104,'Data shares'!$C:$FB,125)</f>
        <v>0.5</v>
      </c>
      <c r="Q104" s="50">
        <f>VLOOKUP($A104,'Data shares'!$C:$FB,127)*100</f>
        <v>-10</v>
      </c>
    </row>
    <row r="105" spans="1:17" x14ac:dyDescent="0.25">
      <c r="A105" s="97" t="str">
        <f>'Data Vlaue (Cr)'!C100</f>
        <v>INOXWIND</v>
      </c>
      <c r="B105" s="140">
        <f>VLOOKUP($A105,'Data shares'!$C:$FB,7)</f>
        <v>146.84</v>
      </c>
      <c r="C105" s="140">
        <f>VLOOKUP($A105,'Data shares'!$C:$FB,3)</f>
        <v>147.26</v>
      </c>
      <c r="D105" s="140">
        <f>VLOOKUP($A105,'Data shares'!$C:$FB,4)</f>
        <v>148.88999999999999</v>
      </c>
      <c r="E105" s="50">
        <f t="shared" si="3"/>
        <v>-1.0947679494929115</v>
      </c>
      <c r="F105" s="49">
        <f>VLOOKUP($A105,'Data shares'!$C:$FB,98)</f>
        <v>78770128</v>
      </c>
      <c r="G105" s="49">
        <f>VLOOKUP($A105,'Data shares'!$C:$FB,99)</f>
        <v>77755808</v>
      </c>
      <c r="H105" s="50">
        <f t="shared" si="4"/>
        <v>1.3044941928968188</v>
      </c>
      <c r="I105" s="49">
        <f>VLOOKUP($A105,'Data shares'!$C:$FB,66)</f>
        <v>14982488</v>
      </c>
      <c r="J105" s="49">
        <f>VLOOKUP($A105,'Data shares'!$C:$FB,67)</f>
        <v>21709720</v>
      </c>
      <c r="K105" s="50">
        <f t="shared" si="5"/>
        <v>-44.900633326053722</v>
      </c>
      <c r="L105" s="50">
        <f>VLOOKUP($A105,'Data shares'!$C:$FB,118)</f>
        <v>0.46</v>
      </c>
      <c r="M105" s="50">
        <f>VLOOKUP($A105,'Data shares'!$C:$FB,119)</f>
        <v>0.46</v>
      </c>
      <c r="N105" s="50">
        <f>VLOOKUP($A105,'Data shares'!$C:$FB,121)*100</f>
        <v>0</v>
      </c>
      <c r="O105" s="50">
        <f>VLOOKUP($A105,'Data shares'!$C:$FB,124)</f>
        <v>0.3</v>
      </c>
      <c r="P105" s="50">
        <f>VLOOKUP($A105,'Data shares'!$C:$FB,125)</f>
        <v>0.37</v>
      </c>
      <c r="Q105" s="50">
        <f>VLOOKUP($A105,'Data shares'!$C:$FB,127)*100</f>
        <v>-18.920000000000002</v>
      </c>
    </row>
    <row r="106" spans="1:17" x14ac:dyDescent="0.25">
      <c r="A106" s="97" t="str">
        <f>'Data Vlaue (Cr)'!C101</f>
        <v>IOC</v>
      </c>
      <c r="B106" s="140">
        <f>VLOOKUP($A106,'Data shares'!$C:$FB,7)</f>
        <v>153.66999999999999</v>
      </c>
      <c r="C106" s="140">
        <f>VLOOKUP($A106,'Data shares'!$C:$FB,3)</f>
        <v>153.91999999999999</v>
      </c>
      <c r="D106" s="140">
        <f>VLOOKUP($A106,'Data shares'!$C:$FB,4)</f>
        <v>154.37</v>
      </c>
      <c r="E106" s="50">
        <f t="shared" si="3"/>
        <v>-0.29150741724429424</v>
      </c>
      <c r="F106" s="49">
        <f>VLOOKUP($A106,'Data shares'!$C:$FB,98)</f>
        <v>194585625</v>
      </c>
      <c r="G106" s="49">
        <f>VLOOKUP($A106,'Data shares'!$C:$FB,99)</f>
        <v>189510750</v>
      </c>
      <c r="H106" s="50">
        <f t="shared" si="4"/>
        <v>2.6778823892576011</v>
      </c>
      <c r="I106" s="49">
        <f>VLOOKUP($A106,'Data shares'!$C:$FB,66)</f>
        <v>114855000</v>
      </c>
      <c r="J106" s="49">
        <f>VLOOKUP($A106,'Data shares'!$C:$FB,67)</f>
        <v>85990125</v>
      </c>
      <c r="K106" s="50">
        <f t="shared" si="5"/>
        <v>25.131578947368421</v>
      </c>
      <c r="L106" s="50">
        <f>VLOOKUP($A106,'Data shares'!$C:$FB,118)</f>
        <v>0.65</v>
      </c>
      <c r="M106" s="50">
        <f>VLOOKUP($A106,'Data shares'!$C:$FB,119)</f>
        <v>0.64</v>
      </c>
      <c r="N106" s="50">
        <f>VLOOKUP($A106,'Data shares'!$C:$FB,121)*100</f>
        <v>1.5599999999999998</v>
      </c>
      <c r="O106" s="50">
        <f>VLOOKUP($A106,'Data shares'!$C:$FB,124)</f>
        <v>0.56999999999999995</v>
      </c>
      <c r="P106" s="50">
        <f>VLOOKUP($A106,'Data shares'!$C:$FB,125)</f>
        <v>0.56000000000000005</v>
      </c>
      <c r="Q106" s="50">
        <f>VLOOKUP($A106,'Data shares'!$C:$FB,127)*100</f>
        <v>1.79</v>
      </c>
    </row>
    <row r="107" spans="1:17" x14ac:dyDescent="0.25">
      <c r="A107" s="97" t="str">
        <f>'Data Vlaue (Cr)'!C102</f>
        <v>IRCTC</v>
      </c>
      <c r="B107" s="140">
        <f>VLOOKUP($A107,'Data shares'!$C:$FB,7)</f>
        <v>718.9</v>
      </c>
      <c r="C107" s="140">
        <f>VLOOKUP($A107,'Data shares'!$C:$FB,3)</f>
        <v>720.95</v>
      </c>
      <c r="D107" s="140">
        <f>VLOOKUP($A107,'Data shares'!$C:$FB,4)</f>
        <v>719</v>
      </c>
      <c r="E107" s="50">
        <f t="shared" si="3"/>
        <v>0.27121001390821214</v>
      </c>
      <c r="F107" s="49">
        <f>VLOOKUP($A107,'Data shares'!$C:$FB,98)</f>
        <v>31258500</v>
      </c>
      <c r="G107" s="49">
        <f>VLOOKUP($A107,'Data shares'!$C:$FB,99)</f>
        <v>31621625</v>
      </c>
      <c r="H107" s="50">
        <f t="shared" si="4"/>
        <v>-1.1483438944077036</v>
      </c>
      <c r="I107" s="49">
        <f>VLOOKUP($A107,'Data shares'!$C:$FB,66)</f>
        <v>11939375</v>
      </c>
      <c r="J107" s="49">
        <f>VLOOKUP($A107,'Data shares'!$C:$FB,67)</f>
        <v>19043500</v>
      </c>
      <c r="K107" s="50">
        <f t="shared" si="5"/>
        <v>-59.501648955661409</v>
      </c>
      <c r="L107" s="50">
        <f>VLOOKUP($A107,'Data shares'!$C:$FB,118)</f>
        <v>0.49</v>
      </c>
      <c r="M107" s="50">
        <f>VLOOKUP($A107,'Data shares'!$C:$FB,119)</f>
        <v>0.5</v>
      </c>
      <c r="N107" s="50">
        <f>VLOOKUP($A107,'Data shares'!$C:$FB,121)*100</f>
        <v>-2</v>
      </c>
      <c r="O107" s="50">
        <f>VLOOKUP($A107,'Data shares'!$C:$FB,124)</f>
        <v>0.28999999999999998</v>
      </c>
      <c r="P107" s="50">
        <f>VLOOKUP($A107,'Data shares'!$C:$FB,125)</f>
        <v>0.2</v>
      </c>
      <c r="Q107" s="50">
        <f>VLOOKUP($A107,'Data shares'!$C:$FB,127)*100</f>
        <v>45</v>
      </c>
    </row>
    <row r="108" spans="1:17" x14ac:dyDescent="0.25">
      <c r="A108" s="97" t="str">
        <f>'Data Vlaue (Cr)'!C103</f>
        <v>IREDA</v>
      </c>
      <c r="B108" s="140">
        <f>VLOOKUP($A108,'Data shares'!$C:$FB,7)</f>
        <v>153.13</v>
      </c>
      <c r="C108" s="140">
        <f>VLOOKUP($A108,'Data shares'!$C:$FB,3)</f>
        <v>153.19</v>
      </c>
      <c r="D108" s="140">
        <f>VLOOKUP($A108,'Data shares'!$C:$FB,4)</f>
        <v>155.24</v>
      </c>
      <c r="E108" s="50">
        <f t="shared" si="3"/>
        <v>-1.3205359443442484</v>
      </c>
      <c r="F108" s="49">
        <f>VLOOKUP($A108,'Data shares'!$C:$FB,98)</f>
        <v>119928900</v>
      </c>
      <c r="G108" s="49">
        <f>VLOOKUP($A108,'Data shares'!$C:$FB,99)</f>
        <v>113439450</v>
      </c>
      <c r="H108" s="50">
        <f t="shared" si="4"/>
        <v>5.7206289346431074</v>
      </c>
      <c r="I108" s="49">
        <f>VLOOKUP($A108,'Data shares'!$C:$FB,66)</f>
        <v>71487450</v>
      </c>
      <c r="J108" s="49">
        <f>VLOOKUP($A108,'Data shares'!$C:$FB,67)</f>
        <v>267130050</v>
      </c>
      <c r="K108" s="50">
        <f t="shared" si="5"/>
        <v>-273.67405048018918</v>
      </c>
      <c r="L108" s="50">
        <f>VLOOKUP($A108,'Data shares'!$C:$FB,118)</f>
        <v>0.41</v>
      </c>
      <c r="M108" s="50">
        <f>VLOOKUP($A108,'Data shares'!$C:$FB,119)</f>
        <v>0.42</v>
      </c>
      <c r="N108" s="50">
        <f>VLOOKUP($A108,'Data shares'!$C:$FB,121)*100</f>
        <v>-2.3800000000000003</v>
      </c>
      <c r="O108" s="50">
        <f>VLOOKUP($A108,'Data shares'!$C:$FB,124)</f>
        <v>0.28000000000000003</v>
      </c>
      <c r="P108" s="50">
        <f>VLOOKUP($A108,'Data shares'!$C:$FB,125)</f>
        <v>0.31</v>
      </c>
      <c r="Q108" s="50">
        <f>VLOOKUP($A108,'Data shares'!$C:$FB,127)*100</f>
        <v>-9.68</v>
      </c>
    </row>
    <row r="109" spans="1:17" x14ac:dyDescent="0.25">
      <c r="A109" s="97" t="str">
        <f>'Data Vlaue (Cr)'!C104</f>
        <v>IRFC</v>
      </c>
      <c r="B109" s="140">
        <f>VLOOKUP($A109,'Data shares'!$C:$FB,7)</f>
        <v>124.72</v>
      </c>
      <c r="C109" s="140">
        <f>VLOOKUP($A109,'Data shares'!$C:$FB,3)</f>
        <v>123.84</v>
      </c>
      <c r="D109" s="140">
        <f>VLOOKUP($A109,'Data shares'!$C:$FB,4)</f>
        <v>124.16</v>
      </c>
      <c r="E109" s="50">
        <f t="shared" si="3"/>
        <v>-0.25773195876288113</v>
      </c>
      <c r="F109" s="49">
        <f>VLOOKUP($A109,'Data shares'!$C:$FB,98)</f>
        <v>112799250</v>
      </c>
      <c r="G109" s="49">
        <f>VLOOKUP($A109,'Data shares'!$C:$FB,99)</f>
        <v>108829750</v>
      </c>
      <c r="H109" s="50">
        <f t="shared" si="4"/>
        <v>3.6474401530831408</v>
      </c>
      <c r="I109" s="49">
        <f>VLOOKUP($A109,'Data shares'!$C:$FB,66)</f>
        <v>58790250</v>
      </c>
      <c r="J109" s="49">
        <f>VLOOKUP($A109,'Data shares'!$C:$FB,67)</f>
        <v>172061250</v>
      </c>
      <c r="K109" s="50">
        <f t="shared" si="5"/>
        <v>-192.66970288440686</v>
      </c>
      <c r="L109" s="50">
        <f>VLOOKUP($A109,'Data shares'!$C:$FB,118)</f>
        <v>0.43</v>
      </c>
      <c r="M109" s="50">
        <f>VLOOKUP($A109,'Data shares'!$C:$FB,119)</f>
        <v>0.43</v>
      </c>
      <c r="N109" s="50">
        <f>VLOOKUP($A109,'Data shares'!$C:$FB,121)*100</f>
        <v>0</v>
      </c>
      <c r="O109" s="50">
        <f>VLOOKUP($A109,'Data shares'!$C:$FB,124)</f>
        <v>0.27</v>
      </c>
      <c r="P109" s="50">
        <f>VLOOKUP($A109,'Data shares'!$C:$FB,125)</f>
        <v>0.36</v>
      </c>
      <c r="Q109" s="50">
        <f>VLOOKUP($A109,'Data shares'!$C:$FB,127)*100</f>
        <v>-25</v>
      </c>
    </row>
    <row r="110" spans="1:17" x14ac:dyDescent="0.25">
      <c r="A110" s="97" t="str">
        <f>'Data Vlaue (Cr)'!C105</f>
        <v>ITC</v>
      </c>
      <c r="B110" s="140">
        <f>VLOOKUP($A110,'Data shares'!$C:$FB,7)</f>
        <v>405.15</v>
      </c>
      <c r="C110" s="140">
        <f>VLOOKUP($A110,'Data shares'!$C:$FB,3)</f>
        <v>406.75</v>
      </c>
      <c r="D110" s="140">
        <f>VLOOKUP($A110,'Data shares'!$C:$FB,4)</f>
        <v>401.65</v>
      </c>
      <c r="E110" s="50">
        <f t="shared" si="3"/>
        <v>1.2697622307979641</v>
      </c>
      <c r="F110" s="49">
        <f>VLOOKUP($A110,'Data shares'!$C:$FB,98)</f>
        <v>221566400</v>
      </c>
      <c r="G110" s="49">
        <f>VLOOKUP($A110,'Data shares'!$C:$FB,99)</f>
        <v>224787200</v>
      </c>
      <c r="H110" s="50">
        <f t="shared" si="4"/>
        <v>-1.4328217976824302</v>
      </c>
      <c r="I110" s="49">
        <f>VLOOKUP($A110,'Data shares'!$C:$FB,66)</f>
        <v>141676800</v>
      </c>
      <c r="J110" s="49">
        <f>VLOOKUP($A110,'Data shares'!$C:$FB,67)</f>
        <v>80102400</v>
      </c>
      <c r="K110" s="50">
        <f t="shared" si="5"/>
        <v>43.461173600758912</v>
      </c>
      <c r="L110" s="50">
        <f>VLOOKUP($A110,'Data shares'!$C:$FB,118)</f>
        <v>0.74</v>
      </c>
      <c r="M110" s="50">
        <f>VLOOKUP($A110,'Data shares'!$C:$FB,119)</f>
        <v>0.67</v>
      </c>
      <c r="N110" s="50">
        <f>VLOOKUP($A110,'Data shares'!$C:$FB,121)*100</f>
        <v>10.45</v>
      </c>
      <c r="O110" s="50">
        <f>VLOOKUP($A110,'Data shares'!$C:$FB,124)</f>
        <v>0.56000000000000005</v>
      </c>
      <c r="P110" s="50">
        <f>VLOOKUP($A110,'Data shares'!$C:$FB,125)</f>
        <v>0.71</v>
      </c>
      <c r="Q110" s="50">
        <f>VLOOKUP($A110,'Data shares'!$C:$FB,127)*100</f>
        <v>-21.13</v>
      </c>
    </row>
    <row r="111" spans="1:17" x14ac:dyDescent="0.25">
      <c r="A111" s="97" t="str">
        <f>'Data Vlaue (Cr)'!C106</f>
        <v>JINDALSTEL</v>
      </c>
      <c r="B111" s="140">
        <f>VLOOKUP($A111,'Data shares'!$C:$FB,7)</f>
        <v>1022.8</v>
      </c>
      <c r="C111" s="140">
        <f>VLOOKUP($A111,'Data shares'!$C:$FB,3)</f>
        <v>1024.9000000000001</v>
      </c>
      <c r="D111" s="140">
        <f>VLOOKUP($A111,'Data shares'!$C:$FB,4)</f>
        <v>1005.8</v>
      </c>
      <c r="E111" s="50">
        <f t="shared" si="3"/>
        <v>1.8989858818850802</v>
      </c>
      <c r="F111" s="49">
        <f>VLOOKUP($A111,'Data shares'!$C:$FB,98)</f>
        <v>26727500</v>
      </c>
      <c r="G111" s="49">
        <f>VLOOKUP($A111,'Data shares'!$C:$FB,99)</f>
        <v>28091875</v>
      </c>
      <c r="H111" s="50">
        <f t="shared" si="4"/>
        <v>-4.8568313791799236</v>
      </c>
      <c r="I111" s="49">
        <f>VLOOKUP($A111,'Data shares'!$C:$FB,66)</f>
        <v>17321875</v>
      </c>
      <c r="J111" s="49">
        <f>VLOOKUP($A111,'Data shares'!$C:$FB,67)</f>
        <v>11690000</v>
      </c>
      <c r="K111" s="50">
        <f t="shared" si="5"/>
        <v>32.513079559805156</v>
      </c>
      <c r="L111" s="50">
        <f>VLOOKUP($A111,'Data shares'!$C:$FB,118)</f>
        <v>0.51</v>
      </c>
      <c r="M111" s="50">
        <f>VLOOKUP($A111,'Data shares'!$C:$FB,119)</f>
        <v>0.45</v>
      </c>
      <c r="N111" s="50">
        <f>VLOOKUP($A111,'Data shares'!$C:$FB,121)*100</f>
        <v>13.33</v>
      </c>
      <c r="O111" s="50">
        <f>VLOOKUP($A111,'Data shares'!$C:$FB,124)</f>
        <v>0.37</v>
      </c>
      <c r="P111" s="50">
        <f>VLOOKUP($A111,'Data shares'!$C:$FB,125)</f>
        <v>0.24</v>
      </c>
      <c r="Q111" s="50">
        <f>VLOOKUP($A111,'Data shares'!$C:$FB,127)*100</f>
        <v>54.169999999999995</v>
      </c>
    </row>
    <row r="112" spans="1:17" x14ac:dyDescent="0.25">
      <c r="A112" s="97" t="str">
        <f>'Data Vlaue (Cr)'!C107</f>
        <v>JIOFIN</v>
      </c>
      <c r="B112" s="140">
        <f>VLOOKUP($A112,'Data shares'!$C:$FB,7)</f>
        <v>312.10000000000002</v>
      </c>
      <c r="C112" s="140">
        <f>VLOOKUP($A112,'Data shares'!$C:$FB,3)</f>
        <v>313.3</v>
      </c>
      <c r="D112" s="140">
        <f>VLOOKUP($A112,'Data shares'!$C:$FB,4)</f>
        <v>313.95</v>
      </c>
      <c r="E112" s="50">
        <f t="shared" si="3"/>
        <v>-0.20703933747411285</v>
      </c>
      <c r="F112" s="49">
        <f>VLOOKUP($A112,'Data shares'!$C:$FB,98)</f>
        <v>257980650</v>
      </c>
      <c r="G112" s="49">
        <f>VLOOKUP($A112,'Data shares'!$C:$FB,99)</f>
        <v>240595350</v>
      </c>
      <c r="H112" s="50">
        <f t="shared" si="4"/>
        <v>7.2259501274650573</v>
      </c>
      <c r="I112" s="49">
        <f>VLOOKUP($A112,'Data shares'!$C:$FB,66)</f>
        <v>131835000</v>
      </c>
      <c r="J112" s="49">
        <f>VLOOKUP($A112,'Data shares'!$C:$FB,67)</f>
        <v>181488150</v>
      </c>
      <c r="K112" s="50">
        <f t="shared" si="5"/>
        <v>-37.663101604278076</v>
      </c>
      <c r="L112" s="50">
        <f>VLOOKUP($A112,'Data shares'!$C:$FB,118)</f>
        <v>0.59</v>
      </c>
      <c r="M112" s="50">
        <f>VLOOKUP($A112,'Data shares'!$C:$FB,119)</f>
        <v>0.63</v>
      </c>
      <c r="N112" s="50">
        <f>VLOOKUP($A112,'Data shares'!$C:$FB,121)*100</f>
        <v>-6.35</v>
      </c>
      <c r="O112" s="50">
        <f>VLOOKUP($A112,'Data shares'!$C:$FB,124)</f>
        <v>0.44</v>
      </c>
      <c r="P112" s="50">
        <f>VLOOKUP($A112,'Data shares'!$C:$FB,125)</f>
        <v>0.37</v>
      </c>
      <c r="Q112" s="50">
        <f>VLOOKUP($A112,'Data shares'!$C:$FB,127)*100</f>
        <v>18.920000000000002</v>
      </c>
    </row>
    <row r="113" spans="1:17" x14ac:dyDescent="0.25">
      <c r="A113" s="97" t="str">
        <f>'Data Vlaue (Cr)'!C108</f>
        <v>JSWENERGY</v>
      </c>
      <c r="B113" s="140">
        <f>VLOOKUP($A113,'Data shares'!$C:$FB,7)</f>
        <v>548.6</v>
      </c>
      <c r="C113" s="140">
        <f>VLOOKUP($A113,'Data shares'!$C:$FB,3)</f>
        <v>549.35</v>
      </c>
      <c r="D113" s="140">
        <f>VLOOKUP($A113,'Data shares'!$C:$FB,4)</f>
        <v>546.85</v>
      </c>
      <c r="E113" s="50">
        <f t="shared" si="3"/>
        <v>0.45716375605741971</v>
      </c>
      <c r="F113" s="49">
        <f>VLOOKUP($A113,'Data shares'!$C:$FB,98)</f>
        <v>50654000</v>
      </c>
      <c r="G113" s="49">
        <f>VLOOKUP($A113,'Data shares'!$C:$FB,99)</f>
        <v>50362000</v>
      </c>
      <c r="H113" s="50">
        <f t="shared" si="4"/>
        <v>0.57980223184146773</v>
      </c>
      <c r="I113" s="49">
        <f>VLOOKUP($A113,'Data shares'!$C:$FB,66)</f>
        <v>18941000</v>
      </c>
      <c r="J113" s="49">
        <f>VLOOKUP($A113,'Data shares'!$C:$FB,67)</f>
        <v>10857000</v>
      </c>
      <c r="K113" s="50">
        <f t="shared" si="5"/>
        <v>42.679900744416869</v>
      </c>
      <c r="L113" s="50">
        <f>VLOOKUP($A113,'Data shares'!$C:$FB,118)</f>
        <v>0.44</v>
      </c>
      <c r="M113" s="50">
        <f>VLOOKUP($A113,'Data shares'!$C:$FB,119)</f>
        <v>0.46</v>
      </c>
      <c r="N113" s="50">
        <f>VLOOKUP($A113,'Data shares'!$C:$FB,121)*100</f>
        <v>-4.3499999999999996</v>
      </c>
      <c r="O113" s="50">
        <f>VLOOKUP($A113,'Data shares'!$C:$FB,124)</f>
        <v>0.23</v>
      </c>
      <c r="P113" s="50">
        <f>VLOOKUP($A113,'Data shares'!$C:$FB,125)</f>
        <v>0.23</v>
      </c>
      <c r="Q113" s="50">
        <f>VLOOKUP($A113,'Data shares'!$C:$FB,127)*100</f>
        <v>0</v>
      </c>
    </row>
    <row r="114" spans="1:17" x14ac:dyDescent="0.25">
      <c r="A114" s="97" t="str">
        <f>'Data Vlaue (Cr)'!C109</f>
        <v>JSWSTEEL</v>
      </c>
      <c r="B114" s="140">
        <f>VLOOKUP($A114,'Data shares'!$C:$FB,7)</f>
        <v>1172.0999999999999</v>
      </c>
      <c r="C114" s="140">
        <f>VLOOKUP($A114,'Data shares'!$C:$FB,3)</f>
        <v>1173.5999999999999</v>
      </c>
      <c r="D114" s="140">
        <f>VLOOKUP($A114,'Data shares'!$C:$FB,4)</f>
        <v>1165.5</v>
      </c>
      <c r="E114" s="50">
        <f t="shared" si="3"/>
        <v>0.69498069498068715</v>
      </c>
      <c r="F114" s="49">
        <f>VLOOKUP($A114,'Data shares'!$C:$FB,98)</f>
        <v>55602450</v>
      </c>
      <c r="G114" s="49">
        <f>VLOOKUP($A114,'Data shares'!$C:$FB,99)</f>
        <v>55354725</v>
      </c>
      <c r="H114" s="50">
        <f t="shared" si="4"/>
        <v>0.44752277244625455</v>
      </c>
      <c r="I114" s="49">
        <f>VLOOKUP($A114,'Data shares'!$C:$FB,66)</f>
        <v>9640350</v>
      </c>
      <c r="J114" s="49">
        <f>VLOOKUP($A114,'Data shares'!$C:$FB,67)</f>
        <v>8061525</v>
      </c>
      <c r="K114" s="50">
        <f t="shared" si="5"/>
        <v>16.377258087102646</v>
      </c>
      <c r="L114" s="50">
        <f>VLOOKUP($A114,'Data shares'!$C:$FB,118)</f>
        <v>0.69</v>
      </c>
      <c r="M114" s="50">
        <f>VLOOKUP($A114,'Data shares'!$C:$FB,119)</f>
        <v>0.65</v>
      </c>
      <c r="N114" s="50">
        <f>VLOOKUP($A114,'Data shares'!$C:$FB,121)*100</f>
        <v>6.15</v>
      </c>
      <c r="O114" s="50">
        <f>VLOOKUP($A114,'Data shares'!$C:$FB,124)</f>
        <v>0.48</v>
      </c>
      <c r="P114" s="50">
        <f>VLOOKUP($A114,'Data shares'!$C:$FB,125)</f>
        <v>0.47</v>
      </c>
      <c r="Q114" s="50">
        <f>VLOOKUP($A114,'Data shares'!$C:$FB,127)*100</f>
        <v>2.13</v>
      </c>
    </row>
    <row r="115" spans="1:17" x14ac:dyDescent="0.25">
      <c r="A115" s="97" t="str">
        <f>'Data Vlaue (Cr)'!C110</f>
        <v>JUBLFOOD</v>
      </c>
      <c r="B115" s="140">
        <f>VLOOKUP($A115,'Data shares'!$C:$FB,7)</f>
        <v>595.29999999999995</v>
      </c>
      <c r="C115" s="140">
        <f>VLOOKUP($A115,'Data shares'!$C:$FB,3)</f>
        <v>596.5</v>
      </c>
      <c r="D115" s="140">
        <f>VLOOKUP($A115,'Data shares'!$C:$FB,4)</f>
        <v>587.25</v>
      </c>
      <c r="E115" s="50">
        <f t="shared" si="3"/>
        <v>1.5751383567475523</v>
      </c>
      <c r="F115" s="49">
        <f>VLOOKUP($A115,'Data shares'!$C:$FB,98)</f>
        <v>38955000</v>
      </c>
      <c r="G115" s="49">
        <f>VLOOKUP($A115,'Data shares'!$C:$FB,99)</f>
        <v>40815000</v>
      </c>
      <c r="H115" s="50">
        <f t="shared" si="4"/>
        <v>-4.5571481073134876</v>
      </c>
      <c r="I115" s="49">
        <f>VLOOKUP($A115,'Data shares'!$C:$FB,66)</f>
        <v>17542500</v>
      </c>
      <c r="J115" s="49">
        <f>VLOOKUP($A115,'Data shares'!$C:$FB,67)</f>
        <v>13681250</v>
      </c>
      <c r="K115" s="50">
        <f t="shared" si="5"/>
        <v>22.010830839390053</v>
      </c>
      <c r="L115" s="50">
        <f>VLOOKUP($A115,'Data shares'!$C:$FB,118)</f>
        <v>0.43</v>
      </c>
      <c r="M115" s="50">
        <f>VLOOKUP($A115,'Data shares'!$C:$FB,119)</f>
        <v>0.42</v>
      </c>
      <c r="N115" s="50">
        <f>VLOOKUP($A115,'Data shares'!$C:$FB,121)*100</f>
        <v>2.3800000000000003</v>
      </c>
      <c r="O115" s="50">
        <f>VLOOKUP($A115,'Data shares'!$C:$FB,124)</f>
        <v>0.26</v>
      </c>
      <c r="P115" s="50">
        <f>VLOOKUP($A115,'Data shares'!$C:$FB,125)</f>
        <v>0.24</v>
      </c>
      <c r="Q115" s="50">
        <f>VLOOKUP($A115,'Data shares'!$C:$FB,127)*100</f>
        <v>8.33</v>
      </c>
    </row>
    <row r="116" spans="1:17" x14ac:dyDescent="0.25">
      <c r="A116" s="97" t="str">
        <f>'Data Vlaue (Cr)'!C111</f>
        <v>KALYANKJIL</v>
      </c>
      <c r="B116" s="140">
        <f>VLOOKUP($A116,'Data shares'!$C:$FB,7)</f>
        <v>487.15</v>
      </c>
      <c r="C116" s="140">
        <f>VLOOKUP($A116,'Data shares'!$C:$FB,3)</f>
        <v>488.45</v>
      </c>
      <c r="D116" s="140">
        <f>VLOOKUP($A116,'Data shares'!$C:$FB,4)</f>
        <v>478.7</v>
      </c>
      <c r="E116" s="50">
        <f t="shared" si="3"/>
        <v>2.0367662419051595</v>
      </c>
      <c r="F116" s="49">
        <f>VLOOKUP($A116,'Data shares'!$C:$FB,98)</f>
        <v>54926550</v>
      </c>
      <c r="G116" s="49">
        <f>VLOOKUP($A116,'Data shares'!$C:$FB,99)</f>
        <v>56588000</v>
      </c>
      <c r="H116" s="50">
        <f t="shared" si="4"/>
        <v>-2.9360465116279069</v>
      </c>
      <c r="I116" s="49">
        <f>VLOOKUP($A116,'Data shares'!$C:$FB,66)</f>
        <v>47358375</v>
      </c>
      <c r="J116" s="49">
        <f>VLOOKUP($A116,'Data shares'!$C:$FB,67)</f>
        <v>19348725</v>
      </c>
      <c r="K116" s="50">
        <f t="shared" si="5"/>
        <v>59.144026795682912</v>
      </c>
      <c r="L116" s="50">
        <f>VLOOKUP($A116,'Data shares'!$C:$FB,118)</f>
        <v>0.49</v>
      </c>
      <c r="M116" s="50">
        <f>VLOOKUP($A116,'Data shares'!$C:$FB,119)</f>
        <v>0.49</v>
      </c>
      <c r="N116" s="50">
        <f>VLOOKUP($A116,'Data shares'!$C:$FB,121)*100</f>
        <v>0</v>
      </c>
      <c r="O116" s="50">
        <f>VLOOKUP($A116,'Data shares'!$C:$FB,124)</f>
        <v>0.37</v>
      </c>
      <c r="P116" s="50">
        <f>VLOOKUP($A116,'Data shares'!$C:$FB,125)</f>
        <v>0.32</v>
      </c>
      <c r="Q116" s="50">
        <f>VLOOKUP($A116,'Data shares'!$C:$FB,127)*100</f>
        <v>15.620000000000001</v>
      </c>
    </row>
    <row r="117" spans="1:17" x14ac:dyDescent="0.25">
      <c r="A117" s="97" t="str">
        <f>'Data Vlaue (Cr)'!C112</f>
        <v>KAYNES</v>
      </c>
      <c r="B117" s="140">
        <f>VLOOKUP($A117,'Data shares'!$C:$FB,7)</f>
        <v>6991.5</v>
      </c>
      <c r="C117" s="140">
        <f>VLOOKUP($A117,'Data shares'!$C:$FB,3)</f>
        <v>6999</v>
      </c>
      <c r="D117" s="140">
        <f>VLOOKUP($A117,'Data shares'!$C:$FB,4)</f>
        <v>6970.5</v>
      </c>
      <c r="E117" s="50">
        <f t="shared" si="3"/>
        <v>0.4088659350118356</v>
      </c>
      <c r="F117" s="49">
        <f>VLOOKUP($A117,'Data shares'!$C:$FB,98)</f>
        <v>4805600</v>
      </c>
      <c r="G117" s="49">
        <f>VLOOKUP($A117,'Data shares'!$C:$FB,99)</f>
        <v>4619000</v>
      </c>
      <c r="H117" s="50">
        <f t="shared" si="4"/>
        <v>4.0398354622212596</v>
      </c>
      <c r="I117" s="49">
        <f>VLOOKUP($A117,'Data shares'!$C:$FB,66)</f>
        <v>5323100</v>
      </c>
      <c r="J117" s="49">
        <f>VLOOKUP($A117,'Data shares'!$C:$FB,67)</f>
        <v>2879000</v>
      </c>
      <c r="K117" s="50">
        <f t="shared" si="5"/>
        <v>45.914974357047583</v>
      </c>
      <c r="L117" s="50">
        <f>VLOOKUP($A117,'Data shares'!$C:$FB,118)</f>
        <v>0.42</v>
      </c>
      <c r="M117" s="50">
        <f>VLOOKUP($A117,'Data shares'!$C:$FB,119)</f>
        <v>0.44</v>
      </c>
      <c r="N117" s="50">
        <f>VLOOKUP($A117,'Data shares'!$C:$FB,121)*100</f>
        <v>-4.55</v>
      </c>
      <c r="O117" s="50">
        <f>VLOOKUP($A117,'Data shares'!$C:$FB,124)</f>
        <v>0.28000000000000003</v>
      </c>
      <c r="P117" s="50">
        <f>VLOOKUP($A117,'Data shares'!$C:$FB,125)</f>
        <v>0.37</v>
      </c>
      <c r="Q117" s="50">
        <f>VLOOKUP($A117,'Data shares'!$C:$FB,127)*100</f>
        <v>-24.32</v>
      </c>
    </row>
    <row r="118" spans="1:17" x14ac:dyDescent="0.25">
      <c r="A118" s="97" t="str">
        <f>'Data Vlaue (Cr)'!C113</f>
        <v>KEI</v>
      </c>
      <c r="B118" s="140">
        <f>VLOOKUP($A118,'Data shares'!$C:$FB,7)</f>
        <v>4172.6000000000004</v>
      </c>
      <c r="C118" s="140">
        <f>VLOOKUP($A118,'Data shares'!$C:$FB,3)</f>
        <v>4171.5</v>
      </c>
      <c r="D118" s="140">
        <f>VLOOKUP($A118,'Data shares'!$C:$FB,4)</f>
        <v>4436.2</v>
      </c>
      <c r="E118" s="50">
        <f t="shared" si="3"/>
        <v>-5.9668184482214466</v>
      </c>
      <c r="F118" s="49">
        <f>VLOOKUP($A118,'Data shares'!$C:$FB,98)</f>
        <v>4257750</v>
      </c>
      <c r="G118" s="49">
        <f>VLOOKUP($A118,'Data shares'!$C:$FB,99)</f>
        <v>2650200</v>
      </c>
      <c r="H118" s="50">
        <f t="shared" si="4"/>
        <v>60.657686212361327</v>
      </c>
      <c r="I118" s="49">
        <f>VLOOKUP($A118,'Data shares'!$C:$FB,66)</f>
        <v>19894175</v>
      </c>
      <c r="J118" s="49">
        <f>VLOOKUP($A118,'Data shares'!$C:$FB,67)</f>
        <v>5420100</v>
      </c>
      <c r="K118" s="50">
        <f t="shared" si="5"/>
        <v>72.755341701779543</v>
      </c>
      <c r="L118" s="50">
        <f>VLOOKUP($A118,'Data shares'!$C:$FB,118)</f>
        <v>0.38</v>
      </c>
      <c r="M118" s="50">
        <f>VLOOKUP($A118,'Data shares'!$C:$FB,119)</f>
        <v>0.67</v>
      </c>
      <c r="N118" s="50">
        <f>VLOOKUP($A118,'Data shares'!$C:$FB,121)*100</f>
        <v>-43.28</v>
      </c>
      <c r="O118" s="50">
        <f>VLOOKUP($A118,'Data shares'!$C:$FB,124)</f>
        <v>0.41</v>
      </c>
      <c r="P118" s="50">
        <f>VLOOKUP($A118,'Data shares'!$C:$FB,125)</f>
        <v>0.36</v>
      </c>
      <c r="Q118" s="50">
        <f>VLOOKUP($A118,'Data shares'!$C:$FB,127)*100</f>
        <v>13.889999999999999</v>
      </c>
    </row>
    <row r="119" spans="1:17" x14ac:dyDescent="0.25">
      <c r="A119" s="97" t="str">
        <f>'Data Vlaue (Cr)'!C114</f>
        <v>KFINTECH</v>
      </c>
      <c r="B119" s="140">
        <f>VLOOKUP($A119,'Data shares'!$C:$FB,7)</f>
        <v>1123.9000000000001</v>
      </c>
      <c r="C119" s="140">
        <f>VLOOKUP($A119,'Data shares'!$C:$FB,3)</f>
        <v>1127.5999999999999</v>
      </c>
      <c r="D119" s="140">
        <f>VLOOKUP($A119,'Data shares'!$C:$FB,4)</f>
        <v>1131.5</v>
      </c>
      <c r="E119" s="50">
        <f t="shared" si="3"/>
        <v>-0.34467520989837303</v>
      </c>
      <c r="F119" s="49">
        <f>VLOOKUP($A119,'Data shares'!$C:$FB,98)</f>
        <v>5338350</v>
      </c>
      <c r="G119" s="49">
        <f>VLOOKUP($A119,'Data shares'!$C:$FB,99)</f>
        <v>5298750</v>
      </c>
      <c r="H119" s="50">
        <f t="shared" si="4"/>
        <v>0.74734607218683646</v>
      </c>
      <c r="I119" s="49">
        <f>VLOOKUP($A119,'Data shares'!$C:$FB,66)</f>
        <v>2688300</v>
      </c>
      <c r="J119" s="49">
        <f>VLOOKUP($A119,'Data shares'!$C:$FB,67)</f>
        <v>4181850</v>
      </c>
      <c r="K119" s="50">
        <f t="shared" si="5"/>
        <v>-55.557415467023773</v>
      </c>
      <c r="L119" s="50">
        <f>VLOOKUP($A119,'Data shares'!$C:$FB,118)</f>
        <v>0.56000000000000005</v>
      </c>
      <c r="M119" s="50">
        <f>VLOOKUP($A119,'Data shares'!$C:$FB,119)</f>
        <v>0.54</v>
      </c>
      <c r="N119" s="50">
        <f>VLOOKUP($A119,'Data shares'!$C:$FB,121)*100</f>
        <v>3.6999999999999997</v>
      </c>
      <c r="O119" s="50">
        <f>VLOOKUP($A119,'Data shares'!$C:$FB,124)</f>
        <v>0.51</v>
      </c>
      <c r="P119" s="50">
        <f>VLOOKUP($A119,'Data shares'!$C:$FB,125)</f>
        <v>0.37</v>
      </c>
      <c r="Q119" s="50">
        <f>VLOOKUP($A119,'Data shares'!$C:$FB,127)*100</f>
        <v>37.840000000000003</v>
      </c>
    </row>
    <row r="120" spans="1:17" x14ac:dyDescent="0.25">
      <c r="A120" s="97" t="str">
        <f>'Data Vlaue (Cr)'!C115</f>
        <v>KOTAKBANK</v>
      </c>
      <c r="B120" s="140">
        <f>VLOOKUP($A120,'Data shares'!$C:$FB,7)</f>
        <v>2205.4</v>
      </c>
      <c r="C120" s="140">
        <f>VLOOKUP($A120,'Data shares'!$C:$FB,3)</f>
        <v>2208</v>
      </c>
      <c r="D120" s="140">
        <f>VLOOKUP($A120,'Data shares'!$C:$FB,4)</f>
        <v>2153</v>
      </c>
      <c r="E120" s="50">
        <f t="shared" si="3"/>
        <v>2.5545750116117047</v>
      </c>
      <c r="F120" s="49">
        <f>VLOOKUP($A120,'Data shares'!$C:$FB,98)</f>
        <v>52005200</v>
      </c>
      <c r="G120" s="49">
        <f>VLOOKUP($A120,'Data shares'!$C:$FB,99)</f>
        <v>50637600</v>
      </c>
      <c r="H120" s="50">
        <f t="shared" si="4"/>
        <v>2.7007599096323682</v>
      </c>
      <c r="I120" s="49">
        <f>VLOOKUP($A120,'Data shares'!$C:$FB,66)</f>
        <v>55751600</v>
      </c>
      <c r="J120" s="49">
        <f>VLOOKUP($A120,'Data shares'!$C:$FB,67)</f>
        <v>14695200</v>
      </c>
      <c r="K120" s="50">
        <f t="shared" si="5"/>
        <v>73.641653333715979</v>
      </c>
      <c r="L120" s="50">
        <f>VLOOKUP($A120,'Data shares'!$C:$FB,118)</f>
        <v>1.0900000000000001</v>
      </c>
      <c r="M120" s="50">
        <f>VLOOKUP($A120,'Data shares'!$C:$FB,119)</f>
        <v>1.01</v>
      </c>
      <c r="N120" s="50">
        <f>VLOOKUP($A120,'Data shares'!$C:$FB,121)*100</f>
        <v>7.9200000000000008</v>
      </c>
      <c r="O120" s="50">
        <f>VLOOKUP($A120,'Data shares'!$C:$FB,124)</f>
        <v>0.66</v>
      </c>
      <c r="P120" s="50">
        <f>VLOOKUP($A120,'Data shares'!$C:$FB,125)</f>
        <v>0.67</v>
      </c>
      <c r="Q120" s="50">
        <f>VLOOKUP($A120,'Data shares'!$C:$FB,127)*100</f>
        <v>-1.49</v>
      </c>
    </row>
    <row r="121" spans="1:17" x14ac:dyDescent="0.25">
      <c r="A121" s="97" t="str">
        <f>'Data Vlaue (Cr)'!C116</f>
        <v>KPITTECH</v>
      </c>
      <c r="B121" s="140">
        <f>VLOOKUP($A121,'Data shares'!$C:$FB,7)</f>
        <v>1161.9000000000001</v>
      </c>
      <c r="C121" s="140">
        <f>VLOOKUP($A121,'Data shares'!$C:$FB,3)</f>
        <v>1163.0999999999999</v>
      </c>
      <c r="D121" s="140">
        <f>VLOOKUP($A121,'Data shares'!$C:$FB,4)</f>
        <v>1162</v>
      </c>
      <c r="E121" s="50">
        <f t="shared" si="3"/>
        <v>9.4664371772797684E-2</v>
      </c>
      <c r="F121" s="49">
        <f>VLOOKUP($A121,'Data shares'!$C:$FB,98)</f>
        <v>10530800</v>
      </c>
      <c r="G121" s="49">
        <f>VLOOKUP($A121,'Data shares'!$C:$FB,99)</f>
        <v>10855200</v>
      </c>
      <c r="H121" s="50">
        <f t="shared" si="4"/>
        <v>-2.9884295084383523</v>
      </c>
      <c r="I121" s="49">
        <f>VLOOKUP($A121,'Data shares'!$C:$FB,66)</f>
        <v>2867200</v>
      </c>
      <c r="J121" s="49">
        <f>VLOOKUP($A121,'Data shares'!$C:$FB,67)</f>
        <v>3153600</v>
      </c>
      <c r="K121" s="50">
        <f t="shared" si="5"/>
        <v>-9.9888392857142865</v>
      </c>
      <c r="L121" s="50">
        <f>VLOOKUP($A121,'Data shares'!$C:$FB,118)</f>
        <v>0.69</v>
      </c>
      <c r="M121" s="50">
        <f>VLOOKUP($A121,'Data shares'!$C:$FB,119)</f>
        <v>0.67</v>
      </c>
      <c r="N121" s="50">
        <f>VLOOKUP($A121,'Data shares'!$C:$FB,121)*100</f>
        <v>2.9899999999999998</v>
      </c>
      <c r="O121" s="50">
        <f>VLOOKUP($A121,'Data shares'!$C:$FB,124)</f>
        <v>0.45</v>
      </c>
      <c r="P121" s="50">
        <f>VLOOKUP($A121,'Data shares'!$C:$FB,125)</f>
        <v>0.33</v>
      </c>
      <c r="Q121" s="50">
        <f>VLOOKUP($A121,'Data shares'!$C:$FB,127)*100</f>
        <v>36.36</v>
      </c>
    </row>
    <row r="122" spans="1:17" x14ac:dyDescent="0.25">
      <c r="A122" s="97" t="str">
        <f>'Data Vlaue (Cr)'!C117</f>
        <v>LAURUSLABS</v>
      </c>
      <c r="B122" s="140">
        <f>VLOOKUP($A122,'Data shares'!$C:$FB,7)</f>
        <v>872.85</v>
      </c>
      <c r="C122" s="140">
        <f>VLOOKUP($A122,'Data shares'!$C:$FB,3)</f>
        <v>876.6</v>
      </c>
      <c r="D122" s="140">
        <f>VLOOKUP($A122,'Data shares'!$C:$FB,4)</f>
        <v>879.35</v>
      </c>
      <c r="E122" s="50">
        <f t="shared" si="3"/>
        <v>-0.31273099448456243</v>
      </c>
      <c r="F122" s="49">
        <f>VLOOKUP($A122,'Data shares'!$C:$FB,98)</f>
        <v>48742400</v>
      </c>
      <c r="G122" s="49">
        <f>VLOOKUP($A122,'Data shares'!$C:$FB,99)</f>
        <v>47377300</v>
      </c>
      <c r="H122" s="50">
        <f t="shared" si="4"/>
        <v>2.8813376870357748</v>
      </c>
      <c r="I122" s="49">
        <f>VLOOKUP($A122,'Data shares'!$C:$FB,66)</f>
        <v>17353600</v>
      </c>
      <c r="J122" s="49">
        <f>VLOOKUP($A122,'Data shares'!$C:$FB,67)</f>
        <v>13130800</v>
      </c>
      <c r="K122" s="50">
        <f t="shared" si="5"/>
        <v>24.33385579937304</v>
      </c>
      <c r="L122" s="50">
        <f>VLOOKUP($A122,'Data shares'!$C:$FB,118)</f>
        <v>0.54</v>
      </c>
      <c r="M122" s="50">
        <f>VLOOKUP($A122,'Data shares'!$C:$FB,119)</f>
        <v>0.54</v>
      </c>
      <c r="N122" s="50">
        <f>VLOOKUP($A122,'Data shares'!$C:$FB,121)*100</f>
        <v>0</v>
      </c>
      <c r="O122" s="50">
        <f>VLOOKUP($A122,'Data shares'!$C:$FB,124)</f>
        <v>0.38</v>
      </c>
      <c r="P122" s="50">
        <f>VLOOKUP($A122,'Data shares'!$C:$FB,125)</f>
        <v>0.45</v>
      </c>
      <c r="Q122" s="50">
        <f>VLOOKUP($A122,'Data shares'!$C:$FB,127)*100</f>
        <v>-15.559999999999999</v>
      </c>
    </row>
    <row r="123" spans="1:17" x14ac:dyDescent="0.25">
      <c r="A123" s="97" t="str">
        <f>'Data Vlaue (Cr)'!C118</f>
        <v>LICHSGFIN</v>
      </c>
      <c r="B123" s="140">
        <f>VLOOKUP($A123,'Data shares'!$C:$FB,7)</f>
        <v>569.29999999999995</v>
      </c>
      <c r="C123" s="140">
        <f>VLOOKUP($A123,'Data shares'!$C:$FB,3)</f>
        <v>570.25</v>
      </c>
      <c r="D123" s="140">
        <f>VLOOKUP($A123,'Data shares'!$C:$FB,4)</f>
        <v>571.6</v>
      </c>
      <c r="E123" s="50">
        <f t="shared" si="3"/>
        <v>-0.23617914625612713</v>
      </c>
      <c r="F123" s="49">
        <f>VLOOKUP($A123,'Data shares'!$C:$FB,98)</f>
        <v>49000000</v>
      </c>
      <c r="G123" s="49">
        <f>VLOOKUP($A123,'Data shares'!$C:$FB,99)</f>
        <v>48223000</v>
      </c>
      <c r="H123" s="50">
        <f t="shared" si="4"/>
        <v>1.6112643344462187</v>
      </c>
      <c r="I123" s="49">
        <f>VLOOKUP($A123,'Data shares'!$C:$FB,66)</f>
        <v>8904000</v>
      </c>
      <c r="J123" s="49">
        <f>VLOOKUP($A123,'Data shares'!$C:$FB,67)</f>
        <v>8964000</v>
      </c>
      <c r="K123" s="50">
        <f t="shared" si="5"/>
        <v>-0.67385444743935319</v>
      </c>
      <c r="L123" s="50">
        <f>VLOOKUP($A123,'Data shares'!$C:$FB,118)</f>
        <v>0.71</v>
      </c>
      <c r="M123" s="50">
        <f>VLOOKUP($A123,'Data shares'!$C:$FB,119)</f>
        <v>0.74</v>
      </c>
      <c r="N123" s="50">
        <f>VLOOKUP($A123,'Data shares'!$C:$FB,121)*100</f>
        <v>-4.05</v>
      </c>
      <c r="O123" s="50">
        <f>VLOOKUP($A123,'Data shares'!$C:$FB,124)</f>
        <v>0.36</v>
      </c>
      <c r="P123" s="50">
        <f>VLOOKUP($A123,'Data shares'!$C:$FB,125)</f>
        <v>0.43</v>
      </c>
      <c r="Q123" s="50">
        <f>VLOOKUP($A123,'Data shares'!$C:$FB,127)*100</f>
        <v>-16.28</v>
      </c>
    </row>
    <row r="124" spans="1:17" x14ac:dyDescent="0.25">
      <c r="A124" s="97" t="str">
        <f>'Data Vlaue (Cr)'!C119</f>
        <v>LICI</v>
      </c>
      <c r="B124" s="140">
        <f>VLOOKUP($A124,'Data shares'!$C:$FB,7)</f>
        <v>894.15</v>
      </c>
      <c r="C124" s="140">
        <f>VLOOKUP($A124,'Data shares'!$C:$FB,3)</f>
        <v>894.85</v>
      </c>
      <c r="D124" s="140">
        <f>VLOOKUP($A124,'Data shares'!$C:$FB,4)</f>
        <v>902.7</v>
      </c>
      <c r="E124" s="50">
        <f t="shared" si="3"/>
        <v>-0.8696133820759967</v>
      </c>
      <c r="F124" s="49">
        <f>VLOOKUP($A124,'Data shares'!$C:$FB,98)</f>
        <v>15865500</v>
      </c>
      <c r="G124" s="49">
        <f>VLOOKUP($A124,'Data shares'!$C:$FB,99)</f>
        <v>15349600</v>
      </c>
      <c r="H124" s="50">
        <f t="shared" si="4"/>
        <v>3.3609996351696458</v>
      </c>
      <c r="I124" s="49">
        <f>VLOOKUP($A124,'Data shares'!$C:$FB,66)</f>
        <v>8654800</v>
      </c>
      <c r="J124" s="49">
        <f>VLOOKUP($A124,'Data shares'!$C:$FB,67)</f>
        <v>5215000</v>
      </c>
      <c r="K124" s="50">
        <f t="shared" si="5"/>
        <v>39.744419281785831</v>
      </c>
      <c r="L124" s="50">
        <f>VLOOKUP($A124,'Data shares'!$C:$FB,118)</f>
        <v>0.44</v>
      </c>
      <c r="M124" s="50">
        <f>VLOOKUP($A124,'Data shares'!$C:$FB,119)</f>
        <v>0.43</v>
      </c>
      <c r="N124" s="50">
        <f>VLOOKUP($A124,'Data shares'!$C:$FB,121)*100</f>
        <v>2.33</v>
      </c>
      <c r="O124" s="50">
        <f>VLOOKUP($A124,'Data shares'!$C:$FB,124)</f>
        <v>0.45</v>
      </c>
      <c r="P124" s="50">
        <f>VLOOKUP($A124,'Data shares'!$C:$FB,125)</f>
        <v>0.32</v>
      </c>
      <c r="Q124" s="50">
        <f>VLOOKUP($A124,'Data shares'!$C:$FB,127)*100</f>
        <v>40.630000000000003</v>
      </c>
    </row>
    <row r="125" spans="1:17" x14ac:dyDescent="0.25">
      <c r="A125" s="97" t="str">
        <f>'Data Vlaue (Cr)'!C120</f>
        <v>LODHA</v>
      </c>
      <c r="B125" s="140">
        <f>VLOOKUP($A125,'Data shares'!$C:$FB,7)</f>
        <v>1194.8</v>
      </c>
      <c r="C125" s="140">
        <f>VLOOKUP($A125,'Data shares'!$C:$FB,3)</f>
        <v>1196</v>
      </c>
      <c r="D125" s="140">
        <f>VLOOKUP($A125,'Data shares'!$C:$FB,4)</f>
        <v>1174.5</v>
      </c>
      <c r="E125" s="50">
        <f t="shared" si="3"/>
        <v>1.8305661983822903</v>
      </c>
      <c r="F125" s="49">
        <f>VLOOKUP($A125,'Data shares'!$C:$FB,98)</f>
        <v>16718400</v>
      </c>
      <c r="G125" s="49">
        <f>VLOOKUP($A125,'Data shares'!$C:$FB,99)</f>
        <v>18186300</v>
      </c>
      <c r="H125" s="50">
        <f t="shared" si="4"/>
        <v>-8.0714603850150937</v>
      </c>
      <c r="I125" s="49">
        <f>VLOOKUP($A125,'Data shares'!$C:$FB,66)</f>
        <v>14914350</v>
      </c>
      <c r="J125" s="49">
        <f>VLOOKUP($A125,'Data shares'!$C:$FB,67)</f>
        <v>18982800</v>
      </c>
      <c r="K125" s="50">
        <f t="shared" si="5"/>
        <v>-27.278761729475303</v>
      </c>
      <c r="L125" s="50">
        <f>VLOOKUP($A125,'Data shares'!$C:$FB,118)</f>
        <v>0.67</v>
      </c>
      <c r="M125" s="50">
        <f>VLOOKUP($A125,'Data shares'!$C:$FB,119)</f>
        <v>0.59</v>
      </c>
      <c r="N125" s="50">
        <f>VLOOKUP($A125,'Data shares'!$C:$FB,121)*100</f>
        <v>13.56</v>
      </c>
      <c r="O125" s="50">
        <f>VLOOKUP($A125,'Data shares'!$C:$FB,124)</f>
        <v>0.24</v>
      </c>
      <c r="P125" s="50">
        <f>VLOOKUP($A125,'Data shares'!$C:$FB,125)</f>
        <v>0.27</v>
      </c>
      <c r="Q125" s="50">
        <f>VLOOKUP($A125,'Data shares'!$C:$FB,127)*100</f>
        <v>-11.110000000000001</v>
      </c>
    </row>
    <row r="126" spans="1:17" x14ac:dyDescent="0.25">
      <c r="A126" s="97" t="str">
        <f>'Data Vlaue (Cr)'!C121</f>
        <v>LT</v>
      </c>
      <c r="B126" s="140">
        <f>VLOOKUP($A126,'Data shares'!$C:$FB,7)</f>
        <v>3861.8</v>
      </c>
      <c r="C126" s="140">
        <f>VLOOKUP($A126,'Data shares'!$C:$FB,3)</f>
        <v>3866.7</v>
      </c>
      <c r="D126" s="140">
        <f>VLOOKUP($A126,'Data shares'!$C:$FB,4)</f>
        <v>3836.6</v>
      </c>
      <c r="E126" s="50">
        <f t="shared" si="3"/>
        <v>0.784548819267057</v>
      </c>
      <c r="F126" s="49">
        <f>VLOOKUP($A126,'Data shares'!$C:$FB,98)</f>
        <v>28471625</v>
      </c>
      <c r="G126" s="49">
        <f>VLOOKUP($A126,'Data shares'!$C:$FB,99)</f>
        <v>27896400</v>
      </c>
      <c r="H126" s="50">
        <f t="shared" si="4"/>
        <v>2.0620044163404594</v>
      </c>
      <c r="I126" s="49">
        <f>VLOOKUP($A126,'Data shares'!$C:$FB,66)</f>
        <v>22309875</v>
      </c>
      <c r="J126" s="49">
        <f>VLOOKUP($A126,'Data shares'!$C:$FB,67)</f>
        <v>29716750</v>
      </c>
      <c r="K126" s="50">
        <f t="shared" si="5"/>
        <v>-33.199984311879824</v>
      </c>
      <c r="L126" s="50">
        <f>VLOOKUP($A126,'Data shares'!$C:$FB,118)</f>
        <v>0.62</v>
      </c>
      <c r="M126" s="50">
        <f>VLOOKUP($A126,'Data shares'!$C:$FB,119)</f>
        <v>0.55000000000000004</v>
      </c>
      <c r="N126" s="50">
        <f>VLOOKUP($A126,'Data shares'!$C:$FB,121)*100</f>
        <v>12.73</v>
      </c>
      <c r="O126" s="50">
        <f>VLOOKUP($A126,'Data shares'!$C:$FB,124)</f>
        <v>0.57999999999999996</v>
      </c>
      <c r="P126" s="50">
        <f>VLOOKUP($A126,'Data shares'!$C:$FB,125)</f>
        <v>0.51</v>
      </c>
      <c r="Q126" s="50">
        <f>VLOOKUP($A126,'Data shares'!$C:$FB,127)*100</f>
        <v>13.73</v>
      </c>
    </row>
    <row r="127" spans="1:17" x14ac:dyDescent="0.25">
      <c r="A127" s="97" t="str">
        <f>'Data Vlaue (Cr)'!C122</f>
        <v>LTF</v>
      </c>
      <c r="B127" s="140">
        <f>VLOOKUP($A127,'Data shares'!$C:$FB,7)</f>
        <v>269.19</v>
      </c>
      <c r="C127" s="140">
        <f>VLOOKUP($A127,'Data shares'!$C:$FB,3)</f>
        <v>269.57</v>
      </c>
      <c r="D127" s="140">
        <f>VLOOKUP($A127,'Data shares'!$C:$FB,4)</f>
        <v>272.06</v>
      </c>
      <c r="E127" s="50">
        <f t="shared" si="3"/>
        <v>-0.91523928545174194</v>
      </c>
      <c r="F127" s="49">
        <f>VLOOKUP($A127,'Data shares'!$C:$FB,98)</f>
        <v>121250388</v>
      </c>
      <c r="G127" s="49">
        <f>VLOOKUP($A127,'Data shares'!$C:$FB,99)</f>
        <v>117908350</v>
      </c>
      <c r="H127" s="50">
        <f t="shared" si="4"/>
        <v>2.8344370860927155</v>
      </c>
      <c r="I127" s="49">
        <f>VLOOKUP($A127,'Data shares'!$C:$FB,66)</f>
        <v>285434140</v>
      </c>
      <c r="J127" s="49">
        <f>VLOOKUP($A127,'Data shares'!$C:$FB,67)</f>
        <v>151641070</v>
      </c>
      <c r="K127" s="50">
        <f t="shared" si="5"/>
        <v>46.873534469282475</v>
      </c>
      <c r="L127" s="50">
        <f>VLOOKUP($A127,'Data shares'!$C:$FB,118)</f>
        <v>0.99</v>
      </c>
      <c r="M127" s="50">
        <f>VLOOKUP($A127,'Data shares'!$C:$FB,119)</f>
        <v>0.99</v>
      </c>
      <c r="N127" s="50">
        <f>VLOOKUP($A127,'Data shares'!$C:$FB,121)*100</f>
        <v>0</v>
      </c>
      <c r="O127" s="50">
        <f>VLOOKUP($A127,'Data shares'!$C:$FB,124)</f>
        <v>0.65</v>
      </c>
      <c r="P127" s="50">
        <f>VLOOKUP($A127,'Data shares'!$C:$FB,125)</f>
        <v>0.56999999999999995</v>
      </c>
      <c r="Q127" s="50">
        <f>VLOOKUP($A127,'Data shares'!$C:$FB,127)*100</f>
        <v>14.04</v>
      </c>
    </row>
    <row r="128" spans="1:17" x14ac:dyDescent="0.25">
      <c r="A128" s="97" t="str">
        <f>'Data Vlaue (Cr)'!C123</f>
        <v>LTIM</v>
      </c>
      <c r="B128" s="140">
        <f>VLOOKUP($A128,'Data shares'!$C:$FB,7)</f>
        <v>5622.5</v>
      </c>
      <c r="C128" s="140">
        <f>VLOOKUP($A128,'Data shares'!$C:$FB,3)</f>
        <v>5619</v>
      </c>
      <c r="D128" s="140">
        <f>VLOOKUP($A128,'Data shares'!$C:$FB,4)</f>
        <v>5611</v>
      </c>
      <c r="E128" s="50">
        <f t="shared" si="3"/>
        <v>0.14257708073427197</v>
      </c>
      <c r="F128" s="49">
        <f>VLOOKUP($A128,'Data shares'!$C:$FB,98)</f>
        <v>5420100</v>
      </c>
      <c r="G128" s="49">
        <f>VLOOKUP($A128,'Data shares'!$C:$FB,99)</f>
        <v>4908450</v>
      </c>
      <c r="H128" s="50">
        <f t="shared" si="4"/>
        <v>10.423860892949913</v>
      </c>
      <c r="I128" s="49">
        <f>VLOOKUP($A128,'Data shares'!$C:$FB,66)</f>
        <v>5543250</v>
      </c>
      <c r="J128" s="49">
        <f>VLOOKUP($A128,'Data shares'!$C:$FB,67)</f>
        <v>6659400</v>
      </c>
      <c r="K128" s="50">
        <f t="shared" si="5"/>
        <v>-20.135299688810715</v>
      </c>
      <c r="L128" s="50">
        <f>VLOOKUP($A128,'Data shares'!$C:$FB,118)</f>
        <v>0.66</v>
      </c>
      <c r="M128" s="50">
        <f>VLOOKUP($A128,'Data shares'!$C:$FB,119)</f>
        <v>0.73</v>
      </c>
      <c r="N128" s="50">
        <f>VLOOKUP($A128,'Data shares'!$C:$FB,121)*100</f>
        <v>-9.59</v>
      </c>
      <c r="O128" s="50">
        <f>VLOOKUP($A128,'Data shares'!$C:$FB,124)</f>
        <v>0.47</v>
      </c>
      <c r="P128" s="50">
        <f>VLOOKUP($A128,'Data shares'!$C:$FB,125)</f>
        <v>0.32</v>
      </c>
      <c r="Q128" s="50">
        <f>VLOOKUP($A128,'Data shares'!$C:$FB,127)*100</f>
        <v>46.87</v>
      </c>
    </row>
    <row r="129" spans="1:17" x14ac:dyDescent="0.25">
      <c r="A129" s="97" t="str">
        <f>'Data Vlaue (Cr)'!C124</f>
        <v>LUPIN</v>
      </c>
      <c r="B129" s="140">
        <f>VLOOKUP($A129,'Data shares'!$C:$FB,7)</f>
        <v>1951.2</v>
      </c>
      <c r="C129" s="140">
        <f>VLOOKUP($A129,'Data shares'!$C:$FB,3)</f>
        <v>1958.9</v>
      </c>
      <c r="D129" s="140">
        <f>VLOOKUP($A129,'Data shares'!$C:$FB,4)</f>
        <v>1947.4</v>
      </c>
      <c r="E129" s="50">
        <f t="shared" si="3"/>
        <v>0.59053096436274011</v>
      </c>
      <c r="F129" s="49">
        <f>VLOOKUP($A129,'Data shares'!$C:$FB,98)</f>
        <v>17473875</v>
      </c>
      <c r="G129" s="49">
        <f>VLOOKUP($A129,'Data shares'!$C:$FB,99)</f>
        <v>17447100</v>
      </c>
      <c r="H129" s="50">
        <f t="shared" si="4"/>
        <v>0.15346389944460684</v>
      </c>
      <c r="I129" s="49">
        <f>VLOOKUP($A129,'Data shares'!$C:$FB,66)</f>
        <v>3664350</v>
      </c>
      <c r="J129" s="49">
        <f>VLOOKUP($A129,'Data shares'!$C:$FB,67)</f>
        <v>4503725</v>
      </c>
      <c r="K129" s="50">
        <f t="shared" si="5"/>
        <v>-22.906518209232196</v>
      </c>
      <c r="L129" s="50">
        <f>VLOOKUP($A129,'Data shares'!$C:$FB,118)</f>
        <v>0.62</v>
      </c>
      <c r="M129" s="50">
        <f>VLOOKUP($A129,'Data shares'!$C:$FB,119)</f>
        <v>0.63</v>
      </c>
      <c r="N129" s="50">
        <f>VLOOKUP($A129,'Data shares'!$C:$FB,121)*100</f>
        <v>-1.59</v>
      </c>
      <c r="O129" s="50">
        <f>VLOOKUP($A129,'Data shares'!$C:$FB,124)</f>
        <v>0.25</v>
      </c>
      <c r="P129" s="50">
        <f>VLOOKUP($A129,'Data shares'!$C:$FB,125)</f>
        <v>0.34</v>
      </c>
      <c r="Q129" s="50">
        <f>VLOOKUP($A129,'Data shares'!$C:$FB,127)*100</f>
        <v>-26.47</v>
      </c>
    </row>
    <row r="130" spans="1:17" x14ac:dyDescent="0.25">
      <c r="A130" s="97" t="str">
        <f>'Data Vlaue (Cr)'!C125</f>
        <v>M&amp;M</v>
      </c>
      <c r="B130" s="140">
        <f>VLOOKUP($A130,'Data shares'!$C:$FB,7)</f>
        <v>3560.8</v>
      </c>
      <c r="C130" s="140">
        <f>VLOOKUP($A130,'Data shares'!$C:$FB,3)</f>
        <v>3567.2</v>
      </c>
      <c r="D130" s="140">
        <f>VLOOKUP($A130,'Data shares'!$C:$FB,4)</f>
        <v>3501.8</v>
      </c>
      <c r="E130" s="50">
        <f t="shared" si="3"/>
        <v>1.8676109429436185</v>
      </c>
      <c r="F130" s="49">
        <f>VLOOKUP($A130,'Data shares'!$C:$FB,98)</f>
        <v>28671800</v>
      </c>
      <c r="G130" s="49">
        <f>VLOOKUP($A130,'Data shares'!$C:$FB,99)</f>
        <v>29017600</v>
      </c>
      <c r="H130" s="50">
        <f t="shared" si="4"/>
        <v>-1.1916905602117336</v>
      </c>
      <c r="I130" s="49">
        <f>VLOOKUP($A130,'Data shares'!$C:$FB,66)</f>
        <v>23290400</v>
      </c>
      <c r="J130" s="49">
        <f>VLOOKUP($A130,'Data shares'!$C:$FB,67)</f>
        <v>10731200</v>
      </c>
      <c r="K130" s="50">
        <f t="shared" si="5"/>
        <v>53.924363686325691</v>
      </c>
      <c r="L130" s="50">
        <f>VLOOKUP($A130,'Data shares'!$C:$FB,118)</f>
        <v>0.52</v>
      </c>
      <c r="M130" s="50">
        <f>VLOOKUP($A130,'Data shares'!$C:$FB,119)</f>
        <v>0.46</v>
      </c>
      <c r="N130" s="50">
        <f>VLOOKUP($A130,'Data shares'!$C:$FB,121)*100</f>
        <v>13.04</v>
      </c>
      <c r="O130" s="50">
        <f>VLOOKUP($A130,'Data shares'!$C:$FB,124)</f>
        <v>0.4</v>
      </c>
      <c r="P130" s="50">
        <f>VLOOKUP($A130,'Data shares'!$C:$FB,125)</f>
        <v>0.45</v>
      </c>
      <c r="Q130" s="50">
        <f>VLOOKUP($A130,'Data shares'!$C:$FB,127)*100</f>
        <v>-11.110000000000001</v>
      </c>
    </row>
    <row r="131" spans="1:17" x14ac:dyDescent="0.25">
      <c r="A131" s="97" t="str">
        <f>'Data Vlaue (Cr)'!C126</f>
        <v>MANAPPURAM</v>
      </c>
      <c r="B131" s="140">
        <f>VLOOKUP($A131,'Data shares'!$C:$FB,7)</f>
        <v>286.8</v>
      </c>
      <c r="C131" s="140">
        <f>VLOOKUP($A131,'Data shares'!$C:$FB,3)</f>
        <v>287.3</v>
      </c>
      <c r="D131" s="140">
        <f>VLOOKUP($A131,'Data shares'!$C:$FB,4)</f>
        <v>289.89999999999998</v>
      </c>
      <c r="E131" s="50">
        <f t="shared" si="3"/>
        <v>-0.89686098654707358</v>
      </c>
      <c r="F131" s="49">
        <f>VLOOKUP($A131,'Data shares'!$C:$FB,98)</f>
        <v>54957000</v>
      </c>
      <c r="G131" s="49">
        <f>VLOOKUP($A131,'Data shares'!$C:$FB,99)</f>
        <v>53250000</v>
      </c>
      <c r="H131" s="50">
        <f t="shared" si="4"/>
        <v>3.2056338028169011</v>
      </c>
      <c r="I131" s="49">
        <f>VLOOKUP($A131,'Data shares'!$C:$FB,66)</f>
        <v>21528000</v>
      </c>
      <c r="J131" s="49">
        <f>VLOOKUP($A131,'Data shares'!$C:$FB,67)</f>
        <v>20247000</v>
      </c>
      <c r="K131" s="50">
        <f t="shared" si="5"/>
        <v>5.9503901895206237</v>
      </c>
      <c r="L131" s="50">
        <f>VLOOKUP($A131,'Data shares'!$C:$FB,118)</f>
        <v>0.49</v>
      </c>
      <c r="M131" s="50">
        <f>VLOOKUP($A131,'Data shares'!$C:$FB,119)</f>
        <v>0.56000000000000005</v>
      </c>
      <c r="N131" s="50">
        <f>VLOOKUP($A131,'Data shares'!$C:$FB,121)*100</f>
        <v>-12.5</v>
      </c>
      <c r="O131" s="50">
        <f>VLOOKUP($A131,'Data shares'!$C:$FB,124)</f>
        <v>0.3</v>
      </c>
      <c r="P131" s="50">
        <f>VLOOKUP($A131,'Data shares'!$C:$FB,125)</f>
        <v>0.36</v>
      </c>
      <c r="Q131" s="50">
        <f>VLOOKUP($A131,'Data shares'!$C:$FB,127)*100</f>
        <v>-16.669999999999998</v>
      </c>
    </row>
    <row r="132" spans="1:17" x14ac:dyDescent="0.25">
      <c r="A132" s="97" t="str">
        <f>'Data Vlaue (Cr)'!C127</f>
        <v>MANKIND</v>
      </c>
      <c r="B132" s="140">
        <f>VLOOKUP($A132,'Data shares'!$C:$FB,7)</f>
        <v>2455.3000000000002</v>
      </c>
      <c r="C132" s="140">
        <f>VLOOKUP($A132,'Data shares'!$C:$FB,3)</f>
        <v>2462</v>
      </c>
      <c r="D132" s="140">
        <f>VLOOKUP($A132,'Data shares'!$C:$FB,4)</f>
        <v>2443.1</v>
      </c>
      <c r="E132" s="50">
        <f t="shared" si="3"/>
        <v>0.77360730219803087</v>
      </c>
      <c r="F132" s="49">
        <f>VLOOKUP($A132,'Data shares'!$C:$FB,98)</f>
        <v>3110175</v>
      </c>
      <c r="G132" s="49">
        <f>VLOOKUP($A132,'Data shares'!$C:$FB,99)</f>
        <v>3135375</v>
      </c>
      <c r="H132" s="50">
        <f t="shared" si="4"/>
        <v>-0.80373161105130964</v>
      </c>
      <c r="I132" s="49">
        <f>VLOOKUP($A132,'Data shares'!$C:$FB,66)</f>
        <v>1083600</v>
      </c>
      <c r="J132" s="49">
        <f>VLOOKUP($A132,'Data shares'!$C:$FB,67)</f>
        <v>1357425</v>
      </c>
      <c r="K132" s="50">
        <f t="shared" si="5"/>
        <v>-25.269933554817275</v>
      </c>
      <c r="L132" s="50">
        <f>VLOOKUP($A132,'Data shares'!$C:$FB,118)</f>
        <v>0.43</v>
      </c>
      <c r="M132" s="50">
        <f>VLOOKUP($A132,'Data shares'!$C:$FB,119)</f>
        <v>0.42</v>
      </c>
      <c r="N132" s="50">
        <f>VLOOKUP($A132,'Data shares'!$C:$FB,121)*100</f>
        <v>2.3800000000000003</v>
      </c>
      <c r="O132" s="50">
        <f>VLOOKUP($A132,'Data shares'!$C:$FB,124)</f>
        <v>0.26</v>
      </c>
      <c r="P132" s="50">
        <f>VLOOKUP($A132,'Data shares'!$C:$FB,125)</f>
        <v>0.32</v>
      </c>
      <c r="Q132" s="50">
        <f>VLOOKUP($A132,'Data shares'!$C:$FB,127)*100</f>
        <v>-18.75</v>
      </c>
    </row>
    <row r="133" spans="1:17" x14ac:dyDescent="0.25">
      <c r="A133" s="97" t="str">
        <f>'Data Vlaue (Cr)'!C128</f>
        <v>MARICO</v>
      </c>
      <c r="B133" s="140">
        <f>VLOOKUP($A133,'Data shares'!$C:$FB,7)</f>
        <v>725.7</v>
      </c>
      <c r="C133" s="140">
        <f>VLOOKUP($A133,'Data shares'!$C:$FB,3)</f>
        <v>726.7</v>
      </c>
      <c r="D133" s="140">
        <f>VLOOKUP($A133,'Data shares'!$C:$FB,4)</f>
        <v>710.45</v>
      </c>
      <c r="E133" s="50">
        <f t="shared" si="3"/>
        <v>2.2872827081427261</v>
      </c>
      <c r="F133" s="49">
        <f>VLOOKUP($A133,'Data shares'!$C:$FB,98)</f>
        <v>33674400</v>
      </c>
      <c r="G133" s="49">
        <f>VLOOKUP($A133,'Data shares'!$C:$FB,99)</f>
        <v>33886800</v>
      </c>
      <c r="H133" s="50">
        <f t="shared" si="4"/>
        <v>-0.62679273345373421</v>
      </c>
      <c r="I133" s="49">
        <f>VLOOKUP($A133,'Data shares'!$C:$FB,66)</f>
        <v>13602000</v>
      </c>
      <c r="J133" s="49">
        <f>VLOOKUP($A133,'Data shares'!$C:$FB,67)</f>
        <v>6430800</v>
      </c>
      <c r="K133" s="50">
        <f t="shared" si="5"/>
        <v>52.721658579620645</v>
      </c>
      <c r="L133" s="50">
        <f>VLOOKUP($A133,'Data shares'!$C:$FB,118)</f>
        <v>0.64</v>
      </c>
      <c r="M133" s="50">
        <f>VLOOKUP($A133,'Data shares'!$C:$FB,119)</f>
        <v>0.59</v>
      </c>
      <c r="N133" s="50">
        <f>VLOOKUP($A133,'Data shares'!$C:$FB,121)*100</f>
        <v>8.4699999999999989</v>
      </c>
      <c r="O133" s="50">
        <f>VLOOKUP($A133,'Data shares'!$C:$FB,124)</f>
        <v>0.28999999999999998</v>
      </c>
      <c r="P133" s="50">
        <f>VLOOKUP($A133,'Data shares'!$C:$FB,125)</f>
        <v>0.43</v>
      </c>
      <c r="Q133" s="50">
        <f>VLOOKUP($A133,'Data shares'!$C:$FB,127)*100</f>
        <v>-32.56</v>
      </c>
    </row>
    <row r="134" spans="1:17" x14ac:dyDescent="0.25">
      <c r="A134" s="97" t="str">
        <f>'Data Vlaue (Cr)'!C129</f>
        <v>MARUTI</v>
      </c>
      <c r="B134" s="140">
        <f>VLOOKUP($A134,'Data shares'!$C:$FB,7)</f>
        <v>16298</v>
      </c>
      <c r="C134" s="140">
        <f>VLOOKUP($A134,'Data shares'!$C:$FB,3)</f>
        <v>16354</v>
      </c>
      <c r="D134" s="140">
        <f>VLOOKUP($A134,'Data shares'!$C:$FB,4)</f>
        <v>16273</v>
      </c>
      <c r="E134" s="50">
        <f t="shared" si="3"/>
        <v>0.49775702083205309</v>
      </c>
      <c r="F134" s="49">
        <f>VLOOKUP($A134,'Data shares'!$C:$FB,98)</f>
        <v>7660200</v>
      </c>
      <c r="G134" s="49">
        <f>VLOOKUP($A134,'Data shares'!$C:$FB,99)</f>
        <v>7749200</v>
      </c>
      <c r="H134" s="50">
        <f t="shared" si="4"/>
        <v>-1.1485056521963557</v>
      </c>
      <c r="I134" s="49">
        <f>VLOOKUP($A134,'Data shares'!$C:$FB,66)</f>
        <v>4389350</v>
      </c>
      <c r="J134" s="49">
        <f>VLOOKUP($A134,'Data shares'!$C:$FB,67)</f>
        <v>5526950</v>
      </c>
      <c r="K134" s="50">
        <f t="shared" si="5"/>
        <v>-25.917277045576228</v>
      </c>
      <c r="L134" s="50">
        <f>VLOOKUP($A134,'Data shares'!$C:$FB,118)</f>
        <v>0.57999999999999996</v>
      </c>
      <c r="M134" s="50">
        <f>VLOOKUP($A134,'Data shares'!$C:$FB,119)</f>
        <v>0.55000000000000004</v>
      </c>
      <c r="N134" s="50">
        <f>VLOOKUP($A134,'Data shares'!$C:$FB,121)*100</f>
        <v>5.45</v>
      </c>
      <c r="O134" s="50">
        <f>VLOOKUP($A134,'Data shares'!$C:$FB,124)</f>
        <v>0.54</v>
      </c>
      <c r="P134" s="50">
        <f>VLOOKUP($A134,'Data shares'!$C:$FB,125)</f>
        <v>0.69</v>
      </c>
      <c r="Q134" s="50">
        <f>VLOOKUP($A134,'Data shares'!$C:$FB,127)*100</f>
        <v>-21.740000000000002</v>
      </c>
    </row>
    <row r="135" spans="1:17" x14ac:dyDescent="0.25">
      <c r="A135" s="97" t="str">
        <f>'Data Vlaue (Cr)'!C130</f>
        <v>MAXHEALTH</v>
      </c>
      <c r="B135" s="140">
        <f>VLOOKUP($A135,'Data shares'!$C:$FB,7)</f>
        <v>1175.3</v>
      </c>
      <c r="C135" s="140">
        <f>VLOOKUP($A135,'Data shares'!$C:$FB,3)</f>
        <v>1178.7</v>
      </c>
      <c r="D135" s="140">
        <f>VLOOKUP($A135,'Data shares'!$C:$FB,4)</f>
        <v>1159.3</v>
      </c>
      <c r="E135" s="50">
        <f t="shared" si="3"/>
        <v>1.6734236177003443</v>
      </c>
      <c r="F135" s="49">
        <f>VLOOKUP($A135,'Data shares'!$C:$FB,98)</f>
        <v>23508450</v>
      </c>
      <c r="G135" s="49">
        <f>VLOOKUP($A135,'Data shares'!$C:$FB,99)</f>
        <v>23245950</v>
      </c>
      <c r="H135" s="50">
        <f t="shared" si="4"/>
        <v>1.1292289624644294</v>
      </c>
      <c r="I135" s="49">
        <f>VLOOKUP($A135,'Data shares'!$C:$FB,66)</f>
        <v>10033800</v>
      </c>
      <c r="J135" s="49">
        <f>VLOOKUP($A135,'Data shares'!$C:$FB,67)</f>
        <v>8422575</v>
      </c>
      <c r="K135" s="50">
        <f t="shared" si="5"/>
        <v>16.057974047718709</v>
      </c>
      <c r="L135" s="50">
        <f>VLOOKUP($A135,'Data shares'!$C:$FB,118)</f>
        <v>0.68</v>
      </c>
      <c r="M135" s="50">
        <f>VLOOKUP($A135,'Data shares'!$C:$FB,119)</f>
        <v>0.7</v>
      </c>
      <c r="N135" s="50">
        <f>VLOOKUP($A135,'Data shares'!$C:$FB,121)*100</f>
        <v>-2.86</v>
      </c>
      <c r="O135" s="50">
        <f>VLOOKUP($A135,'Data shares'!$C:$FB,124)</f>
        <v>0.35</v>
      </c>
      <c r="P135" s="50">
        <f>VLOOKUP($A135,'Data shares'!$C:$FB,125)</f>
        <v>0.53</v>
      </c>
      <c r="Q135" s="50">
        <f>VLOOKUP($A135,'Data shares'!$C:$FB,127)*100</f>
        <v>-33.96</v>
      </c>
    </row>
    <row r="136" spans="1:17" x14ac:dyDescent="0.25">
      <c r="A136" s="97" t="str">
        <f>'Data Vlaue (Cr)'!C131</f>
        <v>MAZDOCK</v>
      </c>
      <c r="B136" s="140">
        <f>VLOOKUP($A136,'Data shares'!$C:$FB,7)</f>
        <v>2831.9</v>
      </c>
      <c r="C136" s="140">
        <f>VLOOKUP($A136,'Data shares'!$C:$FB,3)</f>
        <v>2844</v>
      </c>
      <c r="D136" s="140">
        <f>VLOOKUP($A136,'Data shares'!$C:$FB,4)</f>
        <v>2864.5</v>
      </c>
      <c r="E136" s="50">
        <f t="shared" ref="E136:E172" si="6">(C136-D136)/D136*100</f>
        <v>-0.71565718275440737</v>
      </c>
      <c r="F136" s="49">
        <f>VLOOKUP($A136,'Data shares'!$C:$FB,98)</f>
        <v>8094450</v>
      </c>
      <c r="G136" s="49">
        <f>VLOOKUP($A136,'Data shares'!$C:$FB,99)</f>
        <v>8034250</v>
      </c>
      <c r="H136" s="50">
        <f t="shared" ref="H136:H172" si="7">(F136-G136)/G136*100</f>
        <v>0.74929209322587664</v>
      </c>
      <c r="I136" s="49">
        <f>VLOOKUP($A136,'Data shares'!$C:$FB,66)</f>
        <v>3650150</v>
      </c>
      <c r="J136" s="49">
        <f>VLOOKUP($A136,'Data shares'!$C:$FB,67)</f>
        <v>6306300</v>
      </c>
      <c r="K136" s="50">
        <f t="shared" ref="K136:K172" si="8">(I136-J136)/I136*100</f>
        <v>-72.768242400997224</v>
      </c>
      <c r="L136" s="50">
        <f>VLOOKUP($A136,'Data shares'!$C:$FB,118)</f>
        <v>0.48</v>
      </c>
      <c r="M136" s="50">
        <f>VLOOKUP($A136,'Data shares'!$C:$FB,119)</f>
        <v>0.48</v>
      </c>
      <c r="N136" s="50">
        <f>VLOOKUP($A136,'Data shares'!$C:$FB,121)*100</f>
        <v>0</v>
      </c>
      <c r="O136" s="50">
        <f>VLOOKUP($A136,'Data shares'!$C:$FB,124)</f>
        <v>0.34</v>
      </c>
      <c r="P136" s="50">
        <f>VLOOKUP($A136,'Data shares'!$C:$FB,125)</f>
        <v>0.28000000000000003</v>
      </c>
      <c r="Q136" s="50">
        <f>VLOOKUP($A136,'Data shares'!$C:$FB,127)*100</f>
        <v>21.43</v>
      </c>
    </row>
    <row r="137" spans="1:17" x14ac:dyDescent="0.25">
      <c r="A137" s="97" t="str">
        <f>'Data Vlaue (Cr)'!C132</f>
        <v>MCX</v>
      </c>
      <c r="B137" s="140">
        <f>VLOOKUP($A137,'Data shares'!$C:$FB,7)</f>
        <v>9330.5</v>
      </c>
      <c r="C137" s="140">
        <f>VLOOKUP($A137,'Data shares'!$C:$FB,3)</f>
        <v>9360.5</v>
      </c>
      <c r="D137" s="140">
        <f>VLOOKUP($A137,'Data shares'!$C:$FB,4)</f>
        <v>9579.5</v>
      </c>
      <c r="E137" s="50">
        <f t="shared" si="6"/>
        <v>-2.2861318440419649</v>
      </c>
      <c r="F137" s="49">
        <f>VLOOKUP($A137,'Data shares'!$C:$FB,98)</f>
        <v>8882750</v>
      </c>
      <c r="G137" s="49">
        <f>VLOOKUP($A137,'Data shares'!$C:$FB,99)</f>
        <v>8804375</v>
      </c>
      <c r="H137" s="50">
        <f t="shared" si="7"/>
        <v>0.89018243770852568</v>
      </c>
      <c r="I137" s="49">
        <f>VLOOKUP($A137,'Data shares'!$C:$FB,66)</f>
        <v>15393625</v>
      </c>
      <c r="J137" s="49">
        <f>VLOOKUP($A137,'Data shares'!$C:$FB,67)</f>
        <v>17129875</v>
      </c>
      <c r="K137" s="50">
        <f t="shared" si="8"/>
        <v>-11.279019724074089</v>
      </c>
      <c r="L137" s="50">
        <f>VLOOKUP($A137,'Data shares'!$C:$FB,118)</f>
        <v>0.87</v>
      </c>
      <c r="M137" s="50">
        <f>VLOOKUP($A137,'Data shares'!$C:$FB,119)</f>
        <v>1.02</v>
      </c>
      <c r="N137" s="50">
        <f>VLOOKUP($A137,'Data shares'!$C:$FB,121)*100</f>
        <v>-14.71</v>
      </c>
      <c r="O137" s="50">
        <f>VLOOKUP($A137,'Data shares'!$C:$FB,124)</f>
        <v>0.88</v>
      </c>
      <c r="P137" s="50">
        <f>VLOOKUP($A137,'Data shares'!$C:$FB,125)</f>
        <v>0.59</v>
      </c>
      <c r="Q137" s="50">
        <f>VLOOKUP($A137,'Data shares'!$C:$FB,127)*100</f>
        <v>49.15</v>
      </c>
    </row>
    <row r="138" spans="1:17" x14ac:dyDescent="0.25">
      <c r="A138" s="97" t="str">
        <f>'Data Vlaue (Cr)'!C133</f>
        <v>MFSL</v>
      </c>
      <c r="B138" s="140">
        <f>VLOOKUP($A138,'Data shares'!$C:$FB,7)</f>
        <v>1552.4</v>
      </c>
      <c r="C138" s="140">
        <f>VLOOKUP($A138,'Data shares'!$C:$FB,3)</f>
        <v>1556.3</v>
      </c>
      <c r="D138" s="140">
        <f>VLOOKUP($A138,'Data shares'!$C:$FB,4)</f>
        <v>1616.3</v>
      </c>
      <c r="E138" s="50">
        <f t="shared" si="6"/>
        <v>-3.7121821444038852</v>
      </c>
      <c r="F138" s="49">
        <f>VLOOKUP($A138,'Data shares'!$C:$FB,98)</f>
        <v>9168000</v>
      </c>
      <c r="G138" s="49">
        <f>VLOOKUP($A138,'Data shares'!$C:$FB,99)</f>
        <v>8133600</v>
      </c>
      <c r="H138" s="50">
        <f t="shared" si="7"/>
        <v>12.717615815874888</v>
      </c>
      <c r="I138" s="49">
        <f>VLOOKUP($A138,'Data shares'!$C:$FB,66)</f>
        <v>9823200</v>
      </c>
      <c r="J138" s="49">
        <f>VLOOKUP($A138,'Data shares'!$C:$FB,67)</f>
        <v>3206400</v>
      </c>
      <c r="K138" s="50">
        <f t="shared" si="8"/>
        <v>67.358905448326411</v>
      </c>
      <c r="L138" s="50">
        <f>VLOOKUP($A138,'Data shares'!$C:$FB,118)</f>
        <v>0.53</v>
      </c>
      <c r="M138" s="50">
        <f>VLOOKUP($A138,'Data shares'!$C:$FB,119)</f>
        <v>0.62</v>
      </c>
      <c r="N138" s="50">
        <f>VLOOKUP($A138,'Data shares'!$C:$FB,121)*100</f>
        <v>-14.52</v>
      </c>
      <c r="O138" s="50">
        <f>VLOOKUP($A138,'Data shares'!$C:$FB,124)</f>
        <v>0.47</v>
      </c>
      <c r="P138" s="50">
        <f>VLOOKUP($A138,'Data shares'!$C:$FB,125)</f>
        <v>0.3</v>
      </c>
      <c r="Q138" s="50">
        <f>VLOOKUP($A138,'Data shares'!$C:$FB,127)*100</f>
        <v>56.67</v>
      </c>
    </row>
    <row r="139" spans="1:17" x14ac:dyDescent="0.25">
      <c r="A139" s="97" t="str">
        <f>'Data Vlaue (Cr)'!C134</f>
        <v>MIDCPNIFTY</v>
      </c>
      <c r="B139" s="140">
        <f>VLOOKUP($A139,'Data shares'!$C:$FB,7)</f>
        <v>13260.85</v>
      </c>
      <c r="C139" s="140">
        <f>VLOOKUP($A139,'Data shares'!$C:$FB,3)</f>
        <v>13321.8</v>
      </c>
      <c r="D139" s="140">
        <f>VLOOKUP($A139,'Data shares'!$C:$FB,4)</f>
        <v>13217.3</v>
      </c>
      <c r="E139" s="50">
        <f t="shared" si="6"/>
        <v>0.79063046159200456</v>
      </c>
      <c r="F139" s="49">
        <f>VLOOKUP($A139,'Data shares'!$C:$FB,98)</f>
        <v>19398260</v>
      </c>
      <c r="G139" s="49">
        <f>VLOOKUP($A139,'Data shares'!$C:$FB,99)</f>
        <v>18100180</v>
      </c>
      <c r="H139" s="50">
        <f t="shared" si="7"/>
        <v>7.1716413869917313</v>
      </c>
      <c r="I139" s="49">
        <f>VLOOKUP($A139,'Data shares'!$C:$FB,66)</f>
        <v>41244700</v>
      </c>
      <c r="J139" s="49">
        <f>VLOOKUP($A139,'Data shares'!$C:$FB,67)</f>
        <v>36434440</v>
      </c>
      <c r="K139" s="50">
        <f t="shared" si="8"/>
        <v>11.662734848356274</v>
      </c>
      <c r="L139" s="50">
        <f>VLOOKUP($A139,'Data shares'!$C:$FB,118)</f>
        <v>1.35</v>
      </c>
      <c r="M139" s="50">
        <f>VLOOKUP($A139,'Data shares'!$C:$FB,119)</f>
        <v>1.18</v>
      </c>
      <c r="N139" s="50">
        <f>VLOOKUP($A139,'Data shares'!$C:$FB,121)*100</f>
        <v>14.41</v>
      </c>
      <c r="O139" s="50">
        <f>VLOOKUP($A139,'Data shares'!$C:$FB,124)</f>
        <v>0.98</v>
      </c>
      <c r="P139" s="50">
        <f>VLOOKUP($A139,'Data shares'!$C:$FB,125)</f>
        <v>0.98</v>
      </c>
      <c r="Q139" s="50">
        <f>VLOOKUP($A139,'Data shares'!$C:$FB,127)*100</f>
        <v>0</v>
      </c>
    </row>
    <row r="140" spans="1:17" x14ac:dyDescent="0.25">
      <c r="A140" s="97" t="str">
        <f>'Data Vlaue (Cr)'!C135</f>
        <v>MOTHERSON</v>
      </c>
      <c r="B140" s="140">
        <f>VLOOKUP($A140,'Data shares'!$C:$FB,7)</f>
        <v>107.27</v>
      </c>
      <c r="C140" s="140">
        <f>VLOOKUP($A140,'Data shares'!$C:$FB,3)</f>
        <v>107.65</v>
      </c>
      <c r="D140" s="140">
        <f>VLOOKUP($A140,'Data shares'!$C:$FB,4)</f>
        <v>105.22</v>
      </c>
      <c r="E140" s="50">
        <f t="shared" si="6"/>
        <v>2.3094468732180258</v>
      </c>
      <c r="F140" s="49">
        <f>VLOOKUP($A140,'Data shares'!$C:$FB,98)</f>
        <v>270378600</v>
      </c>
      <c r="G140" s="49">
        <f>VLOOKUP($A140,'Data shares'!$C:$FB,99)</f>
        <v>267445050</v>
      </c>
      <c r="H140" s="50">
        <f t="shared" si="7"/>
        <v>1.0968795272150298</v>
      </c>
      <c r="I140" s="49">
        <f>VLOOKUP($A140,'Data shares'!$C:$FB,66)</f>
        <v>239112000</v>
      </c>
      <c r="J140" s="49">
        <f>VLOOKUP($A140,'Data shares'!$C:$FB,67)</f>
        <v>100134300</v>
      </c>
      <c r="K140" s="50">
        <f t="shared" si="8"/>
        <v>58.12242798353909</v>
      </c>
      <c r="L140" s="50">
        <f>VLOOKUP($A140,'Data shares'!$C:$FB,118)</f>
        <v>0.56999999999999995</v>
      </c>
      <c r="M140" s="50">
        <f>VLOOKUP($A140,'Data shares'!$C:$FB,119)</f>
        <v>0.49</v>
      </c>
      <c r="N140" s="50">
        <f>VLOOKUP($A140,'Data shares'!$C:$FB,121)*100</f>
        <v>16.329999999999998</v>
      </c>
      <c r="O140" s="50">
        <f>VLOOKUP($A140,'Data shares'!$C:$FB,124)</f>
        <v>0.43</v>
      </c>
      <c r="P140" s="50">
        <f>VLOOKUP($A140,'Data shares'!$C:$FB,125)</f>
        <v>0.35</v>
      </c>
      <c r="Q140" s="50">
        <f>VLOOKUP($A140,'Data shares'!$C:$FB,127)*100</f>
        <v>22.86</v>
      </c>
    </row>
    <row r="141" spans="1:17" x14ac:dyDescent="0.25">
      <c r="A141" s="97" t="str">
        <f>'Data Vlaue (Cr)'!C136</f>
        <v>MPHASIS</v>
      </c>
      <c r="B141" s="140">
        <f>VLOOKUP($A141,'Data shares'!$C:$FB,7)</f>
        <v>2783.6</v>
      </c>
      <c r="C141" s="140">
        <f>VLOOKUP($A141,'Data shares'!$C:$FB,3)</f>
        <v>2792.7</v>
      </c>
      <c r="D141" s="140">
        <f>VLOOKUP($A141,'Data shares'!$C:$FB,4)</f>
        <v>2793.9</v>
      </c>
      <c r="E141" s="50">
        <f t="shared" si="6"/>
        <v>-4.2950714055630938E-2</v>
      </c>
      <c r="F141" s="49">
        <f>VLOOKUP($A141,'Data shares'!$C:$FB,98)</f>
        <v>5946875</v>
      </c>
      <c r="G141" s="49">
        <f>VLOOKUP($A141,'Data shares'!$C:$FB,99)</f>
        <v>6003525</v>
      </c>
      <c r="H141" s="50">
        <f t="shared" si="7"/>
        <v>-0.943612294443681</v>
      </c>
      <c r="I141" s="49">
        <f>VLOOKUP($A141,'Data shares'!$C:$FB,66)</f>
        <v>1726450</v>
      </c>
      <c r="J141" s="49">
        <f>VLOOKUP($A141,'Data shares'!$C:$FB,67)</f>
        <v>3169925</v>
      </c>
      <c r="K141" s="50">
        <f t="shared" si="8"/>
        <v>-83.609429754698951</v>
      </c>
      <c r="L141" s="50">
        <f>VLOOKUP($A141,'Data shares'!$C:$FB,118)</f>
        <v>0.54</v>
      </c>
      <c r="M141" s="50">
        <f>VLOOKUP($A141,'Data shares'!$C:$FB,119)</f>
        <v>0.51</v>
      </c>
      <c r="N141" s="50">
        <f>VLOOKUP($A141,'Data shares'!$C:$FB,121)*100</f>
        <v>5.88</v>
      </c>
      <c r="O141" s="50">
        <f>VLOOKUP($A141,'Data shares'!$C:$FB,124)</f>
        <v>0.44</v>
      </c>
      <c r="P141" s="50">
        <f>VLOOKUP($A141,'Data shares'!$C:$FB,125)</f>
        <v>0.36</v>
      </c>
      <c r="Q141" s="50">
        <f>VLOOKUP($A141,'Data shares'!$C:$FB,127)*100</f>
        <v>22.220000000000002</v>
      </c>
    </row>
    <row r="142" spans="1:17" x14ac:dyDescent="0.25">
      <c r="A142" s="97" t="str">
        <f>'Data Vlaue (Cr)'!C137</f>
        <v>MUTHOOTFIN</v>
      </c>
      <c r="B142" s="140">
        <f>VLOOKUP($A142,'Data shares'!$C:$FB,7)</f>
        <v>3268.5</v>
      </c>
      <c r="C142" s="140">
        <f>VLOOKUP($A142,'Data shares'!$C:$FB,3)</f>
        <v>3275.2</v>
      </c>
      <c r="D142" s="140">
        <f>VLOOKUP($A142,'Data shares'!$C:$FB,4)</f>
        <v>3272.2</v>
      </c>
      <c r="E142" s="50">
        <f t="shared" si="6"/>
        <v>9.1681437564941015E-2</v>
      </c>
      <c r="F142" s="49">
        <f>VLOOKUP($A142,'Data shares'!$C:$FB,98)</f>
        <v>7006725</v>
      </c>
      <c r="G142" s="49">
        <f>VLOOKUP($A142,'Data shares'!$C:$FB,99)</f>
        <v>6692675</v>
      </c>
      <c r="H142" s="50">
        <f t="shared" si="7"/>
        <v>4.6924436043883802</v>
      </c>
      <c r="I142" s="49">
        <f>VLOOKUP($A142,'Data shares'!$C:$FB,66)</f>
        <v>5319600</v>
      </c>
      <c r="J142" s="49">
        <f>VLOOKUP($A142,'Data shares'!$C:$FB,67)</f>
        <v>7443975</v>
      </c>
      <c r="K142" s="50">
        <f t="shared" si="8"/>
        <v>-39.934863523573199</v>
      </c>
      <c r="L142" s="50">
        <f>VLOOKUP($A142,'Data shares'!$C:$FB,118)</f>
        <v>0.7</v>
      </c>
      <c r="M142" s="50">
        <f>VLOOKUP($A142,'Data shares'!$C:$FB,119)</f>
        <v>0.7</v>
      </c>
      <c r="N142" s="50">
        <f>VLOOKUP($A142,'Data shares'!$C:$FB,121)*100</f>
        <v>0</v>
      </c>
      <c r="O142" s="50">
        <f>VLOOKUP($A142,'Data shares'!$C:$FB,124)</f>
        <v>0.56999999999999995</v>
      </c>
      <c r="P142" s="50">
        <f>VLOOKUP($A142,'Data shares'!$C:$FB,125)</f>
        <v>0.64</v>
      </c>
      <c r="Q142" s="50">
        <f>VLOOKUP($A142,'Data shares'!$C:$FB,127)*100</f>
        <v>-10.94</v>
      </c>
    </row>
    <row r="143" spans="1:17" x14ac:dyDescent="0.25">
      <c r="A143" s="97" t="str">
        <f>'Data Vlaue (Cr)'!C138</f>
        <v>NATIONALUM</v>
      </c>
      <c r="B143" s="140">
        <f>VLOOKUP($A143,'Data shares'!$C:$FB,7)</f>
        <v>226.84</v>
      </c>
      <c r="C143" s="140">
        <f>VLOOKUP($A143,'Data shares'!$C:$FB,3)</f>
        <v>227.14</v>
      </c>
      <c r="D143" s="140">
        <f>VLOOKUP($A143,'Data shares'!$C:$FB,4)</f>
        <v>226.61</v>
      </c>
      <c r="E143" s="50">
        <f t="shared" si="6"/>
        <v>0.23388199991173061</v>
      </c>
      <c r="F143" s="49">
        <f>VLOOKUP($A143,'Data shares'!$C:$FB,98)</f>
        <v>142788750</v>
      </c>
      <c r="G143" s="49">
        <f>VLOOKUP($A143,'Data shares'!$C:$FB,99)</f>
        <v>142511250</v>
      </c>
      <c r="H143" s="50">
        <f t="shared" si="7"/>
        <v>0.19472146935768231</v>
      </c>
      <c r="I143" s="49">
        <f>VLOOKUP($A143,'Data shares'!$C:$FB,66)</f>
        <v>60780000</v>
      </c>
      <c r="J143" s="49">
        <f>VLOOKUP($A143,'Data shares'!$C:$FB,67)</f>
        <v>58020000</v>
      </c>
      <c r="K143" s="50">
        <f t="shared" si="8"/>
        <v>4.5409674234945703</v>
      </c>
      <c r="L143" s="50">
        <f>VLOOKUP($A143,'Data shares'!$C:$FB,118)</f>
        <v>0.72</v>
      </c>
      <c r="M143" s="50">
        <f>VLOOKUP($A143,'Data shares'!$C:$FB,119)</f>
        <v>0.7</v>
      </c>
      <c r="N143" s="50">
        <f>VLOOKUP($A143,'Data shares'!$C:$FB,121)*100</f>
        <v>2.86</v>
      </c>
      <c r="O143" s="50">
        <f>VLOOKUP($A143,'Data shares'!$C:$FB,124)</f>
        <v>0.5</v>
      </c>
      <c r="P143" s="50">
        <f>VLOOKUP($A143,'Data shares'!$C:$FB,125)</f>
        <v>0.56000000000000005</v>
      </c>
      <c r="Q143" s="50">
        <f>VLOOKUP($A143,'Data shares'!$C:$FB,127)*100</f>
        <v>-10.71</v>
      </c>
    </row>
    <row r="144" spans="1:17" x14ac:dyDescent="0.25">
      <c r="A144" s="97" t="str">
        <f>'Data Vlaue (Cr)'!C139</f>
        <v>NAUKRI</v>
      </c>
      <c r="B144" s="140">
        <f>VLOOKUP($A144,'Data shares'!$C:$FB,7)</f>
        <v>1348.5</v>
      </c>
      <c r="C144" s="140">
        <f>VLOOKUP($A144,'Data shares'!$C:$FB,3)</f>
        <v>1349.4</v>
      </c>
      <c r="D144" s="140">
        <f>VLOOKUP($A144,'Data shares'!$C:$FB,4)</f>
        <v>1337.6</v>
      </c>
      <c r="E144" s="50">
        <f t="shared" si="6"/>
        <v>0.8821770334928366</v>
      </c>
      <c r="F144" s="49">
        <f>VLOOKUP($A144,'Data shares'!$C:$FB,98)</f>
        <v>13154250</v>
      </c>
      <c r="G144" s="49">
        <f>VLOOKUP($A144,'Data shares'!$C:$FB,99)</f>
        <v>13638000</v>
      </c>
      <c r="H144" s="50">
        <f t="shared" si="7"/>
        <v>-3.5470743510778711</v>
      </c>
      <c r="I144" s="49">
        <f>VLOOKUP($A144,'Data shares'!$C:$FB,66)</f>
        <v>3828000</v>
      </c>
      <c r="J144" s="49">
        <f>VLOOKUP($A144,'Data shares'!$C:$FB,67)</f>
        <v>2613750</v>
      </c>
      <c r="K144" s="50">
        <f t="shared" si="8"/>
        <v>31.720219435736681</v>
      </c>
      <c r="L144" s="50">
        <f>VLOOKUP($A144,'Data shares'!$C:$FB,118)</f>
        <v>0.6</v>
      </c>
      <c r="M144" s="50">
        <f>VLOOKUP($A144,'Data shares'!$C:$FB,119)</f>
        <v>0.53</v>
      </c>
      <c r="N144" s="50">
        <f>VLOOKUP($A144,'Data shares'!$C:$FB,121)*100</f>
        <v>13.209999999999999</v>
      </c>
      <c r="O144" s="50">
        <f>VLOOKUP($A144,'Data shares'!$C:$FB,124)</f>
        <v>0.35</v>
      </c>
      <c r="P144" s="50">
        <f>VLOOKUP($A144,'Data shares'!$C:$FB,125)</f>
        <v>0.36</v>
      </c>
      <c r="Q144" s="50">
        <f>VLOOKUP($A144,'Data shares'!$C:$FB,127)*100</f>
        <v>-2.78</v>
      </c>
    </row>
    <row r="145" spans="1:17" x14ac:dyDescent="0.25">
      <c r="A145" s="97" t="str">
        <f>'Data Vlaue (Cr)'!C140</f>
        <v>NBCC</v>
      </c>
      <c r="B145" s="140">
        <f>VLOOKUP($A145,'Data shares'!$C:$FB,7)</f>
        <v>112.36</v>
      </c>
      <c r="C145" s="140">
        <f>VLOOKUP($A145,'Data shares'!$C:$FB,3)</f>
        <v>112.76</v>
      </c>
      <c r="D145" s="140">
        <f>VLOOKUP($A145,'Data shares'!$C:$FB,4)</f>
        <v>112.31</v>
      </c>
      <c r="E145" s="50">
        <f t="shared" si="6"/>
        <v>0.40067669842400749</v>
      </c>
      <c r="F145" s="49">
        <f>VLOOKUP($A145,'Data shares'!$C:$FB,98)</f>
        <v>112437000</v>
      </c>
      <c r="G145" s="49">
        <f>VLOOKUP($A145,'Data shares'!$C:$FB,99)</f>
        <v>114237500</v>
      </c>
      <c r="H145" s="50">
        <f t="shared" si="7"/>
        <v>-1.5761024182076815</v>
      </c>
      <c r="I145" s="49">
        <f>VLOOKUP($A145,'Data shares'!$C:$FB,66)</f>
        <v>59494500</v>
      </c>
      <c r="J145" s="49">
        <f>VLOOKUP($A145,'Data shares'!$C:$FB,67)</f>
        <v>52149500</v>
      </c>
      <c r="K145" s="50">
        <f t="shared" si="8"/>
        <v>12.345679012345679</v>
      </c>
      <c r="L145" s="50">
        <f>VLOOKUP($A145,'Data shares'!$C:$FB,118)</f>
        <v>0.52</v>
      </c>
      <c r="M145" s="50">
        <f>VLOOKUP($A145,'Data shares'!$C:$FB,119)</f>
        <v>0.5</v>
      </c>
      <c r="N145" s="50">
        <f>VLOOKUP($A145,'Data shares'!$C:$FB,121)*100</f>
        <v>4</v>
      </c>
      <c r="O145" s="50">
        <f>VLOOKUP($A145,'Data shares'!$C:$FB,124)</f>
        <v>0.39</v>
      </c>
      <c r="P145" s="50">
        <f>VLOOKUP($A145,'Data shares'!$C:$FB,125)</f>
        <v>0.34</v>
      </c>
      <c r="Q145" s="50">
        <f>VLOOKUP($A145,'Data shares'!$C:$FB,127)*100</f>
        <v>14.71</v>
      </c>
    </row>
    <row r="146" spans="1:17" x14ac:dyDescent="0.25">
      <c r="A146" s="97" t="str">
        <f>'Data Vlaue (Cr)'!C141</f>
        <v>NCC</v>
      </c>
      <c r="B146" s="140">
        <f>VLOOKUP($A146,'Data shares'!$C:$FB,7)</f>
        <v>209.78</v>
      </c>
      <c r="C146" s="140">
        <f>VLOOKUP($A146,'Data shares'!$C:$FB,3)</f>
        <v>210.62</v>
      </c>
      <c r="D146" s="140">
        <f>VLOOKUP($A146,'Data shares'!$C:$FB,4)</f>
        <v>212.66</v>
      </c>
      <c r="E146" s="50">
        <f t="shared" si="6"/>
        <v>-0.95927772030470793</v>
      </c>
      <c r="F146" s="49">
        <f>VLOOKUP($A146,'Data shares'!$C:$FB,98)</f>
        <v>31617000</v>
      </c>
      <c r="G146" s="49">
        <f>VLOOKUP($A146,'Data shares'!$C:$FB,99)</f>
        <v>31622400</v>
      </c>
      <c r="H146" s="50">
        <f t="shared" si="7"/>
        <v>-1.7076502732240439E-2</v>
      </c>
      <c r="I146" s="49">
        <f>VLOOKUP($A146,'Data shares'!$C:$FB,66)</f>
        <v>7333200</v>
      </c>
      <c r="J146" s="49">
        <f>VLOOKUP($A146,'Data shares'!$C:$FB,67)</f>
        <v>44936100</v>
      </c>
      <c r="K146" s="50">
        <f t="shared" si="8"/>
        <v>-512.77614138438889</v>
      </c>
      <c r="L146" s="50">
        <f>VLOOKUP($A146,'Data shares'!$C:$FB,118)</f>
        <v>0.49</v>
      </c>
      <c r="M146" s="50">
        <f>VLOOKUP($A146,'Data shares'!$C:$FB,119)</f>
        <v>0.51</v>
      </c>
      <c r="N146" s="50">
        <f>VLOOKUP($A146,'Data shares'!$C:$FB,121)*100</f>
        <v>-3.92</v>
      </c>
      <c r="O146" s="50">
        <f>VLOOKUP($A146,'Data shares'!$C:$FB,124)</f>
        <v>0.44</v>
      </c>
      <c r="P146" s="50">
        <f>VLOOKUP($A146,'Data shares'!$C:$FB,125)</f>
        <v>0.4</v>
      </c>
      <c r="Q146" s="50">
        <f>VLOOKUP($A146,'Data shares'!$C:$FB,127)*100</f>
        <v>10</v>
      </c>
    </row>
    <row r="147" spans="1:17" x14ac:dyDescent="0.25">
      <c r="A147" s="97" t="str">
        <f>'Data Vlaue (Cr)'!C142</f>
        <v>NESTLEIND</v>
      </c>
      <c r="B147" s="140">
        <f>VLOOKUP($A147,'Data shares'!$C:$FB,7)</f>
        <v>1276.5999999999999</v>
      </c>
      <c r="C147" s="140">
        <f>VLOOKUP($A147,'Data shares'!$C:$FB,3)</f>
        <v>1282</v>
      </c>
      <c r="D147" s="140">
        <f>VLOOKUP($A147,'Data shares'!$C:$FB,4)</f>
        <v>1226.5999999999999</v>
      </c>
      <c r="E147" s="50">
        <f t="shared" si="6"/>
        <v>4.5165498124898162</v>
      </c>
      <c r="F147" s="49">
        <f>VLOOKUP($A147,'Data shares'!$C:$FB,98)</f>
        <v>38442500</v>
      </c>
      <c r="G147" s="49">
        <f>VLOOKUP($A147,'Data shares'!$C:$FB,99)</f>
        <v>28973500</v>
      </c>
      <c r="H147" s="50">
        <f t="shared" si="7"/>
        <v>32.681588347973154</v>
      </c>
      <c r="I147" s="49">
        <f>VLOOKUP($A147,'Data shares'!$C:$FB,66)</f>
        <v>136611500</v>
      </c>
      <c r="J147" s="49">
        <f>VLOOKUP($A147,'Data shares'!$C:$FB,67)</f>
        <v>34293000</v>
      </c>
      <c r="K147" s="50">
        <f t="shared" si="8"/>
        <v>74.897428108175362</v>
      </c>
      <c r="L147" s="50">
        <f>VLOOKUP($A147,'Data shares'!$C:$FB,118)</f>
        <v>1.02</v>
      </c>
      <c r="M147" s="50">
        <f>VLOOKUP($A147,'Data shares'!$C:$FB,119)</f>
        <v>0.76</v>
      </c>
      <c r="N147" s="50">
        <f>VLOOKUP($A147,'Data shares'!$C:$FB,121)*100</f>
        <v>34.21</v>
      </c>
      <c r="O147" s="50">
        <f>VLOOKUP($A147,'Data shares'!$C:$FB,124)</f>
        <v>0.69</v>
      </c>
      <c r="P147" s="50">
        <f>VLOOKUP($A147,'Data shares'!$C:$FB,125)</f>
        <v>0.48</v>
      </c>
      <c r="Q147" s="50">
        <f>VLOOKUP($A147,'Data shares'!$C:$FB,127)*100</f>
        <v>43.75</v>
      </c>
    </row>
    <row r="148" spans="1:17" x14ac:dyDescent="0.25">
      <c r="A148" s="97" t="str">
        <f>'Data Vlaue (Cr)'!C143</f>
        <v>NHPC</v>
      </c>
      <c r="B148" s="140">
        <f>VLOOKUP($A148,'Data shares'!$C:$FB,7)</f>
        <v>86.95</v>
      </c>
      <c r="C148" s="140">
        <f>VLOOKUP($A148,'Data shares'!$C:$FB,3)</f>
        <v>87.19</v>
      </c>
      <c r="D148" s="140">
        <f>VLOOKUP($A148,'Data shares'!$C:$FB,4)</f>
        <v>87.35</v>
      </c>
      <c r="E148" s="50">
        <f t="shared" si="6"/>
        <v>-0.18317115054378547</v>
      </c>
      <c r="F148" s="49">
        <f>VLOOKUP($A148,'Data shares'!$C:$FB,98)</f>
        <v>76038400</v>
      </c>
      <c r="G148" s="49">
        <f>VLOOKUP($A148,'Data shares'!$C:$FB,99)</f>
        <v>75302400</v>
      </c>
      <c r="H148" s="50">
        <f t="shared" si="7"/>
        <v>0.97739248682644919</v>
      </c>
      <c r="I148" s="49">
        <f>VLOOKUP($A148,'Data shares'!$C:$FB,66)</f>
        <v>53939200</v>
      </c>
      <c r="J148" s="49">
        <f>VLOOKUP($A148,'Data shares'!$C:$FB,67)</f>
        <v>38118400</v>
      </c>
      <c r="K148" s="50">
        <f t="shared" si="8"/>
        <v>29.330802088277171</v>
      </c>
      <c r="L148" s="50">
        <f>VLOOKUP($A148,'Data shares'!$C:$FB,118)</f>
        <v>0.48</v>
      </c>
      <c r="M148" s="50">
        <f>VLOOKUP($A148,'Data shares'!$C:$FB,119)</f>
        <v>0.49</v>
      </c>
      <c r="N148" s="50">
        <f>VLOOKUP($A148,'Data shares'!$C:$FB,121)*100</f>
        <v>-2.04</v>
      </c>
      <c r="O148" s="50">
        <f>VLOOKUP($A148,'Data shares'!$C:$FB,124)</f>
        <v>0.49</v>
      </c>
      <c r="P148" s="50">
        <f>VLOOKUP($A148,'Data shares'!$C:$FB,125)</f>
        <v>0.47</v>
      </c>
      <c r="Q148" s="50">
        <f>VLOOKUP($A148,'Data shares'!$C:$FB,127)*100</f>
        <v>4.26</v>
      </c>
    </row>
    <row r="149" spans="1:17" x14ac:dyDescent="0.25">
      <c r="A149" s="97" t="str">
        <f>'Data Vlaue (Cr)'!C144</f>
        <v>NIFTY</v>
      </c>
      <c r="B149" s="140">
        <f>VLOOKUP($A149,'Data shares'!$C:$FB,7)</f>
        <v>25585.3</v>
      </c>
      <c r="C149" s="140">
        <f>VLOOKUP($A149,'Data shares'!$C:$FB,3)</f>
        <v>25656.1</v>
      </c>
      <c r="D149" s="140">
        <f>VLOOKUP($A149,'Data shares'!$C:$FB,4)</f>
        <v>25424.799999999999</v>
      </c>
      <c r="E149" s="50">
        <f t="shared" si="6"/>
        <v>0.90974166955098668</v>
      </c>
      <c r="F149" s="49">
        <f>VLOOKUP($A149,'Data shares'!$C:$FB,98)</f>
        <v>524672650</v>
      </c>
      <c r="G149" s="49">
        <f>VLOOKUP($A149,'Data shares'!$C:$FB,99)</f>
        <v>457628100</v>
      </c>
      <c r="H149" s="50">
        <f t="shared" si="7"/>
        <v>14.650444323676803</v>
      </c>
      <c r="I149" s="49">
        <f>VLOOKUP($A149,'Data shares'!$C:$FB,66)</f>
        <v>4995517875</v>
      </c>
      <c r="J149" s="49">
        <f>VLOOKUP($A149,'Data shares'!$C:$FB,67)</f>
        <v>4594274025</v>
      </c>
      <c r="K149" s="50">
        <f t="shared" si="8"/>
        <v>8.0320771547634582</v>
      </c>
      <c r="L149" s="50">
        <f>VLOOKUP($A149,'Data shares'!$C:$FB,118)</f>
        <v>1.38</v>
      </c>
      <c r="M149" s="50">
        <f>VLOOKUP($A149,'Data shares'!$C:$FB,119)</f>
        <v>1.21</v>
      </c>
      <c r="N149" s="50">
        <f>VLOOKUP($A149,'Data shares'!$C:$FB,121)*100</f>
        <v>14.05</v>
      </c>
      <c r="O149" s="50">
        <f>VLOOKUP($A149,'Data shares'!$C:$FB,124)</f>
        <v>0.81</v>
      </c>
      <c r="P149" s="50">
        <f>VLOOKUP($A149,'Data shares'!$C:$FB,125)</f>
        <v>0.87</v>
      </c>
      <c r="Q149" s="50">
        <f>VLOOKUP($A149,'Data shares'!$C:$FB,127)*100</f>
        <v>-6.9</v>
      </c>
    </row>
    <row r="150" spans="1:17" x14ac:dyDescent="0.25">
      <c r="A150" s="97" t="str">
        <f>'Data Vlaue (Cr)'!C145</f>
        <v>NIFTYNXT50</v>
      </c>
      <c r="B150" s="140">
        <f>VLOOKUP($A150,'Data shares'!$C:$FB,7)</f>
        <v>69453.2</v>
      </c>
      <c r="C150" s="140">
        <f>VLOOKUP($A150,'Data shares'!$C:$FB,3)</f>
        <v>69583.8</v>
      </c>
      <c r="D150" s="140">
        <f>VLOOKUP($A150,'Data shares'!$C:$FB,4)</f>
        <v>69281.399999999994</v>
      </c>
      <c r="E150" s="50">
        <f t="shared" si="6"/>
        <v>0.43648078705108256</v>
      </c>
      <c r="F150" s="49">
        <f>VLOOKUP($A150,'Data shares'!$C:$FB,98)</f>
        <v>38400</v>
      </c>
      <c r="G150" s="49">
        <f>VLOOKUP($A150,'Data shares'!$C:$FB,99)</f>
        <v>36600</v>
      </c>
      <c r="H150" s="50">
        <f t="shared" si="7"/>
        <v>4.918032786885246</v>
      </c>
      <c r="I150" s="49">
        <f>VLOOKUP($A150,'Data shares'!$C:$FB,66)</f>
        <v>21425</v>
      </c>
      <c r="J150" s="49">
        <f>VLOOKUP($A150,'Data shares'!$C:$FB,67)</f>
        <v>30725</v>
      </c>
      <c r="K150" s="50">
        <f t="shared" si="8"/>
        <v>-43.407234539089849</v>
      </c>
      <c r="L150" s="50">
        <f>VLOOKUP($A150,'Data shares'!$C:$FB,118)</f>
        <v>0.88</v>
      </c>
      <c r="M150" s="50">
        <f>VLOOKUP($A150,'Data shares'!$C:$FB,119)</f>
        <v>0.89</v>
      </c>
      <c r="N150" s="50">
        <f>VLOOKUP($A150,'Data shares'!$C:$FB,121)*100</f>
        <v>-1.1199999999999999</v>
      </c>
      <c r="O150" s="50">
        <f>VLOOKUP($A150,'Data shares'!$C:$FB,124)</f>
        <v>0.28999999999999998</v>
      </c>
      <c r="P150" s="50">
        <f>VLOOKUP($A150,'Data shares'!$C:$FB,125)</f>
        <v>0.66</v>
      </c>
      <c r="Q150" s="50">
        <f>VLOOKUP($A150,'Data shares'!$C:$FB,127)*100</f>
        <v>-56.06</v>
      </c>
    </row>
    <row r="151" spans="1:17" x14ac:dyDescent="0.25">
      <c r="A151" s="97" t="str">
        <f>'Data Vlaue (Cr)'!C146</f>
        <v>NMDC</v>
      </c>
      <c r="B151" s="140">
        <f>VLOOKUP($A151,'Data shares'!$C:$FB,7)</f>
        <v>75.88</v>
      </c>
      <c r="C151" s="140">
        <f>VLOOKUP($A151,'Data shares'!$C:$FB,3)</f>
        <v>76.03</v>
      </c>
      <c r="D151" s="140">
        <f>VLOOKUP($A151,'Data shares'!$C:$FB,4)</f>
        <v>76.81</v>
      </c>
      <c r="E151" s="50">
        <f t="shared" si="6"/>
        <v>-1.0154927743783375</v>
      </c>
      <c r="F151" s="49">
        <f>VLOOKUP($A151,'Data shares'!$C:$FB,98)</f>
        <v>547614000</v>
      </c>
      <c r="G151" s="49">
        <f>VLOOKUP($A151,'Data shares'!$C:$FB,99)</f>
        <v>532224000</v>
      </c>
      <c r="H151" s="50">
        <f t="shared" si="7"/>
        <v>2.8916396103896105</v>
      </c>
      <c r="I151" s="49">
        <f>VLOOKUP($A151,'Data shares'!$C:$FB,66)</f>
        <v>128034000</v>
      </c>
      <c r="J151" s="49">
        <f>VLOOKUP($A151,'Data shares'!$C:$FB,67)</f>
        <v>201042000</v>
      </c>
      <c r="K151" s="50">
        <f t="shared" si="8"/>
        <v>-57.022353437368203</v>
      </c>
      <c r="L151" s="50">
        <f>VLOOKUP($A151,'Data shares'!$C:$FB,118)</f>
        <v>0.54</v>
      </c>
      <c r="M151" s="50">
        <f>VLOOKUP($A151,'Data shares'!$C:$FB,119)</f>
        <v>0.56000000000000005</v>
      </c>
      <c r="N151" s="50">
        <f>VLOOKUP($A151,'Data shares'!$C:$FB,121)*100</f>
        <v>-3.5700000000000003</v>
      </c>
      <c r="O151" s="50">
        <f>VLOOKUP($A151,'Data shares'!$C:$FB,124)</f>
        <v>0.39</v>
      </c>
      <c r="P151" s="50">
        <f>VLOOKUP($A151,'Data shares'!$C:$FB,125)</f>
        <v>0.36</v>
      </c>
      <c r="Q151" s="50">
        <f>VLOOKUP($A151,'Data shares'!$C:$FB,127)*100</f>
        <v>8.33</v>
      </c>
    </row>
    <row r="152" spans="1:17" x14ac:dyDescent="0.25">
      <c r="A152" s="97" t="str">
        <f>'Data Vlaue (Cr)'!C147</f>
        <v>NTPC</v>
      </c>
      <c r="B152" s="140">
        <f>VLOOKUP($A152,'Data shares'!$C:$FB,7)</f>
        <v>341.5</v>
      </c>
      <c r="C152" s="140">
        <f>VLOOKUP($A152,'Data shares'!$C:$FB,3)</f>
        <v>342.5</v>
      </c>
      <c r="D152" s="140">
        <f>VLOOKUP($A152,'Data shares'!$C:$FB,4)</f>
        <v>340.6</v>
      </c>
      <c r="E152" s="50">
        <f t="shared" si="6"/>
        <v>0.55783910745742138</v>
      </c>
      <c r="F152" s="49">
        <f>VLOOKUP($A152,'Data shares'!$C:$FB,98)</f>
        <v>161238000</v>
      </c>
      <c r="G152" s="49">
        <f>VLOOKUP($A152,'Data shares'!$C:$FB,99)</f>
        <v>161067000</v>
      </c>
      <c r="H152" s="50">
        <f t="shared" si="7"/>
        <v>0.10616699882657528</v>
      </c>
      <c r="I152" s="49">
        <f>VLOOKUP($A152,'Data shares'!$C:$FB,66)</f>
        <v>57454500</v>
      </c>
      <c r="J152" s="49">
        <f>VLOOKUP($A152,'Data shares'!$C:$FB,67)</f>
        <v>84922500</v>
      </c>
      <c r="K152" s="50">
        <f t="shared" si="8"/>
        <v>-47.808265671096258</v>
      </c>
      <c r="L152" s="50">
        <f>VLOOKUP($A152,'Data shares'!$C:$FB,118)</f>
        <v>0.41</v>
      </c>
      <c r="M152" s="50">
        <f>VLOOKUP($A152,'Data shares'!$C:$FB,119)</f>
        <v>0.38</v>
      </c>
      <c r="N152" s="50">
        <f>VLOOKUP($A152,'Data shares'!$C:$FB,121)*100</f>
        <v>7.89</v>
      </c>
      <c r="O152" s="50">
        <f>VLOOKUP($A152,'Data shares'!$C:$FB,124)</f>
        <v>0.48</v>
      </c>
      <c r="P152" s="50">
        <f>VLOOKUP($A152,'Data shares'!$C:$FB,125)</f>
        <v>0.54</v>
      </c>
      <c r="Q152" s="50">
        <f>VLOOKUP($A152,'Data shares'!$C:$FB,127)*100</f>
        <v>-11.110000000000001</v>
      </c>
    </row>
    <row r="153" spans="1:17" x14ac:dyDescent="0.25">
      <c r="A153" s="97" t="str">
        <f>'Data Vlaue (Cr)'!C148</f>
        <v>NUVAMA</v>
      </c>
      <c r="B153" s="140">
        <f>VLOOKUP($A153,'Data shares'!$C:$FB,7)</f>
        <v>7225.5</v>
      </c>
      <c r="C153" s="140">
        <f>VLOOKUP($A153,'Data shares'!$C:$FB,3)</f>
        <v>7250.5</v>
      </c>
      <c r="D153" s="140">
        <f>VLOOKUP($A153,'Data shares'!$C:$FB,4)</f>
        <v>7252</v>
      </c>
      <c r="E153" s="50">
        <f t="shared" si="6"/>
        <v>-2.0683949255377827E-2</v>
      </c>
      <c r="F153" s="49">
        <f>VLOOKUP($A153,'Data shares'!$C:$FB,98)</f>
        <v>847125</v>
      </c>
      <c r="G153" s="49">
        <f>VLOOKUP($A153,'Data shares'!$C:$FB,99)</f>
        <v>874350</v>
      </c>
      <c r="H153" s="50">
        <f t="shared" si="7"/>
        <v>-3.1137416366443644</v>
      </c>
      <c r="I153" s="49">
        <f>VLOOKUP($A153,'Data shares'!$C:$FB,66)</f>
        <v>258900</v>
      </c>
      <c r="J153" s="49">
        <f>VLOOKUP($A153,'Data shares'!$C:$FB,67)</f>
        <v>400575</v>
      </c>
      <c r="K153" s="50">
        <f t="shared" si="8"/>
        <v>-54.721900347624562</v>
      </c>
      <c r="L153" s="50">
        <f>VLOOKUP($A153,'Data shares'!$C:$FB,118)</f>
        <v>0.84</v>
      </c>
      <c r="M153" s="50">
        <f>VLOOKUP($A153,'Data shares'!$C:$FB,119)</f>
        <v>0.89</v>
      </c>
      <c r="N153" s="50">
        <f>VLOOKUP($A153,'Data shares'!$C:$FB,121)*100</f>
        <v>-5.62</v>
      </c>
      <c r="O153" s="50">
        <f>VLOOKUP($A153,'Data shares'!$C:$FB,124)</f>
        <v>0.83</v>
      </c>
      <c r="P153" s="50">
        <f>VLOOKUP($A153,'Data shares'!$C:$FB,125)</f>
        <v>0.81</v>
      </c>
      <c r="Q153" s="50">
        <f>VLOOKUP($A153,'Data shares'!$C:$FB,127)*100</f>
        <v>2.4699999999999998</v>
      </c>
    </row>
    <row r="154" spans="1:17" x14ac:dyDescent="0.25">
      <c r="A154" s="97" t="str">
        <f>'Data Vlaue (Cr)'!C149</f>
        <v>NYKAA</v>
      </c>
      <c r="B154" s="140">
        <f>VLOOKUP($A154,'Data shares'!$C:$FB,7)</f>
        <v>263.31</v>
      </c>
      <c r="C154" s="140">
        <f>VLOOKUP($A154,'Data shares'!$C:$FB,3)</f>
        <v>263.02</v>
      </c>
      <c r="D154" s="140">
        <f>VLOOKUP($A154,'Data shares'!$C:$FB,4)</f>
        <v>262.31</v>
      </c>
      <c r="E154" s="50">
        <f t="shared" si="6"/>
        <v>0.27067210552399051</v>
      </c>
      <c r="F154" s="49">
        <f>VLOOKUP($A154,'Data shares'!$C:$FB,98)</f>
        <v>96446875</v>
      </c>
      <c r="G154" s="49">
        <f>VLOOKUP($A154,'Data shares'!$C:$FB,99)</f>
        <v>92437500</v>
      </c>
      <c r="H154" s="50">
        <f t="shared" si="7"/>
        <v>4.337390128465179</v>
      </c>
      <c r="I154" s="49">
        <f>VLOOKUP($A154,'Data shares'!$C:$FB,66)</f>
        <v>48887500</v>
      </c>
      <c r="J154" s="49">
        <f>VLOOKUP($A154,'Data shares'!$C:$FB,67)</f>
        <v>48062500</v>
      </c>
      <c r="K154" s="50">
        <f t="shared" si="8"/>
        <v>1.6875479417028894</v>
      </c>
      <c r="L154" s="50">
        <f>VLOOKUP($A154,'Data shares'!$C:$FB,118)</f>
        <v>0.72</v>
      </c>
      <c r="M154" s="50">
        <f>VLOOKUP($A154,'Data shares'!$C:$FB,119)</f>
        <v>0.67</v>
      </c>
      <c r="N154" s="50">
        <f>VLOOKUP($A154,'Data shares'!$C:$FB,121)*100</f>
        <v>7.46</v>
      </c>
      <c r="O154" s="50">
        <f>VLOOKUP($A154,'Data shares'!$C:$FB,124)</f>
        <v>0.57999999999999996</v>
      </c>
      <c r="P154" s="50">
        <f>VLOOKUP($A154,'Data shares'!$C:$FB,125)</f>
        <v>0.48</v>
      </c>
      <c r="Q154" s="50">
        <f>VLOOKUP($A154,'Data shares'!$C:$FB,127)*100</f>
        <v>20.830000000000002</v>
      </c>
    </row>
    <row r="155" spans="1:17" x14ac:dyDescent="0.25">
      <c r="A155" s="97" t="str">
        <f>'Data Vlaue (Cr)'!C150</f>
        <v>OBEROIRLTY</v>
      </c>
      <c r="B155" s="140">
        <f>VLOOKUP($A155,'Data shares'!$C:$FB,7)</f>
        <v>1687.1</v>
      </c>
      <c r="C155" s="140">
        <f>VLOOKUP($A155,'Data shares'!$C:$FB,3)</f>
        <v>1693.2</v>
      </c>
      <c r="D155" s="140">
        <f>VLOOKUP($A155,'Data shares'!$C:$FB,4)</f>
        <v>1608.4</v>
      </c>
      <c r="E155" s="50">
        <f t="shared" si="6"/>
        <v>5.272320318328771</v>
      </c>
      <c r="F155" s="49">
        <f>VLOOKUP($A155,'Data shares'!$C:$FB,98)</f>
        <v>9188200</v>
      </c>
      <c r="G155" s="49">
        <f>VLOOKUP($A155,'Data shares'!$C:$FB,99)</f>
        <v>8151150</v>
      </c>
      <c r="H155" s="50">
        <f t="shared" si="7"/>
        <v>12.722744643393877</v>
      </c>
      <c r="I155" s="49">
        <f>VLOOKUP($A155,'Data shares'!$C:$FB,66)</f>
        <v>41430550</v>
      </c>
      <c r="J155" s="49">
        <f>VLOOKUP($A155,'Data shares'!$C:$FB,67)</f>
        <v>7574350</v>
      </c>
      <c r="K155" s="50">
        <f t="shared" si="8"/>
        <v>81.717959331942254</v>
      </c>
      <c r="L155" s="50">
        <f>VLOOKUP($A155,'Data shares'!$C:$FB,118)</f>
        <v>0.7</v>
      </c>
      <c r="M155" s="50">
        <f>VLOOKUP($A155,'Data shares'!$C:$FB,119)</f>
        <v>0.57999999999999996</v>
      </c>
      <c r="N155" s="50">
        <f>VLOOKUP($A155,'Data shares'!$C:$FB,121)*100</f>
        <v>20.69</v>
      </c>
      <c r="O155" s="50">
        <f>VLOOKUP($A155,'Data shares'!$C:$FB,124)</f>
        <v>0.38</v>
      </c>
      <c r="P155" s="50">
        <f>VLOOKUP($A155,'Data shares'!$C:$FB,125)</f>
        <v>0.26</v>
      </c>
      <c r="Q155" s="50">
        <f>VLOOKUP($A155,'Data shares'!$C:$FB,127)*100</f>
        <v>46.150000000000006</v>
      </c>
    </row>
    <row r="156" spans="1:17" x14ac:dyDescent="0.25">
      <c r="A156" s="97" t="str">
        <f>'Data Vlaue (Cr)'!C151</f>
        <v>OFSS</v>
      </c>
      <c r="B156" s="140">
        <f>VLOOKUP($A156,'Data shares'!$C:$FB,7)</f>
        <v>8796.5</v>
      </c>
      <c r="C156" s="140">
        <f>VLOOKUP($A156,'Data shares'!$C:$FB,3)</f>
        <v>8797.5</v>
      </c>
      <c r="D156" s="140">
        <f>VLOOKUP($A156,'Data shares'!$C:$FB,4)</f>
        <v>8724.5</v>
      </c>
      <c r="E156" s="50">
        <f t="shared" si="6"/>
        <v>0.83672416757407297</v>
      </c>
      <c r="F156" s="49">
        <f>VLOOKUP($A156,'Data shares'!$C:$FB,98)</f>
        <v>2432175</v>
      </c>
      <c r="G156" s="49">
        <f>VLOOKUP($A156,'Data shares'!$C:$FB,99)</f>
        <v>2331600</v>
      </c>
      <c r="H156" s="50">
        <f t="shared" si="7"/>
        <v>4.313561502830674</v>
      </c>
      <c r="I156" s="49">
        <f>VLOOKUP($A156,'Data shares'!$C:$FB,66)</f>
        <v>1636425</v>
      </c>
      <c r="J156" s="49">
        <f>VLOOKUP($A156,'Data shares'!$C:$FB,67)</f>
        <v>2733975</v>
      </c>
      <c r="K156" s="50">
        <f t="shared" si="8"/>
        <v>-67.069984875567172</v>
      </c>
      <c r="L156" s="50">
        <f>VLOOKUP($A156,'Data shares'!$C:$FB,118)</f>
        <v>0.54</v>
      </c>
      <c r="M156" s="50">
        <f>VLOOKUP($A156,'Data shares'!$C:$FB,119)</f>
        <v>0.54</v>
      </c>
      <c r="N156" s="50">
        <f>VLOOKUP($A156,'Data shares'!$C:$FB,121)*100</f>
        <v>0</v>
      </c>
      <c r="O156" s="50">
        <f>VLOOKUP($A156,'Data shares'!$C:$FB,124)</f>
        <v>0.44</v>
      </c>
      <c r="P156" s="50">
        <f>VLOOKUP($A156,'Data shares'!$C:$FB,125)</f>
        <v>0.65</v>
      </c>
      <c r="Q156" s="50">
        <f>VLOOKUP($A156,'Data shares'!$C:$FB,127)*100</f>
        <v>-32.31</v>
      </c>
    </row>
    <row r="157" spans="1:17" x14ac:dyDescent="0.25">
      <c r="A157" s="97" t="str">
        <f>'Data Vlaue (Cr)'!C152</f>
        <v>OIL</v>
      </c>
      <c r="B157" s="140">
        <f>VLOOKUP($A157,'Data shares'!$C:$FB,7)</f>
        <v>417.25</v>
      </c>
      <c r="C157" s="140">
        <f>VLOOKUP($A157,'Data shares'!$C:$FB,3)</f>
        <v>416.3</v>
      </c>
      <c r="D157" s="140">
        <f>VLOOKUP($A157,'Data shares'!$C:$FB,4)</f>
        <v>421.15</v>
      </c>
      <c r="E157" s="50">
        <f t="shared" si="6"/>
        <v>-1.151608690490316</v>
      </c>
      <c r="F157" s="49">
        <f>VLOOKUP($A157,'Data shares'!$C:$FB,98)</f>
        <v>20503000</v>
      </c>
      <c r="G157" s="49">
        <f>VLOOKUP($A157,'Data shares'!$C:$FB,99)</f>
        <v>20139000</v>
      </c>
      <c r="H157" s="50">
        <f t="shared" si="7"/>
        <v>1.8074383037886685</v>
      </c>
      <c r="I157" s="49">
        <f>VLOOKUP($A157,'Data shares'!$C:$FB,66)</f>
        <v>6372800</v>
      </c>
      <c r="J157" s="49">
        <f>VLOOKUP($A157,'Data shares'!$C:$FB,67)</f>
        <v>8310400</v>
      </c>
      <c r="K157" s="50">
        <f t="shared" si="8"/>
        <v>-30.404217926186295</v>
      </c>
      <c r="L157" s="50">
        <f>VLOOKUP($A157,'Data shares'!$C:$FB,118)</f>
        <v>0.54</v>
      </c>
      <c r="M157" s="50">
        <f>VLOOKUP($A157,'Data shares'!$C:$FB,119)</f>
        <v>0.54</v>
      </c>
      <c r="N157" s="50">
        <f>VLOOKUP($A157,'Data shares'!$C:$FB,121)*100</f>
        <v>0</v>
      </c>
      <c r="O157" s="50">
        <f>VLOOKUP($A157,'Data shares'!$C:$FB,124)</f>
        <v>0.52</v>
      </c>
      <c r="P157" s="50">
        <f>VLOOKUP($A157,'Data shares'!$C:$FB,125)</f>
        <v>0.47</v>
      </c>
      <c r="Q157" s="50">
        <f>VLOOKUP($A157,'Data shares'!$C:$FB,127)*100</f>
        <v>10.639999999999999</v>
      </c>
    </row>
    <row r="158" spans="1:17" x14ac:dyDescent="0.25">
      <c r="A158" s="97" t="str">
        <f>'Data Vlaue (Cr)'!C153</f>
        <v>ONGC</v>
      </c>
      <c r="B158" s="140">
        <f>VLOOKUP($A158,'Data shares'!$C:$FB,7)</f>
        <v>248.35</v>
      </c>
      <c r="C158" s="140">
        <f>VLOOKUP($A158,'Data shares'!$C:$FB,3)</f>
        <v>248.59</v>
      </c>
      <c r="D158" s="140">
        <f>VLOOKUP($A158,'Data shares'!$C:$FB,4)</f>
        <v>248.07</v>
      </c>
      <c r="E158" s="50">
        <f t="shared" si="6"/>
        <v>0.20961825291248853</v>
      </c>
      <c r="F158" s="49">
        <f>VLOOKUP($A158,'Data shares'!$C:$FB,98)</f>
        <v>176170500</v>
      </c>
      <c r="G158" s="49">
        <f>VLOOKUP($A158,'Data shares'!$C:$FB,99)</f>
        <v>174737250</v>
      </c>
      <c r="H158" s="50">
        <f t="shared" si="7"/>
        <v>0.82023151903786973</v>
      </c>
      <c r="I158" s="49">
        <f>VLOOKUP($A158,'Data shares'!$C:$FB,66)</f>
        <v>54900000</v>
      </c>
      <c r="J158" s="49">
        <f>VLOOKUP($A158,'Data shares'!$C:$FB,67)</f>
        <v>65187000</v>
      </c>
      <c r="K158" s="50">
        <f t="shared" si="8"/>
        <v>-18.737704918032787</v>
      </c>
      <c r="L158" s="50">
        <f>VLOOKUP($A158,'Data shares'!$C:$FB,118)</f>
        <v>0.41</v>
      </c>
      <c r="M158" s="50">
        <f>VLOOKUP($A158,'Data shares'!$C:$FB,119)</f>
        <v>0.4</v>
      </c>
      <c r="N158" s="50">
        <f>VLOOKUP($A158,'Data shares'!$C:$FB,121)*100</f>
        <v>2.5</v>
      </c>
      <c r="O158" s="50">
        <f>VLOOKUP($A158,'Data shares'!$C:$FB,124)</f>
        <v>0.61</v>
      </c>
      <c r="P158" s="50">
        <f>VLOOKUP($A158,'Data shares'!$C:$FB,125)</f>
        <v>0.69</v>
      </c>
      <c r="Q158" s="50">
        <f>VLOOKUP($A158,'Data shares'!$C:$FB,127)*100</f>
        <v>-11.59</v>
      </c>
    </row>
    <row r="159" spans="1:17" x14ac:dyDescent="0.25">
      <c r="A159" s="97" t="str">
        <f>'Data Vlaue (Cr)'!C154</f>
        <v>PAGEIND</v>
      </c>
      <c r="B159" s="140">
        <f>VLOOKUP($A159,'Data shares'!$C:$FB,7)</f>
        <v>41020</v>
      </c>
      <c r="C159" s="140">
        <f>VLOOKUP($A159,'Data shares'!$C:$FB,3)</f>
        <v>41180</v>
      </c>
      <c r="D159" s="140">
        <f>VLOOKUP($A159,'Data shares'!$C:$FB,4)</f>
        <v>40630</v>
      </c>
      <c r="E159" s="50">
        <f t="shared" si="6"/>
        <v>1.3536795471326606</v>
      </c>
      <c r="F159" s="49">
        <f>VLOOKUP($A159,'Data shares'!$C:$FB,98)</f>
        <v>412425</v>
      </c>
      <c r="G159" s="49">
        <f>VLOOKUP($A159,'Data shares'!$C:$FB,99)</f>
        <v>398085</v>
      </c>
      <c r="H159" s="50">
        <f t="shared" si="7"/>
        <v>3.602245751535476</v>
      </c>
      <c r="I159" s="49">
        <f>VLOOKUP($A159,'Data shares'!$C:$FB,66)</f>
        <v>262665</v>
      </c>
      <c r="J159" s="49">
        <f>VLOOKUP($A159,'Data shares'!$C:$FB,67)</f>
        <v>206295</v>
      </c>
      <c r="K159" s="50">
        <f t="shared" si="8"/>
        <v>21.460796071041059</v>
      </c>
      <c r="L159" s="50">
        <f>VLOOKUP($A159,'Data shares'!$C:$FB,118)</f>
        <v>0.42</v>
      </c>
      <c r="M159" s="50">
        <f>VLOOKUP($A159,'Data shares'!$C:$FB,119)</f>
        <v>0.33</v>
      </c>
      <c r="N159" s="50">
        <f>VLOOKUP($A159,'Data shares'!$C:$FB,121)*100</f>
        <v>27.27</v>
      </c>
      <c r="O159" s="50">
        <f>VLOOKUP($A159,'Data shares'!$C:$FB,124)</f>
        <v>0.25</v>
      </c>
      <c r="P159" s="50">
        <f>VLOOKUP($A159,'Data shares'!$C:$FB,125)</f>
        <v>0.09</v>
      </c>
      <c r="Q159" s="50">
        <f>VLOOKUP($A159,'Data shares'!$C:$FB,127)*100</f>
        <v>177.78</v>
      </c>
    </row>
    <row r="160" spans="1:17" x14ac:dyDescent="0.25">
      <c r="A160" s="97" t="str">
        <f>'Data Vlaue (Cr)'!C155</f>
        <v>PATANJALI</v>
      </c>
      <c r="B160" s="140">
        <f>VLOOKUP($A160,'Data shares'!$C:$FB,7)</f>
        <v>589.85</v>
      </c>
      <c r="C160" s="140">
        <f>VLOOKUP($A160,'Data shares'!$C:$FB,3)</f>
        <v>591.85</v>
      </c>
      <c r="D160" s="140">
        <f>VLOOKUP($A160,'Data shares'!$C:$FB,4)</f>
        <v>586.85</v>
      </c>
      <c r="E160" s="50">
        <f t="shared" si="6"/>
        <v>0.8520064752492118</v>
      </c>
      <c r="F160" s="49">
        <f>VLOOKUP($A160,'Data shares'!$C:$FB,98)</f>
        <v>42374700</v>
      </c>
      <c r="G160" s="49">
        <f>VLOOKUP($A160,'Data shares'!$C:$FB,99)</f>
        <v>42462900</v>
      </c>
      <c r="H160" s="50">
        <f t="shared" si="7"/>
        <v>-0.20771073101460333</v>
      </c>
      <c r="I160" s="49">
        <f>VLOOKUP($A160,'Data shares'!$C:$FB,66)</f>
        <v>8871300</v>
      </c>
      <c r="J160" s="49">
        <f>VLOOKUP($A160,'Data shares'!$C:$FB,67)</f>
        <v>5492700</v>
      </c>
      <c r="K160" s="50">
        <f t="shared" si="8"/>
        <v>38.084609921882929</v>
      </c>
      <c r="L160" s="50">
        <f>VLOOKUP($A160,'Data shares'!$C:$FB,118)</f>
        <v>0.42</v>
      </c>
      <c r="M160" s="50">
        <f>VLOOKUP($A160,'Data shares'!$C:$FB,119)</f>
        <v>0.42</v>
      </c>
      <c r="N160" s="50">
        <f>VLOOKUP($A160,'Data shares'!$C:$FB,121)*100</f>
        <v>0</v>
      </c>
      <c r="O160" s="50">
        <f>VLOOKUP($A160,'Data shares'!$C:$FB,124)</f>
        <v>0.47</v>
      </c>
      <c r="P160" s="50">
        <f>VLOOKUP($A160,'Data shares'!$C:$FB,125)</f>
        <v>0.32</v>
      </c>
      <c r="Q160" s="50">
        <f>VLOOKUP($A160,'Data shares'!$C:$FB,127)*100</f>
        <v>46.87</v>
      </c>
    </row>
    <row r="161" spans="1:17" x14ac:dyDescent="0.25">
      <c r="A161" s="97" t="str">
        <f>'Data Vlaue (Cr)'!C156</f>
        <v>PAYTM</v>
      </c>
      <c r="B161" s="140">
        <f>VLOOKUP($A161,'Data shares'!$C:$FB,7)</f>
        <v>1274</v>
      </c>
      <c r="C161" s="140">
        <f>VLOOKUP($A161,'Data shares'!$C:$FB,3)</f>
        <v>1274.9000000000001</v>
      </c>
      <c r="D161" s="140">
        <f>VLOOKUP($A161,'Data shares'!$C:$FB,4)</f>
        <v>1279.2</v>
      </c>
      <c r="E161" s="50">
        <f t="shared" si="6"/>
        <v>-0.33614759224514967</v>
      </c>
      <c r="F161" s="49">
        <f>VLOOKUP($A161,'Data shares'!$C:$FB,98)</f>
        <v>37367950</v>
      </c>
      <c r="G161" s="49">
        <f>VLOOKUP($A161,'Data shares'!$C:$FB,99)</f>
        <v>37815275</v>
      </c>
      <c r="H161" s="50">
        <f t="shared" si="7"/>
        <v>-1.1829214517149487</v>
      </c>
      <c r="I161" s="49">
        <f>VLOOKUP($A161,'Data shares'!$C:$FB,66)</f>
        <v>45493025</v>
      </c>
      <c r="J161" s="49">
        <f>VLOOKUP($A161,'Data shares'!$C:$FB,67)</f>
        <v>56033075</v>
      </c>
      <c r="K161" s="50">
        <f t="shared" si="8"/>
        <v>-23.168496709110904</v>
      </c>
      <c r="L161" s="50">
        <f>VLOOKUP($A161,'Data shares'!$C:$FB,118)</f>
        <v>0.79</v>
      </c>
      <c r="M161" s="50">
        <f>VLOOKUP($A161,'Data shares'!$C:$FB,119)</f>
        <v>0.74</v>
      </c>
      <c r="N161" s="50">
        <f>VLOOKUP($A161,'Data shares'!$C:$FB,121)*100</f>
        <v>6.76</v>
      </c>
      <c r="O161" s="50">
        <f>VLOOKUP($A161,'Data shares'!$C:$FB,124)</f>
        <v>0.52</v>
      </c>
      <c r="P161" s="50">
        <f>VLOOKUP($A161,'Data shares'!$C:$FB,125)</f>
        <v>0.48</v>
      </c>
      <c r="Q161" s="50">
        <f>VLOOKUP($A161,'Data shares'!$C:$FB,127)*100</f>
        <v>8.33</v>
      </c>
    </row>
    <row r="162" spans="1:17" x14ac:dyDescent="0.25">
      <c r="A162" s="97" t="str">
        <f>'Data Vlaue (Cr)'!C157</f>
        <v>PERSISTENT</v>
      </c>
      <c r="B162" s="140">
        <f>VLOOKUP($A162,'Data shares'!$C:$FB,7)</f>
        <v>5841.5</v>
      </c>
      <c r="C162" s="140">
        <f>VLOOKUP($A162,'Data shares'!$C:$FB,3)</f>
        <v>5845.2</v>
      </c>
      <c r="D162" s="140">
        <f>VLOOKUP($A162,'Data shares'!$C:$FB,4)</f>
        <v>5740.8</v>
      </c>
      <c r="E162" s="50">
        <f t="shared" si="6"/>
        <v>1.8185618729096926</v>
      </c>
      <c r="F162" s="49">
        <f>VLOOKUP($A162,'Data shares'!$C:$FB,98)</f>
        <v>6573300</v>
      </c>
      <c r="G162" s="49">
        <f>VLOOKUP($A162,'Data shares'!$C:$FB,99)</f>
        <v>6862700</v>
      </c>
      <c r="H162" s="50">
        <f t="shared" si="7"/>
        <v>-4.2169991402800644</v>
      </c>
      <c r="I162" s="49">
        <f>VLOOKUP($A162,'Data shares'!$C:$FB,66)</f>
        <v>11328400</v>
      </c>
      <c r="J162" s="49">
        <f>VLOOKUP($A162,'Data shares'!$C:$FB,67)</f>
        <v>38784900</v>
      </c>
      <c r="K162" s="50">
        <f t="shared" si="8"/>
        <v>-242.36873697962645</v>
      </c>
      <c r="L162" s="50">
        <f>VLOOKUP($A162,'Data shares'!$C:$FB,118)</f>
        <v>1.3</v>
      </c>
      <c r="M162" s="50">
        <f>VLOOKUP($A162,'Data shares'!$C:$FB,119)</f>
        <v>1.1200000000000001</v>
      </c>
      <c r="N162" s="50">
        <f>VLOOKUP($A162,'Data shares'!$C:$FB,121)*100</f>
        <v>16.07</v>
      </c>
      <c r="O162" s="50">
        <f>VLOOKUP($A162,'Data shares'!$C:$FB,124)</f>
        <v>0.66</v>
      </c>
      <c r="P162" s="50">
        <f>VLOOKUP($A162,'Data shares'!$C:$FB,125)</f>
        <v>0.5</v>
      </c>
      <c r="Q162" s="50">
        <f>VLOOKUP($A162,'Data shares'!$C:$FB,127)*100</f>
        <v>32</v>
      </c>
    </row>
    <row r="163" spans="1:17" x14ac:dyDescent="0.25">
      <c r="A163" s="97" t="str">
        <f>'Data Vlaue (Cr)'!C158</f>
        <v>PETRONET</v>
      </c>
      <c r="B163" s="140">
        <f>VLOOKUP($A163,'Data shares'!$C:$FB,7)</f>
        <v>278.75</v>
      </c>
      <c r="C163" s="140">
        <f>VLOOKUP($A163,'Data shares'!$C:$FB,3)</f>
        <v>279.45</v>
      </c>
      <c r="D163" s="140">
        <f>VLOOKUP($A163,'Data shares'!$C:$FB,4)</f>
        <v>280.64999999999998</v>
      </c>
      <c r="E163" s="50">
        <f t="shared" si="6"/>
        <v>-0.42757883484767101</v>
      </c>
      <c r="F163" s="49">
        <f>VLOOKUP($A163,'Data shares'!$C:$FB,98)</f>
        <v>77736600</v>
      </c>
      <c r="G163" s="49">
        <f>VLOOKUP($A163,'Data shares'!$C:$FB,99)</f>
        <v>76266000</v>
      </c>
      <c r="H163" s="50">
        <f t="shared" si="7"/>
        <v>1.9282511210762334</v>
      </c>
      <c r="I163" s="49">
        <f>VLOOKUP($A163,'Data shares'!$C:$FB,66)</f>
        <v>16583400</v>
      </c>
      <c r="J163" s="49">
        <f>VLOOKUP($A163,'Data shares'!$C:$FB,67)</f>
        <v>16981200</v>
      </c>
      <c r="K163" s="50">
        <f t="shared" si="8"/>
        <v>-2.3987843264951696</v>
      </c>
      <c r="L163" s="50">
        <f>VLOOKUP($A163,'Data shares'!$C:$FB,118)</f>
        <v>0.98</v>
      </c>
      <c r="M163" s="50">
        <f>VLOOKUP($A163,'Data shares'!$C:$FB,119)</f>
        <v>0.96</v>
      </c>
      <c r="N163" s="50">
        <f>VLOOKUP($A163,'Data shares'!$C:$FB,121)*100</f>
        <v>2.08</v>
      </c>
      <c r="O163" s="50">
        <f>VLOOKUP($A163,'Data shares'!$C:$FB,124)</f>
        <v>0.56000000000000005</v>
      </c>
      <c r="P163" s="50">
        <f>VLOOKUP($A163,'Data shares'!$C:$FB,125)</f>
        <v>0.67</v>
      </c>
      <c r="Q163" s="50">
        <f>VLOOKUP($A163,'Data shares'!$C:$FB,127)*100</f>
        <v>-16.420000000000002</v>
      </c>
    </row>
    <row r="164" spans="1:17" x14ac:dyDescent="0.25">
      <c r="A164" s="97" t="str">
        <f>'Data Vlaue (Cr)'!C159</f>
        <v>PFC</v>
      </c>
      <c r="B164" s="140">
        <f>VLOOKUP($A164,'Data shares'!$C:$FB,7)</f>
        <v>401.55</v>
      </c>
      <c r="C164" s="140">
        <f>VLOOKUP($A164,'Data shares'!$C:$FB,3)</f>
        <v>402.3</v>
      </c>
      <c r="D164" s="140">
        <f>VLOOKUP($A164,'Data shares'!$C:$FB,4)</f>
        <v>406.9</v>
      </c>
      <c r="E164" s="50">
        <f t="shared" si="6"/>
        <v>-1.1304988940771605</v>
      </c>
      <c r="F164" s="49">
        <f>VLOOKUP($A164,'Data shares'!$C:$FB,98)</f>
        <v>104273000</v>
      </c>
      <c r="G164" s="49">
        <f>VLOOKUP($A164,'Data shares'!$C:$FB,99)</f>
        <v>99911500</v>
      </c>
      <c r="H164" s="50">
        <f t="shared" si="7"/>
        <v>4.3653633465617068</v>
      </c>
      <c r="I164" s="49">
        <f>VLOOKUP($A164,'Data shares'!$C:$FB,66)</f>
        <v>42201900</v>
      </c>
      <c r="J164" s="49">
        <f>VLOOKUP($A164,'Data shares'!$C:$FB,67)</f>
        <v>50276200</v>
      </c>
      <c r="K164" s="50">
        <f t="shared" si="8"/>
        <v>-19.132550904106214</v>
      </c>
      <c r="L164" s="50">
        <f>VLOOKUP($A164,'Data shares'!$C:$FB,118)</f>
        <v>0.75</v>
      </c>
      <c r="M164" s="50">
        <f>VLOOKUP($A164,'Data shares'!$C:$FB,119)</f>
        <v>0.79</v>
      </c>
      <c r="N164" s="50">
        <f>VLOOKUP($A164,'Data shares'!$C:$FB,121)*100</f>
        <v>-5.0599999999999996</v>
      </c>
      <c r="O164" s="50">
        <f>VLOOKUP($A164,'Data shares'!$C:$FB,124)</f>
        <v>0.6</v>
      </c>
      <c r="P164" s="50">
        <f>VLOOKUP($A164,'Data shares'!$C:$FB,125)</f>
        <v>0.56999999999999995</v>
      </c>
      <c r="Q164" s="50">
        <f>VLOOKUP($A164,'Data shares'!$C:$FB,127)*100</f>
        <v>5.26</v>
      </c>
    </row>
    <row r="165" spans="1:17" x14ac:dyDescent="0.25">
      <c r="A165" s="97" t="str">
        <f>'Data Vlaue (Cr)'!C160</f>
        <v>PGEL</v>
      </c>
      <c r="B165" s="140">
        <f>VLOOKUP($A165,'Data shares'!$C:$FB,7)</f>
        <v>568.85</v>
      </c>
      <c r="C165" s="140">
        <f>VLOOKUP($A165,'Data shares'!$C:$FB,3)</f>
        <v>569.70000000000005</v>
      </c>
      <c r="D165" s="140">
        <f>VLOOKUP($A165,'Data shares'!$C:$FB,4)</f>
        <v>572.1</v>
      </c>
      <c r="E165" s="50">
        <f t="shared" si="6"/>
        <v>-0.41950707918195723</v>
      </c>
      <c r="F165" s="49">
        <f>VLOOKUP($A165,'Data shares'!$C:$FB,98)</f>
        <v>21344400</v>
      </c>
      <c r="G165" s="49">
        <f>VLOOKUP($A165,'Data shares'!$C:$FB,99)</f>
        <v>21560000</v>
      </c>
      <c r="H165" s="50">
        <f t="shared" si="7"/>
        <v>-1</v>
      </c>
      <c r="I165" s="49">
        <f>VLOOKUP($A165,'Data shares'!$C:$FB,66)</f>
        <v>9346400</v>
      </c>
      <c r="J165" s="49">
        <f>VLOOKUP($A165,'Data shares'!$C:$FB,67)</f>
        <v>19676300</v>
      </c>
      <c r="K165" s="50">
        <f t="shared" si="8"/>
        <v>-110.52276812462551</v>
      </c>
      <c r="L165" s="50">
        <f>VLOOKUP($A165,'Data shares'!$C:$FB,118)</f>
        <v>0.72</v>
      </c>
      <c r="M165" s="50">
        <f>VLOOKUP($A165,'Data shares'!$C:$FB,119)</f>
        <v>0.71</v>
      </c>
      <c r="N165" s="50">
        <f>VLOOKUP($A165,'Data shares'!$C:$FB,121)*100</f>
        <v>1.41</v>
      </c>
      <c r="O165" s="50">
        <f>VLOOKUP($A165,'Data shares'!$C:$FB,124)</f>
        <v>0.43</v>
      </c>
      <c r="P165" s="50">
        <f>VLOOKUP($A165,'Data shares'!$C:$FB,125)</f>
        <v>0.47</v>
      </c>
      <c r="Q165" s="50">
        <f>VLOOKUP($A165,'Data shares'!$C:$FB,127)*100</f>
        <v>-8.51</v>
      </c>
    </row>
    <row r="166" spans="1:17" x14ac:dyDescent="0.25">
      <c r="A166" s="97" t="str">
        <f>'Data Vlaue (Cr)'!C161</f>
        <v>PHOENIXLTD</v>
      </c>
      <c r="B166" s="140">
        <f>VLOOKUP($A166,'Data shares'!$C:$FB,7)</f>
        <v>1694.9</v>
      </c>
      <c r="C166" s="140">
        <f>VLOOKUP($A166,'Data shares'!$C:$FB,3)</f>
        <v>1701.4</v>
      </c>
      <c r="D166" s="140">
        <f>VLOOKUP($A166,'Data shares'!$C:$FB,4)</f>
        <v>1678.6</v>
      </c>
      <c r="E166" s="50">
        <f t="shared" si="6"/>
        <v>1.3582747527701766</v>
      </c>
      <c r="F166" s="49">
        <f>VLOOKUP($A166,'Data shares'!$C:$FB,98)</f>
        <v>6954500</v>
      </c>
      <c r="G166" s="49">
        <f>VLOOKUP($A166,'Data shares'!$C:$FB,99)</f>
        <v>5936700</v>
      </c>
      <c r="H166" s="50">
        <f t="shared" si="7"/>
        <v>17.144204692842823</v>
      </c>
      <c r="I166" s="49">
        <f>VLOOKUP($A166,'Data shares'!$C:$FB,66)</f>
        <v>7744800</v>
      </c>
      <c r="J166" s="49">
        <f>VLOOKUP($A166,'Data shares'!$C:$FB,67)</f>
        <v>5919550</v>
      </c>
      <c r="K166" s="50">
        <f t="shared" si="8"/>
        <v>23.567425885755604</v>
      </c>
      <c r="L166" s="50">
        <f>VLOOKUP($A166,'Data shares'!$C:$FB,118)</f>
        <v>0.74</v>
      </c>
      <c r="M166" s="50">
        <f>VLOOKUP($A166,'Data shares'!$C:$FB,119)</f>
        <v>0.77</v>
      </c>
      <c r="N166" s="50">
        <f>VLOOKUP($A166,'Data shares'!$C:$FB,121)*100</f>
        <v>-3.9</v>
      </c>
      <c r="O166" s="50">
        <f>VLOOKUP($A166,'Data shares'!$C:$FB,124)</f>
        <v>0.32</v>
      </c>
      <c r="P166" s="50">
        <f>VLOOKUP($A166,'Data shares'!$C:$FB,125)</f>
        <v>0.28999999999999998</v>
      </c>
      <c r="Q166" s="50">
        <f>VLOOKUP($A166,'Data shares'!$C:$FB,127)*100</f>
        <v>10.34</v>
      </c>
    </row>
    <row r="167" spans="1:17" x14ac:dyDescent="0.25">
      <c r="A167" s="97" t="str">
        <f>'Data Vlaue (Cr)'!C162</f>
        <v>PIDILITIND</v>
      </c>
      <c r="B167" s="140">
        <f>VLOOKUP($A167,'Data shares'!$C:$FB,7)</f>
        <v>1523</v>
      </c>
      <c r="C167" s="140">
        <f>VLOOKUP($A167,'Data shares'!$C:$FB,3)</f>
        <v>1524.4</v>
      </c>
      <c r="D167" s="140">
        <f>VLOOKUP($A167,'Data shares'!$C:$FB,4)</f>
        <v>1507.8</v>
      </c>
      <c r="E167" s="50">
        <f t="shared" si="6"/>
        <v>1.1009417694654555</v>
      </c>
      <c r="F167" s="49">
        <f>VLOOKUP($A167,'Data shares'!$C:$FB,98)</f>
        <v>12043000</v>
      </c>
      <c r="G167" s="49">
        <f>VLOOKUP($A167,'Data shares'!$C:$FB,99)</f>
        <v>11967500</v>
      </c>
      <c r="H167" s="50">
        <f t="shared" si="7"/>
        <v>0.63087528723626496</v>
      </c>
      <c r="I167" s="49">
        <f>VLOOKUP($A167,'Data shares'!$C:$FB,66)</f>
        <v>4121000</v>
      </c>
      <c r="J167" s="49">
        <f>VLOOKUP($A167,'Data shares'!$C:$FB,67)</f>
        <v>2535000</v>
      </c>
      <c r="K167" s="50">
        <f t="shared" si="8"/>
        <v>38.485804416403788</v>
      </c>
      <c r="L167" s="50">
        <f>VLOOKUP($A167,'Data shares'!$C:$FB,118)</f>
        <v>0.65</v>
      </c>
      <c r="M167" s="50">
        <f>VLOOKUP($A167,'Data shares'!$C:$FB,119)</f>
        <v>0.62</v>
      </c>
      <c r="N167" s="50">
        <f>VLOOKUP($A167,'Data shares'!$C:$FB,121)*100</f>
        <v>4.84</v>
      </c>
      <c r="O167" s="50">
        <f>VLOOKUP($A167,'Data shares'!$C:$FB,124)</f>
        <v>0.28999999999999998</v>
      </c>
      <c r="P167" s="50">
        <f>VLOOKUP($A167,'Data shares'!$C:$FB,125)</f>
        <v>0.52</v>
      </c>
      <c r="Q167" s="50">
        <f>VLOOKUP($A167,'Data shares'!$C:$FB,127)*100</f>
        <v>-44.230000000000004</v>
      </c>
    </row>
    <row r="168" spans="1:17" x14ac:dyDescent="0.25">
      <c r="A168" s="97" t="str">
        <f>'Data Vlaue (Cr)'!C163</f>
        <v>PIIND</v>
      </c>
      <c r="B168" s="140">
        <f>VLOOKUP($A168,'Data shares'!$C:$FB,7)</f>
        <v>3550.3</v>
      </c>
      <c r="C168" s="140">
        <f>VLOOKUP($A168,'Data shares'!$C:$FB,3)</f>
        <v>3564.2</v>
      </c>
      <c r="D168" s="140">
        <f>VLOOKUP($A168,'Data shares'!$C:$FB,4)</f>
        <v>3561.6</v>
      </c>
      <c r="E168" s="50">
        <f t="shared" si="6"/>
        <v>7.3000898472594028E-2</v>
      </c>
      <c r="F168" s="49">
        <f>VLOOKUP($A168,'Data shares'!$C:$FB,98)</f>
        <v>2687650</v>
      </c>
      <c r="G168" s="49">
        <f>VLOOKUP($A168,'Data shares'!$C:$FB,99)</f>
        <v>2647050</v>
      </c>
      <c r="H168" s="50">
        <f t="shared" si="7"/>
        <v>1.5337828903874124</v>
      </c>
      <c r="I168" s="49">
        <f>VLOOKUP($A168,'Data shares'!$C:$FB,66)</f>
        <v>727125</v>
      </c>
      <c r="J168" s="49">
        <f>VLOOKUP($A168,'Data shares'!$C:$FB,67)</f>
        <v>461125</v>
      </c>
      <c r="K168" s="50">
        <f t="shared" si="8"/>
        <v>36.58243080625752</v>
      </c>
      <c r="L168" s="50">
        <f>VLOOKUP($A168,'Data shares'!$C:$FB,118)</f>
        <v>0.56999999999999995</v>
      </c>
      <c r="M168" s="50">
        <f>VLOOKUP($A168,'Data shares'!$C:$FB,119)</f>
        <v>0.61</v>
      </c>
      <c r="N168" s="50">
        <f>VLOOKUP($A168,'Data shares'!$C:$FB,121)*100</f>
        <v>-6.5600000000000005</v>
      </c>
      <c r="O168" s="50">
        <f>VLOOKUP($A168,'Data shares'!$C:$FB,124)</f>
        <v>0.28000000000000003</v>
      </c>
      <c r="P168" s="50">
        <f>VLOOKUP($A168,'Data shares'!$C:$FB,125)</f>
        <v>0.16</v>
      </c>
      <c r="Q168" s="50">
        <f>VLOOKUP($A168,'Data shares'!$C:$FB,127)*100</f>
        <v>75</v>
      </c>
    </row>
    <row r="169" spans="1:17" x14ac:dyDescent="0.25">
      <c r="A169" s="97" t="str">
        <f>'Data Vlaue (Cr)'!C164</f>
        <v>PNB</v>
      </c>
      <c r="B169" s="140">
        <f>VLOOKUP($A169,'Data shares'!$C:$FB,7)</f>
        <v>116.11</v>
      </c>
      <c r="C169" s="140">
        <f>VLOOKUP($A169,'Data shares'!$C:$FB,3)</f>
        <v>116.57</v>
      </c>
      <c r="D169" s="140">
        <f>VLOOKUP($A169,'Data shares'!$C:$FB,4)</f>
        <v>116.9</v>
      </c>
      <c r="E169" s="50">
        <f t="shared" si="6"/>
        <v>-0.28229255774167022</v>
      </c>
      <c r="F169" s="49">
        <f>VLOOKUP($A169,'Data shares'!$C:$FB,98)</f>
        <v>478904000</v>
      </c>
      <c r="G169" s="49">
        <f>VLOOKUP($A169,'Data shares'!$C:$FB,99)</f>
        <v>478360000</v>
      </c>
      <c r="H169" s="50">
        <f t="shared" si="7"/>
        <v>0.1137218831005937</v>
      </c>
      <c r="I169" s="49">
        <f>VLOOKUP($A169,'Data shares'!$C:$FB,66)</f>
        <v>335488000</v>
      </c>
      <c r="J169" s="49">
        <f>VLOOKUP($A169,'Data shares'!$C:$FB,67)</f>
        <v>263152000</v>
      </c>
      <c r="K169" s="50">
        <f t="shared" si="8"/>
        <v>21.561426936283862</v>
      </c>
      <c r="L169" s="50">
        <f>VLOOKUP($A169,'Data shares'!$C:$FB,118)</f>
        <v>0.8</v>
      </c>
      <c r="M169" s="50">
        <f>VLOOKUP($A169,'Data shares'!$C:$FB,119)</f>
        <v>0.81</v>
      </c>
      <c r="N169" s="50">
        <f>VLOOKUP($A169,'Data shares'!$C:$FB,121)*100</f>
        <v>-1.23</v>
      </c>
      <c r="O169" s="50">
        <f>VLOOKUP($A169,'Data shares'!$C:$FB,124)</f>
        <v>0.64</v>
      </c>
      <c r="P169" s="50">
        <f>VLOOKUP($A169,'Data shares'!$C:$FB,125)</f>
        <v>0.55000000000000004</v>
      </c>
      <c r="Q169" s="50">
        <f>VLOOKUP($A169,'Data shares'!$C:$FB,127)*100</f>
        <v>16.36</v>
      </c>
    </row>
    <row r="170" spans="1:17" x14ac:dyDescent="0.25">
      <c r="A170" s="97" t="str">
        <f>'Data Vlaue (Cr)'!C165</f>
        <v>PNBHOUSING</v>
      </c>
      <c r="B170" s="140">
        <f>VLOOKUP($A170,'Data shares'!$C:$FB,7)</f>
        <v>843.4</v>
      </c>
      <c r="C170" s="140">
        <f>VLOOKUP($A170,'Data shares'!$C:$FB,3)</f>
        <v>845.25</v>
      </c>
      <c r="D170" s="140">
        <f>VLOOKUP($A170,'Data shares'!$C:$FB,4)</f>
        <v>852.4</v>
      </c>
      <c r="E170" s="50">
        <f t="shared" si="6"/>
        <v>-0.83880807132801238</v>
      </c>
      <c r="F170" s="49">
        <f>VLOOKUP($A170,'Data shares'!$C:$FB,98)</f>
        <v>23555350</v>
      </c>
      <c r="G170" s="49">
        <f>VLOOKUP($A170,'Data shares'!$C:$FB,99)</f>
        <v>23403900</v>
      </c>
      <c r="H170" s="50">
        <f t="shared" si="7"/>
        <v>0.64711436982725101</v>
      </c>
      <c r="I170" s="49">
        <f>VLOOKUP($A170,'Data shares'!$C:$FB,66)</f>
        <v>6239350</v>
      </c>
      <c r="J170" s="49">
        <f>VLOOKUP($A170,'Data shares'!$C:$FB,67)</f>
        <v>4685200</v>
      </c>
      <c r="K170" s="50">
        <f t="shared" si="8"/>
        <v>24.90884467131993</v>
      </c>
      <c r="L170" s="50">
        <f>VLOOKUP($A170,'Data shares'!$C:$FB,118)</f>
        <v>0.71</v>
      </c>
      <c r="M170" s="50">
        <f>VLOOKUP($A170,'Data shares'!$C:$FB,119)</f>
        <v>0.71</v>
      </c>
      <c r="N170" s="50">
        <f>VLOOKUP($A170,'Data shares'!$C:$FB,121)*100</f>
        <v>0</v>
      </c>
      <c r="O170" s="50">
        <f>VLOOKUP($A170,'Data shares'!$C:$FB,124)</f>
        <v>0.54</v>
      </c>
      <c r="P170" s="50">
        <f>VLOOKUP($A170,'Data shares'!$C:$FB,125)</f>
        <v>0.46</v>
      </c>
      <c r="Q170" s="50">
        <f>VLOOKUP($A170,'Data shares'!$C:$FB,127)*100</f>
        <v>17.39</v>
      </c>
    </row>
    <row r="171" spans="1:17" x14ac:dyDescent="0.25">
      <c r="A171" s="97" t="str">
        <f>'Data Vlaue (Cr)'!C166</f>
        <v>POLICYBZR</v>
      </c>
      <c r="B171" s="140">
        <f>VLOOKUP($A171,'Data shares'!$C:$FB,7)</f>
        <v>1691</v>
      </c>
      <c r="C171" s="140">
        <f>VLOOKUP($A171,'Data shares'!$C:$FB,3)</f>
        <v>1697.3</v>
      </c>
      <c r="D171" s="140">
        <f>VLOOKUP($A171,'Data shares'!$C:$FB,4)</f>
        <v>1681.2</v>
      </c>
      <c r="E171" s="50">
        <f t="shared" si="6"/>
        <v>0.9576492981203848</v>
      </c>
      <c r="F171" s="49">
        <f>VLOOKUP($A171,'Data shares'!$C:$FB,98)</f>
        <v>9571100</v>
      </c>
      <c r="G171" s="49">
        <f>VLOOKUP($A171,'Data shares'!$C:$FB,99)</f>
        <v>9452800</v>
      </c>
      <c r="H171" s="50">
        <f t="shared" si="7"/>
        <v>1.2514810426540286</v>
      </c>
      <c r="I171" s="49">
        <f>VLOOKUP($A171,'Data shares'!$C:$FB,66)</f>
        <v>3588550</v>
      </c>
      <c r="J171" s="49">
        <f>VLOOKUP($A171,'Data shares'!$C:$FB,67)</f>
        <v>3483200</v>
      </c>
      <c r="K171" s="50">
        <f t="shared" si="8"/>
        <v>2.9357261289378718</v>
      </c>
      <c r="L171" s="50">
        <f>VLOOKUP($A171,'Data shares'!$C:$FB,118)</f>
        <v>0.69</v>
      </c>
      <c r="M171" s="50">
        <f>VLOOKUP($A171,'Data shares'!$C:$FB,119)</f>
        <v>0.65</v>
      </c>
      <c r="N171" s="50">
        <f>VLOOKUP($A171,'Data shares'!$C:$FB,121)*100</f>
        <v>6.15</v>
      </c>
      <c r="O171" s="50">
        <f>VLOOKUP($A171,'Data shares'!$C:$FB,124)</f>
        <v>0.24</v>
      </c>
      <c r="P171" s="50">
        <f>VLOOKUP($A171,'Data shares'!$C:$FB,125)</f>
        <v>0.52</v>
      </c>
      <c r="Q171" s="50">
        <f>VLOOKUP($A171,'Data shares'!$C:$FB,127)*100</f>
        <v>-53.849999999999994</v>
      </c>
    </row>
    <row r="172" spans="1:17" x14ac:dyDescent="0.25">
      <c r="A172" s="97" t="str">
        <f>'Data Vlaue (Cr)'!C167</f>
        <v>POLYCAB</v>
      </c>
      <c r="B172" s="140">
        <f>VLOOKUP($A172,'Data shares'!$C:$FB,7)</f>
        <v>7578</v>
      </c>
      <c r="C172" s="140">
        <f>VLOOKUP($A172,'Data shares'!$C:$FB,3)</f>
        <v>7600</v>
      </c>
      <c r="D172" s="140">
        <f>VLOOKUP($A172,'Data shares'!$C:$FB,4)</f>
        <v>7682</v>
      </c>
      <c r="E172" s="50">
        <f t="shared" si="6"/>
        <v>-1.0674303566779484</v>
      </c>
      <c r="F172" s="49">
        <f>VLOOKUP($A172,'Data shares'!$C:$FB,98)</f>
        <v>3485250</v>
      </c>
      <c r="G172" s="49">
        <f>VLOOKUP($A172,'Data shares'!$C:$FB,99)</f>
        <v>3299500</v>
      </c>
      <c r="H172" s="50">
        <f t="shared" si="7"/>
        <v>5.6296408546749506</v>
      </c>
      <c r="I172" s="49">
        <f>VLOOKUP($A172,'Data shares'!$C:$FB,66)</f>
        <v>3247500</v>
      </c>
      <c r="J172" s="49">
        <f>VLOOKUP($A172,'Data shares'!$C:$FB,67)</f>
        <v>2349250</v>
      </c>
      <c r="K172" s="50">
        <f t="shared" si="8"/>
        <v>27.659738260200157</v>
      </c>
      <c r="L172" s="50">
        <f>VLOOKUP($A172,'Data shares'!$C:$FB,118)</f>
        <v>0.5</v>
      </c>
      <c r="M172" s="50">
        <f>VLOOKUP($A172,'Data shares'!$C:$FB,119)</f>
        <v>0.53</v>
      </c>
      <c r="N172" s="50">
        <f>VLOOKUP($A172,'Data shares'!$C:$FB,121)*100</f>
        <v>-5.66</v>
      </c>
      <c r="O172" s="50">
        <f>VLOOKUP($A172,'Data shares'!$C:$FB,124)</f>
        <v>0.44</v>
      </c>
      <c r="P172" s="50">
        <f>VLOOKUP($A172,'Data shares'!$C:$FB,125)</f>
        <v>0.55000000000000004</v>
      </c>
      <c r="Q172" s="50">
        <f>VLOOKUP($A172,'Data shares'!$C:$FB,127)*100</f>
        <v>-20</v>
      </c>
    </row>
    <row r="173" spans="1:17" x14ac:dyDescent="0.25">
      <c r="A173" s="97" t="str">
        <f>'Data Vlaue (Cr)'!C168</f>
        <v>POWERGRID</v>
      </c>
      <c r="B173" s="140">
        <f>VLOOKUP($A173,'Data shares'!$C:$FB,7)</f>
        <v>291.85000000000002</v>
      </c>
      <c r="C173" s="140">
        <f>VLOOKUP($A173,'Data shares'!$C:$FB,3)</f>
        <v>292.55</v>
      </c>
      <c r="D173" s="140">
        <f>VLOOKUP($A173,'Data shares'!$C:$FB,4)</f>
        <v>292.2</v>
      </c>
      <c r="E173" s="50">
        <f t="shared" ref="E173:E182" si="9">(C173-D173)/D173*100</f>
        <v>0.11978097193703723</v>
      </c>
      <c r="F173" s="49">
        <f>VLOOKUP($A173,'Data shares'!$C:$FB,98)</f>
        <v>117712600</v>
      </c>
      <c r="G173" s="49">
        <f>VLOOKUP($A173,'Data shares'!$C:$FB,99)</f>
        <v>117758200</v>
      </c>
      <c r="H173" s="50">
        <f t="shared" ref="H173:H182" si="10">(F173-G173)/G173*100</f>
        <v>-3.872341798702765E-2</v>
      </c>
      <c r="I173" s="49">
        <f>VLOOKUP($A173,'Data shares'!$C:$FB,66)</f>
        <v>28538000</v>
      </c>
      <c r="J173" s="49">
        <f>VLOOKUP($A173,'Data shares'!$C:$FB,67)</f>
        <v>53010000</v>
      </c>
      <c r="K173" s="50">
        <f t="shared" ref="K173:K182" si="11">(I173-J173)/I173*100</f>
        <v>-85.752330226364847</v>
      </c>
      <c r="L173" s="50">
        <f>VLOOKUP($A173,'Data shares'!$C:$FB,118)</f>
        <v>0.51</v>
      </c>
      <c r="M173" s="50">
        <f>VLOOKUP($A173,'Data shares'!$C:$FB,119)</f>
        <v>0.51</v>
      </c>
      <c r="N173" s="50">
        <f>VLOOKUP($A173,'Data shares'!$C:$FB,121)*100</f>
        <v>0</v>
      </c>
      <c r="O173" s="50">
        <f>VLOOKUP($A173,'Data shares'!$C:$FB,124)</f>
        <v>0.56999999999999995</v>
      </c>
      <c r="P173" s="50">
        <f>VLOOKUP($A173,'Data shares'!$C:$FB,125)</f>
        <v>0.55000000000000004</v>
      </c>
      <c r="Q173" s="50">
        <f>VLOOKUP($A173,'Data shares'!$C:$FB,127)*100</f>
        <v>3.64</v>
      </c>
    </row>
    <row r="174" spans="1:17" x14ac:dyDescent="0.25">
      <c r="A174" s="97" t="str">
        <f>'Data Vlaue (Cr)'!C169</f>
        <v>POWERINDIA</v>
      </c>
      <c r="B174" s="140">
        <f>VLOOKUP($A174,'Data shares'!$C:$FB,7)</f>
        <v>17700</v>
      </c>
      <c r="C174" s="140">
        <f>VLOOKUP($A174,'Data shares'!$C:$FB,3)</f>
        <v>17762</v>
      </c>
      <c r="D174" s="140">
        <f>VLOOKUP($A174,'Data shares'!$C:$FB,4)</f>
        <v>17536</v>
      </c>
      <c r="E174" s="50">
        <f t="shared" si="9"/>
        <v>1.2887773722627738</v>
      </c>
      <c r="F174" s="49">
        <f>VLOOKUP($A174,'Data shares'!$C:$FB,98)</f>
        <v>174450</v>
      </c>
      <c r="G174" s="49">
        <f>VLOOKUP($A174,'Data shares'!$C:$FB,99)</f>
        <v>160250</v>
      </c>
      <c r="H174" s="50">
        <f t="shared" si="10"/>
        <v>8.8611544461778475</v>
      </c>
      <c r="I174" s="49">
        <f>VLOOKUP($A174,'Data shares'!$C:$FB,66)</f>
        <v>186850</v>
      </c>
      <c r="J174" s="49">
        <f>VLOOKUP($A174,'Data shares'!$C:$FB,67)</f>
        <v>101100</v>
      </c>
      <c r="K174" s="50">
        <f t="shared" si="11"/>
        <v>45.892427080545893</v>
      </c>
      <c r="L174" s="50">
        <f>VLOOKUP($A174,'Data shares'!$C:$FB,118)</f>
        <v>0.24</v>
      </c>
      <c r="M174" s="50">
        <f>VLOOKUP($A174,'Data shares'!$C:$FB,119)</f>
        <v>0.23</v>
      </c>
      <c r="N174" s="50">
        <f>VLOOKUP($A174,'Data shares'!$C:$FB,121)*100</f>
        <v>4.3499999999999996</v>
      </c>
      <c r="O174" s="50">
        <f>VLOOKUP($A174,'Data shares'!$C:$FB,124)</f>
        <v>0.11</v>
      </c>
      <c r="P174" s="50">
        <f>VLOOKUP($A174,'Data shares'!$C:$FB,125)</f>
        <v>0.3</v>
      </c>
      <c r="Q174" s="50">
        <f>VLOOKUP($A174,'Data shares'!$C:$FB,127)*100</f>
        <v>-63.33</v>
      </c>
    </row>
    <row r="175" spans="1:17" x14ac:dyDescent="0.25">
      <c r="A175" s="97" t="str">
        <f>'Data Vlaue (Cr)'!C170</f>
        <v>PPLPHARMA</v>
      </c>
      <c r="B175" s="140">
        <f>VLOOKUP($A175,'Data shares'!$C:$FB,7)</f>
        <v>194.16</v>
      </c>
      <c r="C175" s="140">
        <f>VLOOKUP($A175,'Data shares'!$C:$FB,3)</f>
        <v>194.15</v>
      </c>
      <c r="D175" s="140">
        <f>VLOOKUP($A175,'Data shares'!$C:$FB,4)</f>
        <v>193.67</v>
      </c>
      <c r="E175" s="50">
        <f t="shared" si="9"/>
        <v>0.24784427118294947</v>
      </c>
      <c r="F175" s="49">
        <f>VLOOKUP($A175,'Data shares'!$C:$FB,98)</f>
        <v>45680000</v>
      </c>
      <c r="G175" s="49">
        <f>VLOOKUP($A175,'Data shares'!$C:$FB,99)</f>
        <v>45962500</v>
      </c>
      <c r="H175" s="50">
        <f t="shared" si="10"/>
        <v>-0.61463149306499865</v>
      </c>
      <c r="I175" s="49">
        <f>VLOOKUP($A175,'Data shares'!$C:$FB,66)</f>
        <v>12225000</v>
      </c>
      <c r="J175" s="49">
        <f>VLOOKUP($A175,'Data shares'!$C:$FB,67)</f>
        <v>25752500</v>
      </c>
      <c r="K175" s="50">
        <f t="shared" si="11"/>
        <v>-110.65439672801635</v>
      </c>
      <c r="L175" s="50">
        <f>VLOOKUP($A175,'Data shares'!$C:$FB,118)</f>
        <v>0.55000000000000004</v>
      </c>
      <c r="M175" s="50">
        <f>VLOOKUP($A175,'Data shares'!$C:$FB,119)</f>
        <v>0.56000000000000005</v>
      </c>
      <c r="N175" s="50">
        <f>VLOOKUP($A175,'Data shares'!$C:$FB,121)*100</f>
        <v>-1.79</v>
      </c>
      <c r="O175" s="50">
        <f>VLOOKUP($A175,'Data shares'!$C:$FB,124)</f>
        <v>0.22</v>
      </c>
      <c r="P175" s="50">
        <f>VLOOKUP($A175,'Data shares'!$C:$FB,125)</f>
        <v>0.52</v>
      </c>
      <c r="Q175" s="50">
        <f>VLOOKUP($A175,'Data shares'!$C:$FB,127)*100</f>
        <v>-57.69</v>
      </c>
    </row>
    <row r="176" spans="1:17" x14ac:dyDescent="0.25">
      <c r="A176" s="97" t="str">
        <f>'Data Vlaue (Cr)'!C171</f>
        <v>PRESTIGE</v>
      </c>
      <c r="B176" s="140">
        <f>VLOOKUP($A176,'Data shares'!$C:$FB,7)</f>
        <v>1696.9</v>
      </c>
      <c r="C176" s="140">
        <f>VLOOKUP($A176,'Data shares'!$C:$FB,3)</f>
        <v>1699.8</v>
      </c>
      <c r="D176" s="140">
        <f>VLOOKUP($A176,'Data shares'!$C:$FB,4)</f>
        <v>1684</v>
      </c>
      <c r="E176" s="50">
        <f t="shared" si="9"/>
        <v>0.93824228028503298</v>
      </c>
      <c r="F176" s="49">
        <f>VLOOKUP($A176,'Data shares'!$C:$FB,98)</f>
        <v>8404200</v>
      </c>
      <c r="G176" s="49">
        <f>VLOOKUP($A176,'Data shares'!$C:$FB,99)</f>
        <v>8368200</v>
      </c>
      <c r="H176" s="50">
        <f t="shared" si="10"/>
        <v>0.43020004302000436</v>
      </c>
      <c r="I176" s="49">
        <f>VLOOKUP($A176,'Data shares'!$C:$FB,66)</f>
        <v>7507350</v>
      </c>
      <c r="J176" s="49">
        <f>VLOOKUP($A176,'Data shares'!$C:$FB,67)</f>
        <v>22238100</v>
      </c>
      <c r="K176" s="50">
        <f t="shared" si="11"/>
        <v>-196.21770664748544</v>
      </c>
      <c r="L176" s="50">
        <f>VLOOKUP($A176,'Data shares'!$C:$FB,118)</f>
        <v>0.76</v>
      </c>
      <c r="M176" s="50">
        <f>VLOOKUP($A176,'Data shares'!$C:$FB,119)</f>
        <v>0.7</v>
      </c>
      <c r="N176" s="50">
        <f>VLOOKUP($A176,'Data shares'!$C:$FB,121)*100</f>
        <v>8.57</v>
      </c>
      <c r="O176" s="50">
        <f>VLOOKUP($A176,'Data shares'!$C:$FB,124)</f>
        <v>0.31</v>
      </c>
      <c r="P176" s="50">
        <f>VLOOKUP($A176,'Data shares'!$C:$FB,125)</f>
        <v>0.3</v>
      </c>
      <c r="Q176" s="50">
        <f>VLOOKUP($A176,'Data shares'!$C:$FB,127)*100</f>
        <v>3.3300000000000005</v>
      </c>
    </row>
    <row r="177" spans="1:17" x14ac:dyDescent="0.25">
      <c r="A177" s="97" t="str">
        <f>'Data Vlaue (Cr)'!C172</f>
        <v>RBLBANK</v>
      </c>
      <c r="B177" s="140">
        <f>VLOOKUP($A177,'Data shares'!$C:$FB,7)</f>
        <v>306.75</v>
      </c>
      <c r="C177" s="140">
        <f>VLOOKUP($A177,'Data shares'!$C:$FB,3)</f>
        <v>307.89999999999998</v>
      </c>
      <c r="D177" s="140">
        <f>VLOOKUP($A177,'Data shares'!$C:$FB,4)</f>
        <v>300.85000000000002</v>
      </c>
      <c r="E177" s="50">
        <f t="shared" si="9"/>
        <v>2.3433604786438273</v>
      </c>
      <c r="F177" s="49">
        <f>VLOOKUP($A177,'Data shares'!$C:$FB,98)</f>
        <v>118221125</v>
      </c>
      <c r="G177" s="49">
        <f>VLOOKUP($A177,'Data shares'!$C:$FB,99)</f>
        <v>99126675</v>
      </c>
      <c r="H177" s="50">
        <f t="shared" si="10"/>
        <v>19.262675763108163</v>
      </c>
      <c r="I177" s="49">
        <f>VLOOKUP($A177,'Data shares'!$C:$FB,66)</f>
        <v>150450550</v>
      </c>
      <c r="J177" s="49">
        <f>VLOOKUP($A177,'Data shares'!$C:$FB,67)</f>
        <v>6045200</v>
      </c>
      <c r="K177" s="50">
        <f t="shared" si="11"/>
        <v>95.981935592791118</v>
      </c>
      <c r="L177" s="50">
        <f>VLOOKUP($A177,'Data shares'!$C:$FB,118)</f>
        <v>0.53</v>
      </c>
      <c r="M177" s="50">
        <f>VLOOKUP($A177,'Data shares'!$C:$FB,119)</f>
        <v>0.44</v>
      </c>
      <c r="N177" s="50">
        <f>VLOOKUP($A177,'Data shares'!$C:$FB,121)*100</f>
        <v>20.45</v>
      </c>
      <c r="O177" s="50">
        <f>VLOOKUP($A177,'Data shares'!$C:$FB,124)</f>
        <v>0.54</v>
      </c>
      <c r="P177" s="50">
        <f>VLOOKUP($A177,'Data shares'!$C:$FB,125)</f>
        <v>0.79</v>
      </c>
      <c r="Q177" s="50">
        <f>VLOOKUP($A177,'Data shares'!$C:$FB,127)*100</f>
        <v>-31.65</v>
      </c>
    </row>
    <row r="178" spans="1:17" x14ac:dyDescent="0.25">
      <c r="A178" s="97" t="str">
        <f>'Data Vlaue (Cr)'!C173</f>
        <v>RECLTD</v>
      </c>
      <c r="B178" s="140">
        <f>VLOOKUP($A178,'Data shares'!$C:$FB,7)</f>
        <v>377.5</v>
      </c>
      <c r="C178" s="140">
        <f>VLOOKUP($A178,'Data shares'!$C:$FB,3)</f>
        <v>375.45</v>
      </c>
      <c r="D178" s="140">
        <f>VLOOKUP($A178,'Data shares'!$C:$FB,4)</f>
        <v>374.8</v>
      </c>
      <c r="E178" s="50">
        <f t="shared" si="9"/>
        <v>0.17342582710778476</v>
      </c>
      <c r="F178" s="49">
        <f>VLOOKUP($A178,'Data shares'!$C:$FB,98)</f>
        <v>145709550</v>
      </c>
      <c r="G178" s="49">
        <f>VLOOKUP($A178,'Data shares'!$C:$FB,99)</f>
        <v>144999375</v>
      </c>
      <c r="H178" s="50">
        <f t="shared" si="10"/>
        <v>0.48977797318091887</v>
      </c>
      <c r="I178" s="49">
        <f>VLOOKUP($A178,'Data shares'!$C:$FB,66)</f>
        <v>33841050</v>
      </c>
      <c r="J178" s="49">
        <f>VLOOKUP($A178,'Data shares'!$C:$FB,67)</f>
        <v>51816000</v>
      </c>
      <c r="K178" s="50">
        <f t="shared" si="11"/>
        <v>-53.115816441865725</v>
      </c>
      <c r="L178" s="50">
        <f>VLOOKUP($A178,'Data shares'!$C:$FB,118)</f>
        <v>0.89</v>
      </c>
      <c r="M178" s="50">
        <f>VLOOKUP($A178,'Data shares'!$C:$FB,119)</f>
        <v>0.89</v>
      </c>
      <c r="N178" s="50">
        <f>VLOOKUP($A178,'Data shares'!$C:$FB,121)*100</f>
        <v>0</v>
      </c>
      <c r="O178" s="50">
        <f>VLOOKUP($A178,'Data shares'!$C:$FB,124)</f>
        <v>0.64</v>
      </c>
      <c r="P178" s="50">
        <f>VLOOKUP($A178,'Data shares'!$C:$FB,125)</f>
        <v>0.56999999999999995</v>
      </c>
      <c r="Q178" s="50">
        <f>VLOOKUP($A178,'Data shares'!$C:$FB,127)*100</f>
        <v>12.280000000000001</v>
      </c>
    </row>
    <row r="179" spans="1:17" x14ac:dyDescent="0.25">
      <c r="A179" s="97" t="str">
        <f>'Data Vlaue (Cr)'!C174</f>
        <v>RELIANCE</v>
      </c>
      <c r="B179" s="140">
        <f>VLOOKUP($A179,'Data shares'!$C:$FB,7)</f>
        <v>1398.3</v>
      </c>
      <c r="C179" s="140">
        <f>VLOOKUP($A179,'Data shares'!$C:$FB,3)</f>
        <v>1399.8</v>
      </c>
      <c r="D179" s="140">
        <f>VLOOKUP($A179,'Data shares'!$C:$FB,4)</f>
        <v>1379.5</v>
      </c>
      <c r="E179" s="50">
        <f t="shared" si="9"/>
        <v>1.4715476621964447</v>
      </c>
      <c r="F179" s="49">
        <f>VLOOKUP($A179,'Data shares'!$C:$FB,98)</f>
        <v>231972000</v>
      </c>
      <c r="G179" s="49">
        <f>VLOOKUP($A179,'Data shares'!$C:$FB,99)</f>
        <v>234462500</v>
      </c>
      <c r="H179" s="50">
        <f t="shared" si="10"/>
        <v>-1.0622167724049689</v>
      </c>
      <c r="I179" s="49">
        <f>VLOOKUP($A179,'Data shares'!$C:$FB,66)</f>
        <v>119328000</v>
      </c>
      <c r="J179" s="49">
        <f>VLOOKUP($A179,'Data shares'!$C:$FB,67)</f>
        <v>76998000</v>
      </c>
      <c r="K179" s="50">
        <f t="shared" si="11"/>
        <v>35.473652453740954</v>
      </c>
      <c r="L179" s="50">
        <f>VLOOKUP($A179,'Data shares'!$C:$FB,118)</f>
        <v>0.69</v>
      </c>
      <c r="M179" s="50">
        <f>VLOOKUP($A179,'Data shares'!$C:$FB,119)</f>
        <v>0.66</v>
      </c>
      <c r="N179" s="50">
        <f>VLOOKUP($A179,'Data shares'!$C:$FB,121)*100</f>
        <v>4.55</v>
      </c>
      <c r="O179" s="50">
        <f>VLOOKUP($A179,'Data shares'!$C:$FB,124)</f>
        <v>0.43</v>
      </c>
      <c r="P179" s="50">
        <f>VLOOKUP($A179,'Data shares'!$C:$FB,125)</f>
        <v>0.54</v>
      </c>
      <c r="Q179" s="50">
        <f>VLOOKUP($A179,'Data shares'!$C:$FB,127)*100</f>
        <v>-20.369999999999997</v>
      </c>
    </row>
    <row r="180" spans="1:17" x14ac:dyDescent="0.25">
      <c r="A180" s="97" t="str">
        <f>'Data Vlaue (Cr)'!C175</f>
        <v>RVNL</v>
      </c>
      <c r="B180" s="140">
        <f>VLOOKUP($A180,'Data shares'!$C:$FB,7)</f>
        <v>336.05</v>
      </c>
      <c r="C180" s="140">
        <f>VLOOKUP($A180,'Data shares'!$C:$FB,3)</f>
        <v>337</v>
      </c>
      <c r="D180" s="140">
        <f>VLOOKUP($A180,'Data shares'!$C:$FB,4)</f>
        <v>339.2</v>
      </c>
      <c r="E180" s="50">
        <f t="shared" si="9"/>
        <v>-0.64858490566037397</v>
      </c>
      <c r="F180" s="49">
        <f>VLOOKUP($A180,'Data shares'!$C:$FB,98)</f>
        <v>69943500</v>
      </c>
      <c r="G180" s="49">
        <f>VLOOKUP($A180,'Data shares'!$C:$FB,99)</f>
        <v>69225750</v>
      </c>
      <c r="H180" s="50">
        <f t="shared" si="10"/>
        <v>1.0368251698248123</v>
      </c>
      <c r="I180" s="49">
        <f>VLOOKUP($A180,'Data shares'!$C:$FB,66)</f>
        <v>18315000</v>
      </c>
      <c r="J180" s="49">
        <f>VLOOKUP($A180,'Data shares'!$C:$FB,67)</f>
        <v>23830125</v>
      </c>
      <c r="K180" s="50">
        <f t="shared" si="11"/>
        <v>-30.112612612612612</v>
      </c>
      <c r="L180" s="50">
        <f>VLOOKUP($A180,'Data shares'!$C:$FB,118)</f>
        <v>0.37</v>
      </c>
      <c r="M180" s="50">
        <f>VLOOKUP($A180,'Data shares'!$C:$FB,119)</f>
        <v>0.38</v>
      </c>
      <c r="N180" s="50">
        <f>VLOOKUP($A180,'Data shares'!$C:$FB,121)*100</f>
        <v>-2.63</v>
      </c>
      <c r="O180" s="50">
        <f>VLOOKUP($A180,'Data shares'!$C:$FB,124)</f>
        <v>0.28000000000000003</v>
      </c>
      <c r="P180" s="50">
        <f>VLOOKUP($A180,'Data shares'!$C:$FB,125)</f>
        <v>0.27</v>
      </c>
      <c r="Q180" s="50">
        <f>VLOOKUP($A180,'Data shares'!$C:$FB,127)*100</f>
        <v>3.6999999999999997</v>
      </c>
    </row>
    <row r="181" spans="1:17" x14ac:dyDescent="0.25">
      <c r="A181" s="97" t="str">
        <f>'Data Vlaue (Cr)'!C176</f>
        <v>SAIL</v>
      </c>
      <c r="B181" s="140">
        <f>VLOOKUP($A181,'Data shares'!$C:$FB,7)</f>
        <v>131.38</v>
      </c>
      <c r="C181" s="140">
        <f>VLOOKUP($A181,'Data shares'!$C:$FB,3)</f>
        <v>131.69</v>
      </c>
      <c r="D181" s="140">
        <f>VLOOKUP($A181,'Data shares'!$C:$FB,4)</f>
        <v>130.71</v>
      </c>
      <c r="E181" s="50">
        <f t="shared" si="9"/>
        <v>0.74975135796801295</v>
      </c>
      <c r="F181" s="49">
        <f>VLOOKUP($A181,'Data shares'!$C:$FB,98)</f>
        <v>305453000</v>
      </c>
      <c r="G181" s="49">
        <f>VLOOKUP($A181,'Data shares'!$C:$FB,99)</f>
        <v>309885100</v>
      </c>
      <c r="H181" s="50">
        <f t="shared" si="10"/>
        <v>-1.4302397888765868</v>
      </c>
      <c r="I181" s="49">
        <f>VLOOKUP($A181,'Data shares'!$C:$FB,66)</f>
        <v>97703600</v>
      </c>
      <c r="J181" s="49">
        <f>VLOOKUP($A181,'Data shares'!$C:$FB,67)</f>
        <v>84698700</v>
      </c>
      <c r="K181" s="50">
        <f t="shared" si="11"/>
        <v>13.310563786800078</v>
      </c>
      <c r="L181" s="50">
        <f>VLOOKUP($A181,'Data shares'!$C:$FB,118)</f>
        <v>0.52</v>
      </c>
      <c r="M181" s="50">
        <f>VLOOKUP($A181,'Data shares'!$C:$FB,119)</f>
        <v>0.5</v>
      </c>
      <c r="N181" s="50">
        <f>VLOOKUP($A181,'Data shares'!$C:$FB,121)*100</f>
        <v>4</v>
      </c>
      <c r="O181" s="50">
        <f>VLOOKUP($A181,'Data shares'!$C:$FB,124)</f>
        <v>0.56000000000000005</v>
      </c>
      <c r="P181" s="50">
        <f>VLOOKUP($A181,'Data shares'!$C:$FB,125)</f>
        <v>0.47</v>
      </c>
      <c r="Q181" s="50">
        <f>VLOOKUP($A181,'Data shares'!$C:$FB,127)*100</f>
        <v>19.149999999999999</v>
      </c>
    </row>
    <row r="182" spans="1:17" x14ac:dyDescent="0.25">
      <c r="A182" s="97" t="str">
        <f>'Data Vlaue (Cr)'!C177</f>
        <v>SAMMAANCAP</v>
      </c>
      <c r="B182" s="140">
        <f>VLOOKUP($A182,'Data shares'!$C:$FB,7)</f>
        <v>166.89</v>
      </c>
      <c r="C182" s="140">
        <f>VLOOKUP($A182,'Data shares'!$C:$FB,3)</f>
        <v>166.97</v>
      </c>
      <c r="D182" s="140">
        <f>VLOOKUP($A182,'Data shares'!$C:$FB,4)</f>
        <v>165.14</v>
      </c>
      <c r="E182" s="50">
        <f t="shared" si="9"/>
        <v>1.1081506600460291</v>
      </c>
      <c r="F182" s="49">
        <f>VLOOKUP($A182,'Data shares'!$C:$FB,98)</f>
        <v>162888300</v>
      </c>
      <c r="G182" s="49">
        <f>VLOOKUP($A182,'Data shares'!$C:$FB,99)</f>
        <v>165317800</v>
      </c>
      <c r="H182" s="50">
        <f t="shared" si="10"/>
        <v>-1.469593715861208</v>
      </c>
      <c r="I182" s="49">
        <f>VLOOKUP($A182,'Data shares'!$C:$FB,66)</f>
        <v>2885300</v>
      </c>
      <c r="J182" s="49">
        <f>VLOOKUP($A182,'Data shares'!$C:$FB,67)</f>
        <v>4467700</v>
      </c>
      <c r="K182" s="50">
        <f t="shared" si="11"/>
        <v>-54.843517138599104</v>
      </c>
      <c r="L182" s="50">
        <f>VLOOKUP($A182,'Data shares'!$C:$FB,118)</f>
        <v>1.04</v>
      </c>
      <c r="M182" s="50">
        <f>VLOOKUP($A182,'Data shares'!$C:$FB,119)</f>
        <v>1.02</v>
      </c>
      <c r="N182" s="50">
        <f>VLOOKUP($A182,'Data shares'!$C:$FB,121)*100</f>
        <v>1.96</v>
      </c>
      <c r="O182" s="50">
        <f>VLOOKUP($A182,'Data shares'!$C:$FB,124)</f>
        <v>0.44</v>
      </c>
      <c r="P182" s="50">
        <f>VLOOKUP($A182,'Data shares'!$C:$FB,125)</f>
        <v>0.74</v>
      </c>
      <c r="Q182" s="50">
        <f>VLOOKUP($A182,'Data shares'!$C:$FB,127)*100</f>
        <v>-40.54</v>
      </c>
    </row>
    <row r="183" spans="1:17" x14ac:dyDescent="0.25">
      <c r="A183" s="97" t="str">
        <f>'Data Vlaue (Cr)'!C178</f>
        <v>SBICARD</v>
      </c>
      <c r="B183" s="140">
        <f>VLOOKUP($A183,'Data shares'!$C:$FB,7)</f>
        <v>934.85</v>
      </c>
      <c r="C183" s="140">
        <f>VLOOKUP($A183,'Data shares'!$C:$FB,3)</f>
        <v>932.8</v>
      </c>
      <c r="D183" s="140">
        <f>VLOOKUP($A183,'Data shares'!$C:$FB,4)</f>
        <v>924.7</v>
      </c>
      <c r="E183" s="50">
        <f>(C183-D183)/D183*100</f>
        <v>0.87595977073644526</v>
      </c>
      <c r="F183" s="49">
        <f>VLOOKUP($A183,'Data shares'!$C:$FB,98)</f>
        <v>29851200</v>
      </c>
      <c r="G183" s="49">
        <f>VLOOKUP($A183,'Data shares'!$C:$FB,99)</f>
        <v>29628000</v>
      </c>
      <c r="H183" s="50">
        <f>(F183-G183)/G183*100</f>
        <v>0.75334143377885787</v>
      </c>
      <c r="I183" s="49">
        <f>VLOOKUP($A183,'Data shares'!$C:$FB,66)</f>
        <v>20464000</v>
      </c>
      <c r="J183" s="49">
        <f>VLOOKUP($A183,'Data shares'!$C:$FB,67)</f>
        <v>16766400</v>
      </c>
      <c r="K183" s="50">
        <f>(I183-J183)/I183*100</f>
        <v>18.068803752931977</v>
      </c>
      <c r="L183" s="50">
        <f>VLOOKUP($A183,'Data shares'!$C:$FB,118)</f>
        <v>0.7</v>
      </c>
      <c r="M183" s="50">
        <f>VLOOKUP($A183,'Data shares'!$C:$FB,119)</f>
        <v>0.61</v>
      </c>
      <c r="N183" s="50">
        <f>VLOOKUP($A183,'Data shares'!$C:$FB,121)*100</f>
        <v>14.75</v>
      </c>
      <c r="O183" s="50">
        <f>VLOOKUP($A183,'Data shares'!$C:$FB,124)</f>
        <v>0.42</v>
      </c>
      <c r="P183" s="50">
        <f>VLOOKUP($A183,'Data shares'!$C:$FB,125)</f>
        <v>0.45</v>
      </c>
      <c r="Q183" s="50">
        <f>VLOOKUP($A183,'Data shares'!$C:$FB,127)*100</f>
        <v>-6.67</v>
      </c>
    </row>
    <row r="184" spans="1:17" x14ac:dyDescent="0.25">
      <c r="A184" s="97" t="str">
        <f>'Data Vlaue (Cr)'!C179</f>
        <v>SBILIFE</v>
      </c>
      <c r="B184" s="140">
        <f>VLOOKUP($A184,'Data shares'!$C:$FB,7)</f>
        <v>1835.7</v>
      </c>
      <c r="C184" s="140">
        <f>VLOOKUP($A184,'Data shares'!$C:$FB,3)</f>
        <v>1838.4</v>
      </c>
      <c r="D184" s="140">
        <f>VLOOKUP($A184,'Data shares'!$C:$FB,4)</f>
        <v>1847.2</v>
      </c>
      <c r="E184" s="50">
        <f t="shared" ref="E184:E189" si="12">(C184-D184)/D184*100</f>
        <v>-0.47639670853182947</v>
      </c>
      <c r="F184" s="49">
        <f>VLOOKUP($A184,'Data shares'!$C:$FB,98)</f>
        <v>10703250</v>
      </c>
      <c r="G184" s="49">
        <f>VLOOKUP($A184,'Data shares'!$C:$FB,99)</f>
        <v>10508625</v>
      </c>
      <c r="H184" s="50">
        <f t="shared" ref="H184:H189" si="13">(F184-G184)/G184*100</f>
        <v>1.8520501017021733</v>
      </c>
      <c r="I184" s="49">
        <f>VLOOKUP($A184,'Data shares'!$C:$FB,66)</f>
        <v>6052125</v>
      </c>
      <c r="J184" s="49">
        <f>VLOOKUP($A184,'Data shares'!$C:$FB,67)</f>
        <v>7725375</v>
      </c>
      <c r="K184" s="50">
        <f t="shared" ref="K184:K189" si="14">(I184-J184)/I184*100</f>
        <v>-27.647313959972735</v>
      </c>
      <c r="L184" s="50">
        <f>VLOOKUP($A184,'Data shares'!$C:$FB,118)</f>
        <v>0.54</v>
      </c>
      <c r="M184" s="50">
        <f>VLOOKUP($A184,'Data shares'!$C:$FB,119)</f>
        <v>0.55000000000000004</v>
      </c>
      <c r="N184" s="50">
        <f>VLOOKUP($A184,'Data shares'!$C:$FB,121)*100</f>
        <v>-1.82</v>
      </c>
      <c r="O184" s="50">
        <f>VLOOKUP($A184,'Data shares'!$C:$FB,124)</f>
        <v>0.5</v>
      </c>
      <c r="P184" s="50">
        <f>VLOOKUP($A184,'Data shares'!$C:$FB,125)</f>
        <v>0.34</v>
      </c>
      <c r="Q184" s="50">
        <f>VLOOKUP($A184,'Data shares'!$C:$FB,127)*100</f>
        <v>47.06</v>
      </c>
    </row>
    <row r="185" spans="1:17" x14ac:dyDescent="0.25">
      <c r="A185" s="97" t="str">
        <f>'Data Vlaue (Cr)'!C180</f>
        <v>SBIN</v>
      </c>
      <c r="B185" s="140">
        <f>VLOOKUP($A185,'Data shares'!$C:$FB,7)</f>
        <v>886.95</v>
      </c>
      <c r="C185" s="140">
        <f>VLOOKUP($A185,'Data shares'!$C:$FB,3)</f>
        <v>888.3</v>
      </c>
      <c r="D185" s="140">
        <f>VLOOKUP($A185,'Data shares'!$C:$FB,4)</f>
        <v>887.4</v>
      </c>
      <c r="E185" s="50">
        <f t="shared" si="12"/>
        <v>0.10141987829614349</v>
      </c>
      <c r="F185" s="49">
        <f>VLOOKUP($A185,'Data shares'!$C:$FB,98)</f>
        <v>176906250</v>
      </c>
      <c r="G185" s="49">
        <f>VLOOKUP($A185,'Data shares'!$C:$FB,99)</f>
        <v>175059750</v>
      </c>
      <c r="H185" s="50">
        <f t="shared" si="13"/>
        <v>1.0547827241841714</v>
      </c>
      <c r="I185" s="49">
        <f>VLOOKUP($A185,'Data shares'!$C:$FB,66)</f>
        <v>127494750</v>
      </c>
      <c r="J185" s="49">
        <f>VLOOKUP($A185,'Data shares'!$C:$FB,67)</f>
        <v>118210500</v>
      </c>
      <c r="K185" s="50">
        <f t="shared" si="14"/>
        <v>7.282064555599348</v>
      </c>
      <c r="L185" s="50">
        <f>VLOOKUP($A185,'Data shares'!$C:$FB,118)</f>
        <v>0.66</v>
      </c>
      <c r="M185" s="50">
        <f>VLOOKUP($A185,'Data shares'!$C:$FB,119)</f>
        <v>0.62</v>
      </c>
      <c r="N185" s="50">
        <f>VLOOKUP($A185,'Data shares'!$C:$FB,121)*100</f>
        <v>6.45</v>
      </c>
      <c r="O185" s="50">
        <f>VLOOKUP($A185,'Data shares'!$C:$FB,124)</f>
        <v>0.65</v>
      </c>
      <c r="P185" s="50">
        <f>VLOOKUP($A185,'Data shares'!$C:$FB,125)</f>
        <v>0.63</v>
      </c>
      <c r="Q185" s="50">
        <f>VLOOKUP($A185,'Data shares'!$C:$FB,127)*100</f>
        <v>3.17</v>
      </c>
    </row>
    <row r="186" spans="1:17" x14ac:dyDescent="0.25">
      <c r="A186" s="97" t="str">
        <f>'Data Vlaue (Cr)'!C181</f>
        <v>SHREECEM</v>
      </c>
      <c r="B186" s="140">
        <f>VLOOKUP($A186,'Data shares'!$C:$FB,7)</f>
        <v>30010</v>
      </c>
      <c r="C186" s="140">
        <f>VLOOKUP($A186,'Data shares'!$C:$FB,3)</f>
        <v>30120</v>
      </c>
      <c r="D186" s="140">
        <f>VLOOKUP($A186,'Data shares'!$C:$FB,4)</f>
        <v>30040</v>
      </c>
      <c r="E186" s="50">
        <f t="shared" si="12"/>
        <v>0.26631158455392812</v>
      </c>
      <c r="F186" s="49">
        <f>VLOOKUP($A186,'Data shares'!$C:$FB,98)</f>
        <v>277650</v>
      </c>
      <c r="G186" s="49">
        <f>VLOOKUP($A186,'Data shares'!$C:$FB,99)</f>
        <v>275750</v>
      </c>
      <c r="H186" s="50">
        <f t="shared" si="13"/>
        <v>0.68902991840435168</v>
      </c>
      <c r="I186" s="49">
        <f>VLOOKUP($A186,'Data shares'!$C:$FB,66)</f>
        <v>96950</v>
      </c>
      <c r="J186" s="49">
        <f>VLOOKUP($A186,'Data shares'!$C:$FB,67)</f>
        <v>111350</v>
      </c>
      <c r="K186" s="50">
        <f t="shared" si="14"/>
        <v>-14.853017019082001</v>
      </c>
      <c r="L186" s="50">
        <f>VLOOKUP($A186,'Data shares'!$C:$FB,118)</f>
        <v>0.88</v>
      </c>
      <c r="M186" s="50">
        <f>VLOOKUP($A186,'Data shares'!$C:$FB,119)</f>
        <v>0.73</v>
      </c>
      <c r="N186" s="50">
        <f>VLOOKUP($A186,'Data shares'!$C:$FB,121)*100</f>
        <v>20.549999999999997</v>
      </c>
      <c r="O186" s="50">
        <f>VLOOKUP($A186,'Data shares'!$C:$FB,124)</f>
        <v>1.33</v>
      </c>
      <c r="P186" s="50">
        <f>VLOOKUP($A186,'Data shares'!$C:$FB,125)</f>
        <v>0.18</v>
      </c>
      <c r="Q186" s="50">
        <f>VLOOKUP($A186,'Data shares'!$C:$FB,127)*100</f>
        <v>638.89</v>
      </c>
    </row>
    <row r="187" spans="1:17" x14ac:dyDescent="0.25">
      <c r="A187" s="97" t="str">
        <f>'Data Vlaue (Cr)'!C182</f>
        <v>SHRIRAMFIN</v>
      </c>
      <c r="B187" s="140">
        <f>VLOOKUP($A187,'Data shares'!$C:$FB,7)</f>
        <v>672.5</v>
      </c>
      <c r="C187" s="140">
        <f>VLOOKUP($A187,'Data shares'!$C:$FB,3)</f>
        <v>673.45</v>
      </c>
      <c r="D187" s="140">
        <f>VLOOKUP($A187,'Data shares'!$C:$FB,4)</f>
        <v>679.65</v>
      </c>
      <c r="E187" s="50">
        <f t="shared" si="12"/>
        <v>-0.91223423821083383</v>
      </c>
      <c r="F187" s="49">
        <f>VLOOKUP($A187,'Data shares'!$C:$FB,98)</f>
        <v>65611425</v>
      </c>
      <c r="G187" s="49">
        <f>VLOOKUP($A187,'Data shares'!$C:$FB,99)</f>
        <v>64847475</v>
      </c>
      <c r="H187" s="50">
        <f t="shared" si="13"/>
        <v>1.1780720837627063</v>
      </c>
      <c r="I187" s="49">
        <f>VLOOKUP($A187,'Data shares'!$C:$FB,66)</f>
        <v>35686200</v>
      </c>
      <c r="J187" s="49">
        <f>VLOOKUP($A187,'Data shares'!$C:$FB,67)</f>
        <v>40729425</v>
      </c>
      <c r="K187" s="50">
        <f t="shared" si="14"/>
        <v>-14.132143517662291</v>
      </c>
      <c r="L187" s="50">
        <f>VLOOKUP($A187,'Data shares'!$C:$FB,118)</f>
        <v>0.76</v>
      </c>
      <c r="M187" s="50">
        <f>VLOOKUP($A187,'Data shares'!$C:$FB,119)</f>
        <v>0.82</v>
      </c>
      <c r="N187" s="50">
        <f>VLOOKUP($A187,'Data shares'!$C:$FB,121)*100</f>
        <v>-7.32</v>
      </c>
      <c r="O187" s="50">
        <f>VLOOKUP($A187,'Data shares'!$C:$FB,124)</f>
        <v>0.45</v>
      </c>
      <c r="P187" s="50">
        <f>VLOOKUP($A187,'Data shares'!$C:$FB,125)</f>
        <v>0.53</v>
      </c>
      <c r="Q187" s="50">
        <f>VLOOKUP($A187,'Data shares'!$C:$FB,127)*100</f>
        <v>-15.09</v>
      </c>
    </row>
    <row r="188" spans="1:17" x14ac:dyDescent="0.25">
      <c r="A188" s="97" t="str">
        <f>'Data Vlaue (Cr)'!C183</f>
        <v>SIEMENS</v>
      </c>
      <c r="B188" s="140">
        <f>VLOOKUP($A188,'Data shares'!$C:$FB,7)</f>
        <v>3119</v>
      </c>
      <c r="C188" s="140">
        <f>VLOOKUP($A188,'Data shares'!$C:$FB,3)</f>
        <v>3118.7</v>
      </c>
      <c r="D188" s="140">
        <f>VLOOKUP($A188,'Data shares'!$C:$FB,4)</f>
        <v>3124.6</v>
      </c>
      <c r="E188" s="50">
        <f t="shared" si="12"/>
        <v>-0.18882416949369812</v>
      </c>
      <c r="F188" s="49">
        <f>VLOOKUP($A188,'Data shares'!$C:$FB,98)</f>
        <v>4507000</v>
      </c>
      <c r="G188" s="49">
        <f>VLOOKUP($A188,'Data shares'!$C:$FB,99)</f>
        <v>4320250</v>
      </c>
      <c r="H188" s="50">
        <f t="shared" si="13"/>
        <v>4.3226665123546093</v>
      </c>
      <c r="I188" s="49">
        <f>VLOOKUP($A188,'Data shares'!$C:$FB,66)</f>
        <v>3082750</v>
      </c>
      <c r="J188" s="49">
        <f>VLOOKUP($A188,'Data shares'!$C:$FB,67)</f>
        <v>2686375</v>
      </c>
      <c r="K188" s="50">
        <f t="shared" si="14"/>
        <v>12.857837969345551</v>
      </c>
      <c r="L188" s="50">
        <f>VLOOKUP($A188,'Data shares'!$C:$FB,118)</f>
        <v>0.39</v>
      </c>
      <c r="M188" s="50">
        <f>VLOOKUP($A188,'Data shares'!$C:$FB,119)</f>
        <v>0.43</v>
      </c>
      <c r="N188" s="50">
        <f>VLOOKUP($A188,'Data shares'!$C:$FB,121)*100</f>
        <v>-9.3000000000000007</v>
      </c>
      <c r="O188" s="50">
        <f>VLOOKUP($A188,'Data shares'!$C:$FB,124)</f>
        <v>0.45</v>
      </c>
      <c r="P188" s="50">
        <f>VLOOKUP($A188,'Data shares'!$C:$FB,125)</f>
        <v>0.31</v>
      </c>
      <c r="Q188" s="50">
        <f>VLOOKUP($A188,'Data shares'!$C:$FB,127)*100</f>
        <v>45.16</v>
      </c>
    </row>
    <row r="189" spans="1:17" x14ac:dyDescent="0.25">
      <c r="A189" s="97" t="str">
        <f>'Data Vlaue (Cr)'!C216</f>
        <v>ZYDUSLIFE</v>
      </c>
      <c r="B189" s="140">
        <f>VLOOKUP($A189,'Data shares'!$C:$FB,7)</f>
        <v>984.6</v>
      </c>
      <c r="C189" s="140">
        <f>VLOOKUP($A189,'Data shares'!$C:$FB,3)</f>
        <v>985.75</v>
      </c>
      <c r="D189" s="140">
        <f>VLOOKUP($A189,'Data shares'!$C:$FB,4)</f>
        <v>980.2</v>
      </c>
      <c r="E189" s="50">
        <f t="shared" si="12"/>
        <v>0.56621097735155623</v>
      </c>
      <c r="F189" s="49">
        <f>VLOOKUP($A189,'Data shares'!$C:$FB,98)</f>
        <v>14436000</v>
      </c>
      <c r="G189" s="49">
        <f>VLOOKUP($A189,'Data shares'!$C:$FB,99)</f>
        <v>14834700</v>
      </c>
      <c r="H189" s="50">
        <f t="shared" si="13"/>
        <v>-2.6876175453497542</v>
      </c>
      <c r="I189" s="49">
        <f>VLOOKUP($A189,'Data shares'!$C:$FB,66)</f>
        <v>4965300</v>
      </c>
      <c r="J189" s="49">
        <f>VLOOKUP($A189,'Data shares'!$C:$FB,67)</f>
        <v>4188600</v>
      </c>
      <c r="K189" s="50">
        <f t="shared" si="14"/>
        <v>15.642559361972086</v>
      </c>
      <c r="L189" s="50">
        <f>VLOOKUP($A189,'Data shares'!$C:$FB,118)</f>
        <v>0.56000000000000005</v>
      </c>
      <c r="M189" s="50">
        <f>VLOOKUP($A189,'Data shares'!$C:$FB,119)</f>
        <v>0.53</v>
      </c>
      <c r="N189" s="50">
        <f>VLOOKUP($A189,'Data shares'!$C:$FB,121)*100</f>
        <v>5.66</v>
      </c>
      <c r="O189" s="50">
        <f>VLOOKUP($A189,'Data shares'!$C:$FB,124)</f>
        <v>0.46</v>
      </c>
      <c r="P189" s="50">
        <f>VLOOKUP($A189,'Data shares'!$C:$FB,125)</f>
        <v>0.32</v>
      </c>
      <c r="Q189" s="50">
        <f>VLOOKUP($A189,'Data shares'!$C:$FB,127)*100</f>
        <v>43.75</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7" t="s">
        <v>391</v>
      </c>
      <c r="B231" s="257"/>
      <c r="C231" s="257"/>
      <c r="D231" s="257"/>
      <c r="E231" s="257"/>
      <c r="F231" s="113">
        <f>SUM(F7:F172)</f>
        <v>21989445581</v>
      </c>
      <c r="G231" s="113">
        <f>SUM(G7:G172)</f>
        <v>21627103448</v>
      </c>
      <c r="H231" s="114">
        <f>(F231-G231)/G231*100</f>
        <v>1.6754075915492426</v>
      </c>
      <c r="I231" s="113">
        <f>SUM(I7:I172)</f>
        <v>14260870513</v>
      </c>
      <c r="J231" s="113">
        <f>SUM(J7:J172)</f>
        <v>13881634990</v>
      </c>
      <c r="K231" s="114">
        <f>(I231-J231)/J231*100</f>
        <v>2.7319225961004756</v>
      </c>
      <c r="L231" s="113"/>
      <c r="M231" s="113"/>
      <c r="N231" s="113"/>
      <c r="O231" s="113"/>
      <c r="P231" s="257"/>
      <c r="Q231" s="257"/>
    </row>
    <row r="232" spans="1:17" s="64" customFormat="1" x14ac:dyDescent="0.25">
      <c r="A232" s="257" t="s">
        <v>398</v>
      </c>
      <c r="B232" s="257"/>
      <c r="C232" s="257"/>
      <c r="D232" s="257"/>
      <c r="E232" s="257"/>
      <c r="F232" s="113">
        <f>F231/10000000</f>
        <v>2198.9445581</v>
      </c>
      <c r="G232" s="113">
        <f>G231/10000000</f>
        <v>2162.7103447999998</v>
      </c>
      <c r="H232" s="114">
        <f>(F232-G232)/G232*100</f>
        <v>1.6754075915492515</v>
      </c>
      <c r="I232" s="113">
        <f>I231/10000000</f>
        <v>1426.0870513</v>
      </c>
      <c r="J232" s="113">
        <f>J231/10000000</f>
        <v>1388.163499</v>
      </c>
      <c r="K232" s="114">
        <f>(I232-J232)/J232*100</f>
        <v>2.7319225961004743</v>
      </c>
      <c r="L232" s="113"/>
      <c r="M232" s="113"/>
      <c r="N232" s="113"/>
      <c r="O232" s="113"/>
      <c r="P232" s="257"/>
      <c r="Q232" s="257"/>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tabSelected="1" workbookViewId="0">
      <selection activeCell="K15" sqref="K15"/>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(Value)'!H153</f>
        <v>1346105</v>
      </c>
      <c r="C3" s="159">
        <f>'OI(Volume)'!G149</f>
        <v>6.6E-3</v>
      </c>
      <c r="D3" s="153">
        <f>'Snapshot (Value)'!P149</f>
        <v>0.52</v>
      </c>
      <c r="E3" s="153">
        <f>'Snapshot (Value)'!R149</f>
        <v>0.39</v>
      </c>
      <c r="F3" s="153">
        <f>IV!E149</f>
        <v>15.08</v>
      </c>
      <c r="G3" s="153">
        <f>IV!B149</f>
        <v>10.85</v>
      </c>
      <c r="H3" s="153">
        <f>'Snapshot (Value)'!C153</f>
        <v>25585.3</v>
      </c>
      <c r="I3" s="153">
        <f>'Snapshot (Value)'!D153</f>
        <v>25656.1</v>
      </c>
      <c r="J3" s="153">
        <f>'Snapshot (Value)'!E153</f>
        <v>25424.799999999999</v>
      </c>
      <c r="K3" s="153">
        <f>(I3-H3)</f>
        <v>70.799999999999272</v>
      </c>
      <c r="L3" s="232">
        <f>'Data Vlaue (Cr)'!V144</f>
        <v>25943.1</v>
      </c>
    </row>
    <row r="4" spans="1:12" x14ac:dyDescent="0.25">
      <c r="A4" t="s">
        <v>464</v>
      </c>
      <c r="B4" s="154">
        <f>'Snapshot (Value)'!H36</f>
        <v>259421</v>
      </c>
      <c r="C4" s="159">
        <f>'OI(Volume)'!G32</f>
        <v>1.84E-2</v>
      </c>
      <c r="D4" s="153">
        <f>'Snapshot (Value)'!P36</f>
        <v>1.18</v>
      </c>
      <c r="E4" s="153">
        <f>'Snapshot (Value)'!R36</f>
        <v>0.87</v>
      </c>
      <c r="F4" s="153">
        <f>IV!E32</f>
        <v>17.23</v>
      </c>
      <c r="G4" s="153">
        <f>IV!B32</f>
        <v>12.81</v>
      </c>
      <c r="H4" s="153">
        <f>'Snapshot (Value)'!C36</f>
        <v>57422.55</v>
      </c>
      <c r="I4" s="153">
        <f>'Snapshot (Value)'!D36</f>
        <v>57486.2</v>
      </c>
      <c r="J4" s="153">
        <f>'Snapshot (Value)'!E36</f>
        <v>56987.199999999997</v>
      </c>
      <c r="K4" s="153">
        <f>(I4-H4)</f>
        <v>63.649999999994179</v>
      </c>
      <c r="L4" s="232">
        <f>'Data Vlaue (Cr)'!V27</f>
        <v>58111.4</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U8" sqref="U8"/>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39" t="s">
        <v>393</v>
      </c>
      <c r="B1" s="336" t="s">
        <v>632</v>
      </c>
      <c r="C1" s="337"/>
      <c r="D1" s="338"/>
      <c r="E1" s="333" t="s">
        <v>633</v>
      </c>
      <c r="F1" s="334"/>
      <c r="G1" s="335"/>
      <c r="H1" s="330" t="s">
        <v>634</v>
      </c>
      <c r="I1" s="331"/>
      <c r="J1" s="332"/>
      <c r="K1" s="327" t="s">
        <v>635</v>
      </c>
      <c r="L1" s="328"/>
      <c r="M1" s="329"/>
    </row>
    <row r="2" spans="1:13" ht="26.25" thickBot="1" x14ac:dyDescent="0.25">
      <c r="A2" s="340"/>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39" t="s">
        <v>641</v>
      </c>
      <c r="B6" s="336" t="s">
        <v>632</v>
      </c>
      <c r="C6" s="337"/>
      <c r="D6" s="338"/>
      <c r="E6" s="333" t="s">
        <v>633</v>
      </c>
      <c r="F6" s="334"/>
      <c r="G6" s="335"/>
      <c r="H6" s="330" t="s">
        <v>634</v>
      </c>
      <c r="I6" s="331"/>
      <c r="J6" s="332"/>
      <c r="K6" s="327" t="s">
        <v>635</v>
      </c>
      <c r="L6" s="328"/>
      <c r="M6" s="329"/>
    </row>
    <row r="7" spans="1:13" ht="26.25" thickBot="1" x14ac:dyDescent="0.25">
      <c r="A7" s="340"/>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39" t="s">
        <v>642</v>
      </c>
      <c r="B11" s="336" t="s">
        <v>632</v>
      </c>
      <c r="C11" s="337"/>
      <c r="D11" s="338"/>
      <c r="E11" s="333" t="s">
        <v>633</v>
      </c>
      <c r="F11" s="334"/>
      <c r="G11" s="335"/>
      <c r="H11" s="330" t="s">
        <v>634</v>
      </c>
      <c r="I11" s="331"/>
      <c r="J11" s="332"/>
      <c r="K11" s="327" t="s">
        <v>635</v>
      </c>
      <c r="L11" s="328"/>
      <c r="M11" s="329"/>
    </row>
    <row r="12" spans="1:13" ht="26.25" thickBot="1" x14ac:dyDescent="0.25">
      <c r="A12" s="340"/>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39" t="s">
        <v>395</v>
      </c>
      <c r="B16" s="336" t="s">
        <v>632</v>
      </c>
      <c r="C16" s="337"/>
      <c r="D16" s="338"/>
      <c r="E16" s="333" t="s">
        <v>633</v>
      </c>
      <c r="F16" s="334"/>
      <c r="G16" s="335"/>
      <c r="H16" s="330" t="s">
        <v>634</v>
      </c>
      <c r="I16" s="331"/>
      <c r="J16" s="332"/>
      <c r="K16" s="327" t="s">
        <v>635</v>
      </c>
      <c r="L16" s="328"/>
      <c r="M16" s="329"/>
    </row>
    <row r="17" spans="1:13" ht="26.25" thickBot="1" x14ac:dyDescent="0.25">
      <c r="A17" s="340"/>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39" t="s">
        <v>643</v>
      </c>
      <c r="B21" s="336" t="s">
        <v>632</v>
      </c>
      <c r="C21" s="337"/>
      <c r="D21" s="338"/>
      <c r="E21" s="333" t="s">
        <v>633</v>
      </c>
      <c r="F21" s="334"/>
      <c r="G21" s="335"/>
      <c r="H21" s="330" t="s">
        <v>634</v>
      </c>
      <c r="I21" s="331"/>
      <c r="J21" s="332"/>
      <c r="K21" s="327" t="s">
        <v>635</v>
      </c>
      <c r="L21" s="328"/>
      <c r="M21" s="329"/>
    </row>
    <row r="22" spans="1:13" ht="26.25" thickBot="1" x14ac:dyDescent="0.25">
      <c r="A22" s="340"/>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39" t="s">
        <v>644</v>
      </c>
      <c r="B26" s="336" t="s">
        <v>632</v>
      </c>
      <c r="C26" s="337"/>
      <c r="D26" s="338"/>
      <c r="E26" s="333" t="s">
        <v>633</v>
      </c>
      <c r="F26" s="334"/>
      <c r="G26" s="335"/>
      <c r="H26" s="330" t="s">
        <v>634</v>
      </c>
      <c r="I26" s="331"/>
      <c r="J26" s="332"/>
      <c r="K26" s="327" t="s">
        <v>635</v>
      </c>
      <c r="L26" s="328"/>
      <c r="M26" s="329"/>
    </row>
    <row r="27" spans="1:13" ht="26.25" thickBot="1" x14ac:dyDescent="0.25">
      <c r="A27" s="340"/>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3861.8</v>
      </c>
      <c r="C3" s="200"/>
      <c r="D3" s="200"/>
    </row>
    <row r="4" spans="1:4" x14ac:dyDescent="0.25">
      <c r="A4" s="217" t="s">
        <v>320</v>
      </c>
      <c r="B4" s="220">
        <f>VLOOKUP($B$1,'Snapshot (Value)'!$A:$S,6,0)</f>
        <v>4.8999999999996362</v>
      </c>
      <c r="C4" s="200"/>
      <c r="D4" s="200"/>
    </row>
    <row r="5" spans="1:4" x14ac:dyDescent="0.25">
      <c r="A5" s="221"/>
      <c r="B5" s="222" t="s">
        <v>649</v>
      </c>
      <c r="C5" s="222" t="s">
        <v>650</v>
      </c>
      <c r="D5" s="222" t="s">
        <v>651</v>
      </c>
    </row>
    <row r="6" spans="1:4" x14ac:dyDescent="0.25">
      <c r="A6" s="217" t="s">
        <v>652</v>
      </c>
      <c r="B6" s="219">
        <f>VLOOKUP($B$1,'Snapshot (Value)'!$A:$S,4,0)</f>
        <v>3866.7</v>
      </c>
      <c r="C6" s="219">
        <f>VLOOKUP($B$1,'Snapshot (Value)'!$A:$S,5,0)</f>
        <v>3836.6</v>
      </c>
      <c r="D6" s="219">
        <f>+(B6/C6-1)*100</f>
        <v>0.78454881926706133</v>
      </c>
    </row>
    <row r="7" spans="1:4" x14ac:dyDescent="0.25">
      <c r="A7" s="217" t="s">
        <v>316</v>
      </c>
      <c r="B7" s="219">
        <f>VLOOKUP($B$1,'Snapshot (Volume)'!$A:$S,12,0)</f>
        <v>0.62</v>
      </c>
      <c r="C7" s="219">
        <f>VLOOKUP($B$1,'Snapshot (Volume)'!$A:$S,13,0)</f>
        <v>0.55000000000000004</v>
      </c>
      <c r="D7" s="219">
        <f>+(B7/C7-1)*100</f>
        <v>12.72727272727272</v>
      </c>
    </row>
    <row r="8" spans="1:4" x14ac:dyDescent="0.25">
      <c r="A8" s="217" t="s">
        <v>653</v>
      </c>
      <c r="B8" s="219">
        <f>VLOOKUP($B$1,'Snapshot (Volume)'!$A:$S,15,0)</f>
        <v>0.57999999999999996</v>
      </c>
      <c r="C8" s="219">
        <f>VLOOKUP($B$1,'Snapshot (Volume)'!$A:$S,16,0)</f>
        <v>0.51</v>
      </c>
      <c r="D8" s="219">
        <f>+(B8/C8-1)*100</f>
        <v>13.725490196078427</v>
      </c>
    </row>
    <row r="9" spans="1:4" x14ac:dyDescent="0.25">
      <c r="A9" s="215" t="s">
        <v>654</v>
      </c>
      <c r="B9" s="222" t="s">
        <v>655</v>
      </c>
      <c r="C9" s="222" t="s">
        <v>369</v>
      </c>
      <c r="D9" s="222" t="s">
        <v>651</v>
      </c>
    </row>
    <row r="10" spans="1:4" x14ac:dyDescent="0.25">
      <c r="A10" s="217" t="s">
        <v>656</v>
      </c>
      <c r="B10" s="219">
        <f>VLOOKUP($B$1,'OI(Value)'!$A:$O,5,0)</f>
        <v>6108</v>
      </c>
      <c r="C10" s="219">
        <f>VLOOKUP($B$1,'OI(Value)'!$A:$O,6,0)</f>
        <v>23</v>
      </c>
      <c r="D10" s="219">
        <f>VLOOKUP($B$1,'OI(Value)'!$A:$O,7,0)*100</f>
        <v>0.37</v>
      </c>
    </row>
    <row r="11" spans="1:4" x14ac:dyDescent="0.25">
      <c r="A11" s="217" t="s">
        <v>657</v>
      </c>
      <c r="B11" s="219">
        <f>VLOOKUP($B$1,'OI(Value)'!$A:$O,8,0)</f>
        <v>3020</v>
      </c>
      <c r="C11" s="219">
        <f>VLOOKUP($B$1,'OI(Value)'!$A:$O,9,0)</f>
        <v>-17</v>
      </c>
      <c r="D11" s="219">
        <f>VLOOKUP($B$1,'OI(Value)'!$A:$O,10,0)*100</f>
        <v>-0.57000000000000006</v>
      </c>
    </row>
    <row r="12" spans="1:4" x14ac:dyDescent="0.25">
      <c r="A12" s="217" t="s">
        <v>658</v>
      </c>
      <c r="B12" s="219">
        <f>VLOOKUP($B$1,'OI(Value)'!$A:$O,11,0)</f>
        <v>1881</v>
      </c>
      <c r="C12" s="219">
        <f>VLOOKUP($B$1,'OI(Value)'!$A:$O,12,0)</f>
        <v>217</v>
      </c>
      <c r="D12" s="219">
        <f>VLOOKUP($B$1,'OI(Value)'!$A:$O,13,0)*100</f>
        <v>13.04</v>
      </c>
    </row>
    <row r="13" spans="1:4" x14ac:dyDescent="0.25">
      <c r="A13" s="215" t="s">
        <v>659</v>
      </c>
      <c r="B13" s="223">
        <f>VLOOKUP($B$1,'OI(Value)'!$A:$O,2,0)</f>
        <v>11009</v>
      </c>
      <c r="C13" s="223">
        <f>VLOOKUP($B$1,'OI(Value)'!$A:$O,3,0)</f>
        <v>222</v>
      </c>
      <c r="D13" s="223">
        <f>VLOOKUP($B$1,'OI(Value)'!$A:$O,4,0)*100</f>
        <v>2.06</v>
      </c>
    </row>
    <row r="14" spans="1:4" x14ac:dyDescent="0.25">
      <c r="A14" s="215" t="s">
        <v>660</v>
      </c>
      <c r="B14" s="222" t="s">
        <v>661</v>
      </c>
      <c r="C14" s="222" t="s">
        <v>369</v>
      </c>
      <c r="D14" s="222" t="s">
        <v>651</v>
      </c>
    </row>
    <row r="15" spans="1:4" x14ac:dyDescent="0.25">
      <c r="A15" s="217" t="s">
        <v>656</v>
      </c>
      <c r="B15" s="219">
        <f>VLOOKUP($B$1,'OI(Volume)'!$A:$O,5,0)/10^5</f>
        <v>157.95849999999999</v>
      </c>
      <c r="C15" s="219">
        <f>VLOOKUP($B$1,'OI(Volume)'!$A:$O,6,0)/10^5</f>
        <v>0.58625000000000005</v>
      </c>
      <c r="D15" s="219">
        <f>(VLOOKUP($B$1,'OI(Volume)'!$A:$O,7,0))*100</f>
        <v>0.37</v>
      </c>
    </row>
    <row r="16" spans="1:4" x14ac:dyDescent="0.25">
      <c r="A16" s="217" t="s">
        <v>657</v>
      </c>
      <c r="B16" s="219">
        <f>VLOOKUP($B$1,'OI(Volume)'!$A:$O,8,0)/10^5</f>
        <v>78.102500000000006</v>
      </c>
      <c r="C16" s="219">
        <f>VLOOKUP($B$1,'OI(Volume)'!$A:$O,9,0)/10^5</f>
        <v>-0.44800000000000001</v>
      </c>
      <c r="D16" s="219">
        <f>(VLOOKUP($B$1,'OI(Volume)'!$A:$O,10,0))*100</f>
        <v>-0.57000000000000006</v>
      </c>
    </row>
    <row r="17" spans="1:4" x14ac:dyDescent="0.25">
      <c r="A17" s="217" t="s">
        <v>658</v>
      </c>
      <c r="B17" s="219">
        <f>VLOOKUP($B$1,'OI(Volume)'!$A:$O,11,0)/10^5</f>
        <v>48.655250000000002</v>
      </c>
      <c r="C17" s="219">
        <f>VLOOKUP($B$1,'OI(Volume)'!$A:$O,12,0)/10^5</f>
        <v>5.6139999999999999</v>
      </c>
      <c r="D17" s="219">
        <f>(VLOOKUP($B$1,'OI(Volume)'!$A:$O,13,0))*100</f>
        <v>13.04</v>
      </c>
    </row>
    <row r="18" spans="1:4" x14ac:dyDescent="0.25">
      <c r="A18" s="215" t="s">
        <v>662</v>
      </c>
      <c r="B18" s="223">
        <f>VLOOKUP($B$1,'OI(Volume)'!$A:$O,2,0)/10^5</f>
        <v>284.71625</v>
      </c>
      <c r="C18" s="223">
        <f>VLOOKUP($B$1,'OI(Volume)'!$A:$O,3,0)/10^5</f>
        <v>5.7522500000000001</v>
      </c>
      <c r="D18" s="223">
        <f>(VLOOKUP($B$1,'OI(Volume)'!$A:$O,4,0))*100</f>
        <v>2.06</v>
      </c>
    </row>
    <row r="20" spans="1:4" x14ac:dyDescent="0.25">
      <c r="A20" s="17" t="s">
        <v>417</v>
      </c>
      <c r="B20" s="224">
        <f>VLOOKUP($B$1,'Open Interest Position'!$A:$F,2,0)/10^5</f>
        <v>1360.07303</v>
      </c>
    </row>
    <row r="21" spans="1:4" x14ac:dyDescent="0.25">
      <c r="A21" s="17" t="s">
        <v>412</v>
      </c>
      <c r="B21" s="224">
        <f>VLOOKUP($B$1,'Open Interest Position'!$A:$F,3,0)/10^5</f>
        <v>277.54649999999998</v>
      </c>
    </row>
    <row r="22" spans="1:4" x14ac:dyDescent="0.25">
      <c r="A22" s="17" t="s">
        <v>418</v>
      </c>
      <c r="B22" s="224">
        <f>VLOOKUP($B$1,'Open Interest Position'!$A:$F,4,0)/10^5</f>
        <v>170.07256110810002</v>
      </c>
    </row>
    <row r="23" spans="1:4" x14ac:dyDescent="0.25">
      <c r="A23" s="17" t="s">
        <v>419</v>
      </c>
      <c r="B23" s="225">
        <f>VLOOKUP($B$1,'Open Interest Position'!$A:$F,6,0)</f>
        <v>0.2040673507068955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45946</v>
      </c>
      <c r="E6" s="66" t="s">
        <v>368</v>
      </c>
      <c r="F6" s="71" t="s">
        <v>333</v>
      </c>
      <c r="G6" s="71" t="s">
        <v>328</v>
      </c>
      <c r="H6" s="66">
        <f>D6</f>
        <v>45946</v>
      </c>
      <c r="I6" s="71" t="s">
        <v>322</v>
      </c>
      <c r="J6" s="71" t="s">
        <v>328</v>
      </c>
      <c r="K6" s="66">
        <f>D6</f>
        <v>45946</v>
      </c>
      <c r="L6" s="78" t="s">
        <v>333</v>
      </c>
      <c r="M6" s="78" t="s">
        <v>328</v>
      </c>
      <c r="N6" s="66">
        <f>D6</f>
        <v>45946</v>
      </c>
      <c r="O6" s="78" t="s">
        <v>322</v>
      </c>
      <c r="P6" s="78" t="s">
        <v>328</v>
      </c>
    </row>
    <row r="7" spans="1:36" x14ac:dyDescent="0.25">
      <c r="A7" s="79" t="str">
        <f>'Data shares'!B2</f>
        <v>Finance</v>
      </c>
      <c r="B7" s="79" t="str">
        <f>'Data shares'!C2</f>
        <v>360ONE</v>
      </c>
      <c r="C7" s="79">
        <f>VLOOKUP($B7,'Data shares'!$C:$FB,7)</f>
        <v>1171.8</v>
      </c>
      <c r="D7" s="165">
        <f>VLOOKUP($B7,'Data shares'!$C:$FB,98)</f>
        <v>6614500</v>
      </c>
      <c r="E7" s="165">
        <f>VLOOKUP(B7,'Snapshot (Volume)'!$A$7:$G$168,7,0)</f>
        <v>6262000</v>
      </c>
      <c r="F7" s="165">
        <f>D7-E7</f>
        <v>352500</v>
      </c>
      <c r="G7" s="166">
        <f>F7/E7</f>
        <v>5.62919195145321E-2</v>
      </c>
      <c r="H7" s="165">
        <f>VLOOKUP($B7,'Data shares'!$C:$FB,66)</f>
        <v>7817500</v>
      </c>
      <c r="I7" s="165">
        <f>VLOOKUP($B7,'Data shares'!$C:$FB,67)</f>
        <v>16208000</v>
      </c>
      <c r="J7" s="81">
        <f>(H7-I7)/I7*100</f>
        <v>-51.767645607107603</v>
      </c>
      <c r="K7" s="81">
        <f>VLOOKUP($B7,'Data Vlaue (Cr)'!$C:$FB,99)</f>
        <v>775</v>
      </c>
      <c r="L7" s="81">
        <f>VLOOKUP(B7,'OI(Value)'!$A$7:$C$209,3,0)</f>
        <v>41</v>
      </c>
      <c r="M7" s="81">
        <f t="shared" ref="M7:M36" si="0">L7/K7*100</f>
        <v>5.290322580645161</v>
      </c>
      <c r="N7" s="81">
        <f>VLOOKUP($B7,'Data Vlaue (Cr)'!$C:$FB,67)</f>
        <v>916</v>
      </c>
      <c r="O7" s="81">
        <f>VLOOKUP($B7,'Data Vlaue (Cr)'!$C:$FB,68)</f>
        <v>1899</v>
      </c>
      <c r="P7" s="81">
        <f t="shared" ref="P7:P23" si="1">(N7-O7)/N7*100</f>
        <v>-107.31441048034935</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5212</v>
      </c>
      <c r="D8" s="165">
        <f>VLOOKUP($B8,'Data shares'!$C:$FB,98)</f>
        <v>4708875</v>
      </c>
      <c r="E8" s="165">
        <f>VLOOKUP(B8,'Snapshot (Volume)'!$A$7:$G$168,7,0)</f>
        <v>4644875</v>
      </c>
      <c r="F8" s="165">
        <f t="shared" ref="F8:F23" si="2">D8-E8</f>
        <v>64000</v>
      </c>
      <c r="G8" s="166">
        <f t="shared" ref="G8:G23" si="3">F8/E8</f>
        <v>1.3778626981350413E-2</v>
      </c>
      <c r="H8" s="165">
        <f>VLOOKUP($B8,'Data shares'!$C:$FB,66)</f>
        <v>8386375</v>
      </c>
      <c r="I8" s="165">
        <f>VLOOKUP($B8,'Data shares'!$C:$FB,67)</f>
        <v>3664375</v>
      </c>
      <c r="J8" s="81">
        <f t="shared" ref="J8:J22" si="4">(H8-I8)/I8*100</f>
        <v>128.86235715504009</v>
      </c>
      <c r="K8" s="81">
        <f>VLOOKUP($B8,'Data Vlaue (Cr)'!$C:$FB,99)</f>
        <v>2455</v>
      </c>
      <c r="L8" s="81">
        <f>VLOOKUP(B8,'OI(Value)'!$A$7:$C$209,3,0)</f>
        <v>33</v>
      </c>
      <c r="M8" s="81">
        <f t="shared" si="0"/>
        <v>1.3441955193482689</v>
      </c>
      <c r="N8" s="81">
        <f>VLOOKUP($B8,'Data Vlaue (Cr)'!$C:$FB,67)</f>
        <v>4372</v>
      </c>
      <c r="O8" s="81">
        <f>VLOOKUP($B8,'Data Vlaue (Cr)'!$C:$FB,68)</f>
        <v>1910</v>
      </c>
      <c r="P8" s="81">
        <f t="shared" si="1"/>
        <v>56.312900274473918</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300</v>
      </c>
      <c r="D9" s="165">
        <f>VLOOKUP($B9,'Data shares'!$C:$FB,98)</f>
        <v>115955500</v>
      </c>
      <c r="E9" s="165">
        <f>VLOOKUP(B9,'Snapshot (Volume)'!$A$7:$G$168,7,0)</f>
        <v>114551200</v>
      </c>
      <c r="F9" s="165">
        <f t="shared" si="2"/>
        <v>1404300</v>
      </c>
      <c r="G9" s="166">
        <f t="shared" si="3"/>
        <v>1.225914700151548E-2</v>
      </c>
      <c r="H9" s="165">
        <f>VLOOKUP($B9,'Data shares'!$C:$FB,66)</f>
        <v>38254000</v>
      </c>
      <c r="I9" s="165">
        <f>VLOOKUP($B9,'Data shares'!$C:$FB,67)</f>
        <v>53912100</v>
      </c>
      <c r="J9" s="81">
        <f t="shared" si="4"/>
        <v>-29.043758265769654</v>
      </c>
      <c r="K9" s="81">
        <f>VLOOKUP($B9,'Data Vlaue (Cr)'!$C:$FB,99)</f>
        <v>3490</v>
      </c>
      <c r="L9" s="81">
        <f>VLOOKUP(B9,'OI(Value)'!$A$7:$C$209,3,0)</f>
        <v>42</v>
      </c>
      <c r="M9" s="81">
        <f t="shared" si="0"/>
        <v>1.2034383954154728</v>
      </c>
      <c r="N9" s="81">
        <f>VLOOKUP($B9,'Data Vlaue (Cr)'!$C:$FB,67)</f>
        <v>1151</v>
      </c>
      <c r="O9" s="81">
        <f>VLOOKUP($B9,'Data Vlaue (Cr)'!$C:$FB,68)</f>
        <v>1623</v>
      </c>
      <c r="P9" s="81">
        <f t="shared" si="1"/>
        <v>-41.007819287576019</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947.95</v>
      </c>
      <c r="D10" s="82">
        <f>VLOOKUP($B10,'Data shares'!$C:$FB,98)</f>
        <v>24052275</v>
      </c>
      <c r="E10" s="165">
        <f>VLOOKUP(B10,'Snapshot (Volume)'!$A$7:$G$168,7,0)</f>
        <v>24203475</v>
      </c>
      <c r="F10" s="165">
        <f t="shared" si="2"/>
        <v>-151200</v>
      </c>
      <c r="G10" s="166">
        <f t="shared" si="3"/>
        <v>-6.2470368407842262E-3</v>
      </c>
      <c r="H10" s="165">
        <f>VLOOKUP($B10,'Data shares'!$C:$FB,66)</f>
        <v>8866125</v>
      </c>
      <c r="I10" s="165">
        <f>VLOOKUP($B10,'Data shares'!$C:$FB,67)</f>
        <v>9078075</v>
      </c>
      <c r="J10" s="81">
        <f t="shared" si="4"/>
        <v>-2.3347460777752995</v>
      </c>
      <c r="K10" s="5">
        <f>VLOOKUP($B10,'Data Vlaue (Cr)'!$C:$FB,99)</f>
        <v>2282</v>
      </c>
      <c r="L10" s="81">
        <f>VLOOKUP(B10,'OI(Value)'!$A$7:$C$209,3,0)</f>
        <v>-14</v>
      </c>
      <c r="M10" s="33">
        <f t="shared" si="0"/>
        <v>-0.61349693251533743</v>
      </c>
      <c r="N10" s="5">
        <f>VLOOKUP($B10,'Data Vlaue (Cr)'!$C:$FB,67)</f>
        <v>841</v>
      </c>
      <c r="O10" s="5">
        <f>VLOOKUP($B10,'Data Vlaue (Cr)'!$C:$FB,68)</f>
        <v>861</v>
      </c>
      <c r="P10" s="5">
        <f t="shared" si="1"/>
        <v>-2.3781212841854935</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2557.6</v>
      </c>
      <c r="D11" s="82">
        <f>VLOOKUP($B11,'Data shares'!$C:$FB,98)</f>
        <v>27604800</v>
      </c>
      <c r="E11" s="165">
        <f>VLOOKUP(B11,'Snapshot (Volume)'!$A$7:$G$168,7,0)</f>
        <v>27484200</v>
      </c>
      <c r="F11" s="165">
        <f t="shared" si="2"/>
        <v>120600</v>
      </c>
      <c r="G11" s="166">
        <f t="shared" si="3"/>
        <v>4.3879756369113888E-3</v>
      </c>
      <c r="H11" s="165">
        <f>VLOOKUP($B11,'Data shares'!$C:$FB,66)</f>
        <v>15867900</v>
      </c>
      <c r="I11" s="165">
        <f>VLOOKUP($B11,'Data shares'!$C:$FB,67)</f>
        <v>14381700</v>
      </c>
      <c r="J11" s="81">
        <f t="shared" si="4"/>
        <v>10.333966081895744</v>
      </c>
      <c r="K11" s="5">
        <f>VLOOKUP($B11,'Data Vlaue (Cr)'!$C:$FB,99)</f>
        <v>7088</v>
      </c>
      <c r="L11" s="81">
        <f>VLOOKUP(B11,'OI(Value)'!$A$7:$C$209,3,0)</f>
        <v>31</v>
      </c>
      <c r="M11" s="33">
        <f t="shared" si="0"/>
        <v>0.43735891647855529</v>
      </c>
      <c r="N11" s="5">
        <f>VLOOKUP($B11,'Data Vlaue (Cr)'!$C:$FB,67)</f>
        <v>4074</v>
      </c>
      <c r="O11" s="5">
        <f>VLOOKUP($B11,'Data Vlaue (Cr)'!$C:$FB,68)</f>
        <v>3693</v>
      </c>
      <c r="P11" s="5">
        <f t="shared" si="1"/>
        <v>9.3519882179675999</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1060.3</v>
      </c>
      <c r="D12" s="82">
        <f>VLOOKUP($B12,'Data shares'!$C:$FB,98)</f>
        <v>37174200</v>
      </c>
      <c r="E12" s="165">
        <f>VLOOKUP(B12,'Snapshot (Volume)'!$A$7:$G$168,7,0)</f>
        <v>36838200</v>
      </c>
      <c r="F12" s="165">
        <f t="shared" si="2"/>
        <v>336000</v>
      </c>
      <c r="G12" s="166">
        <f t="shared" si="3"/>
        <v>9.1209668224831834E-3</v>
      </c>
      <c r="H12" s="165">
        <f>VLOOKUP($B12,'Data shares'!$C:$FB,66)</f>
        <v>20175000</v>
      </c>
      <c r="I12" s="165">
        <f>VLOOKUP($B12,'Data shares'!$C:$FB,67)</f>
        <v>13816200</v>
      </c>
      <c r="J12" s="81">
        <f t="shared" si="4"/>
        <v>46.024232422808012</v>
      </c>
      <c r="K12" s="5">
        <f>VLOOKUP($B12,'Data Vlaue (Cr)'!$C:$FB,99)</f>
        <v>3956</v>
      </c>
      <c r="L12" s="81">
        <f>VLOOKUP(B12,'OI(Value)'!$A$7:$C$209,3,0)</f>
        <v>36</v>
      </c>
      <c r="M12" s="33">
        <f t="shared" si="0"/>
        <v>0.91001011122345798</v>
      </c>
      <c r="N12" s="5">
        <f>VLOOKUP($B12,'Data Vlaue (Cr)'!$C:$FB,67)</f>
        <v>2147</v>
      </c>
      <c r="O12" s="5">
        <f>VLOOKUP($B12,'Data Vlaue (Cr)'!$C:$FB,68)</f>
        <v>1470</v>
      </c>
      <c r="P12" s="5">
        <f t="shared" si="1"/>
        <v>31.532370749883558</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1479.5</v>
      </c>
      <c r="D13" s="82">
        <f>VLOOKUP($B13,'Data shares'!$C:$FB,98)</f>
        <v>35252125</v>
      </c>
      <c r="E13" s="165">
        <f>VLOOKUP(B13,'Snapshot (Volume)'!$A$7:$G$168,7,0)</f>
        <v>34841250</v>
      </c>
      <c r="F13" s="165">
        <f t="shared" si="2"/>
        <v>410875</v>
      </c>
      <c r="G13" s="166">
        <f t="shared" si="3"/>
        <v>1.1792774369461486E-2</v>
      </c>
      <c r="H13" s="165">
        <f>VLOOKUP($B13,'Data shares'!$C:$FB,66)</f>
        <v>44000675</v>
      </c>
      <c r="I13" s="165">
        <f>VLOOKUP($B13,'Data shares'!$C:$FB,67)</f>
        <v>25291850</v>
      </c>
      <c r="J13" s="81">
        <f t="shared" si="4"/>
        <v>73.971753746760314</v>
      </c>
      <c r="K13" s="5">
        <f>VLOOKUP($B13,'Data Vlaue (Cr)'!$C:$FB,99)</f>
        <v>5223</v>
      </c>
      <c r="L13" s="81">
        <f>VLOOKUP(B13,'OI(Value)'!$A$7:$C$209,3,0)</f>
        <v>61</v>
      </c>
      <c r="M13" s="33">
        <f t="shared" si="0"/>
        <v>1.1679111621673368</v>
      </c>
      <c r="N13" s="5">
        <f>VLOOKUP($B13,'Data Vlaue (Cr)'!$C:$FB,67)</f>
        <v>6520</v>
      </c>
      <c r="O13" s="5">
        <f>VLOOKUP($B13,'Data Vlaue (Cr)'!$C:$FB,68)</f>
        <v>3747</v>
      </c>
      <c r="P13" s="5">
        <f t="shared" si="1"/>
        <v>42.530674846625764</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5524</v>
      </c>
      <c r="D14" s="82">
        <f>VLOOKUP($B14,'Data shares'!$C:$FB,98)</f>
        <v>2018250</v>
      </c>
      <c r="E14" s="165">
        <f>VLOOKUP(B14,'Snapshot (Volume)'!$A$7:$G$168,7,0)</f>
        <v>2000250</v>
      </c>
      <c r="F14" s="165">
        <f t="shared" si="2"/>
        <v>18000</v>
      </c>
      <c r="G14" s="166">
        <f t="shared" si="3"/>
        <v>8.9988751406074249E-3</v>
      </c>
      <c r="H14" s="165">
        <f>VLOOKUP($B14,'Data shares'!$C:$FB,66)</f>
        <v>460875</v>
      </c>
      <c r="I14" s="165">
        <f>VLOOKUP($B14,'Data shares'!$C:$FB,67)</f>
        <v>901250</v>
      </c>
      <c r="J14" s="81">
        <f t="shared" si="4"/>
        <v>-48.8626907073509</v>
      </c>
      <c r="K14" s="5">
        <f>VLOOKUP($B14,'Data Vlaue (Cr)'!$C:$FB,99)</f>
        <v>1119</v>
      </c>
      <c r="L14" s="81">
        <f>VLOOKUP(B14,'OI(Value)'!$A$7:$C$209,3,0)</f>
        <v>10</v>
      </c>
      <c r="M14" s="33">
        <f t="shared" si="0"/>
        <v>0.89365504915102767</v>
      </c>
      <c r="N14" s="5">
        <f>VLOOKUP($B14,'Data Vlaue (Cr)'!$C:$FB,67)</f>
        <v>256</v>
      </c>
      <c r="O14" s="5">
        <f>VLOOKUP($B14,'Data Vlaue (Cr)'!$C:$FB,68)</f>
        <v>500</v>
      </c>
      <c r="P14" s="5">
        <f t="shared" si="1"/>
        <v>-95.3125</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8239</v>
      </c>
      <c r="D15" s="82">
        <f>VLOOKUP($B15,'Data shares'!$C:$FB,98)</f>
        <v>1848300</v>
      </c>
      <c r="E15" s="165">
        <f>VLOOKUP(B15,'Snapshot (Volume)'!$A$7:$G$168,7,0)</f>
        <v>1714600</v>
      </c>
      <c r="F15" s="165">
        <f t="shared" si="2"/>
        <v>133700</v>
      </c>
      <c r="G15" s="166">
        <f t="shared" si="3"/>
        <v>7.7977370815350514E-2</v>
      </c>
      <c r="H15" s="165">
        <f>VLOOKUP($B15,'Data shares'!$C:$FB,66)</f>
        <v>1290800</v>
      </c>
      <c r="I15" s="165">
        <f>VLOOKUP($B15,'Data shares'!$C:$FB,67)</f>
        <v>1193400</v>
      </c>
      <c r="J15" s="81">
        <f t="shared" si="4"/>
        <v>8.1615552203787498</v>
      </c>
      <c r="K15" s="5">
        <f>VLOOKUP($B15,'Data Vlaue (Cr)'!$C:$FB,99)</f>
        <v>1502</v>
      </c>
      <c r="L15" s="81">
        <f>VLOOKUP(B15,'OI(Value)'!$A$7:$C$209,3,0)</f>
        <v>109</v>
      </c>
      <c r="M15" s="33">
        <f t="shared" si="0"/>
        <v>7.2569906790945407</v>
      </c>
      <c r="N15" s="5">
        <f>VLOOKUP($B15,'Data Vlaue (Cr)'!$C:$FB,67)</f>
        <v>1049</v>
      </c>
      <c r="O15" s="5">
        <f>VLOOKUP($B15,'Data Vlaue (Cr)'!$C:$FB,68)</f>
        <v>970</v>
      </c>
      <c r="P15" s="5">
        <f t="shared" si="1"/>
        <v>7.5309818875119161</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569.70000000000005</v>
      </c>
      <c r="D16" s="82">
        <f>VLOOKUP($B16,'Data shares'!$C:$FB,98)</f>
        <v>61345200</v>
      </c>
      <c r="E16" s="165">
        <f>VLOOKUP(B16,'Snapshot (Volume)'!$A$7:$G$168,7,0)</f>
        <v>61724250</v>
      </c>
      <c r="F16" s="165">
        <f t="shared" si="2"/>
        <v>-379050</v>
      </c>
      <c r="G16" s="166">
        <f t="shared" si="3"/>
        <v>-6.1410223696521217E-3</v>
      </c>
      <c r="H16" s="165">
        <f>VLOOKUP($B16,'Data shares'!$C:$FB,66)</f>
        <v>15866550</v>
      </c>
      <c r="I16" s="165">
        <f>VLOOKUP($B16,'Data shares'!$C:$FB,67)</f>
        <v>11127900</v>
      </c>
      <c r="J16" s="81">
        <f t="shared" si="4"/>
        <v>42.583506321947539</v>
      </c>
      <c r="K16" s="5">
        <f>VLOOKUP($B16,'Data Vlaue (Cr)'!$C:$FB,99)</f>
        <v>3506</v>
      </c>
      <c r="L16" s="81">
        <f>VLOOKUP(B16,'OI(Value)'!$A$7:$C$209,3,0)</f>
        <v>-22</v>
      </c>
      <c r="M16" s="33">
        <f t="shared" si="0"/>
        <v>-0.62749572162007994</v>
      </c>
      <c r="N16" s="5">
        <f>VLOOKUP($B16,'Data Vlaue (Cr)'!$C:$FB,67)</f>
        <v>907</v>
      </c>
      <c r="O16" s="5">
        <f>VLOOKUP($B16,'Data Vlaue (Cr)'!$C:$FB,68)</f>
        <v>636</v>
      </c>
      <c r="P16" s="5">
        <f t="shared" si="1"/>
        <v>29.878721058434397</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2482.6</v>
      </c>
      <c r="D17" s="82">
        <f>VLOOKUP($B17,'Data shares'!$C:$FB,98)</f>
        <v>8646250</v>
      </c>
      <c r="E17" s="165">
        <f>VLOOKUP(B17,'Snapshot (Volume)'!$A$7:$G$168,7,0)</f>
        <v>9173250</v>
      </c>
      <c r="F17" s="165">
        <f t="shared" si="2"/>
        <v>-527000</v>
      </c>
      <c r="G17" s="166">
        <f t="shared" si="3"/>
        <v>-5.7449649796964E-2</v>
      </c>
      <c r="H17" s="165">
        <f>VLOOKUP($B17,'Data shares'!$C:$FB,66)</f>
        <v>47133500</v>
      </c>
      <c r="I17" s="165">
        <f>VLOOKUP($B17,'Data shares'!$C:$FB,67)</f>
        <v>18841000</v>
      </c>
      <c r="J17" s="81">
        <f t="shared" si="4"/>
        <v>150.16453479114696</v>
      </c>
      <c r="K17" s="5">
        <f>VLOOKUP($B17,'Data Vlaue (Cr)'!$C:$FB,99)</f>
        <v>2144</v>
      </c>
      <c r="L17" s="81">
        <f>VLOOKUP(B17,'OI(Value)'!$A$7:$C$209,3,0)</f>
        <v>-131</v>
      </c>
      <c r="M17" s="33">
        <f t="shared" si="0"/>
        <v>-6.1100746268656723</v>
      </c>
      <c r="N17" s="5">
        <f>VLOOKUP($B17,'Data Vlaue (Cr)'!$C:$FB,67)</f>
        <v>11687</v>
      </c>
      <c r="O17" s="5">
        <f>VLOOKUP($B17,'Data Vlaue (Cr)'!$C:$FB,68)</f>
        <v>4672</v>
      </c>
      <c r="P17" s="5">
        <f t="shared" si="1"/>
        <v>60.023958244202959</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1728</v>
      </c>
      <c r="D18" s="82">
        <f>VLOOKUP($B18,'Data shares'!$C:$FB,98)</f>
        <v>11492950</v>
      </c>
      <c r="E18" s="165">
        <f>VLOOKUP(B18,'Snapshot (Volume)'!$A$7:$G$168,7,0)</f>
        <v>11441500</v>
      </c>
      <c r="F18" s="165">
        <f t="shared" si="2"/>
        <v>51450</v>
      </c>
      <c r="G18" s="166">
        <f t="shared" si="3"/>
        <v>4.4967880085653106E-3</v>
      </c>
      <c r="H18" s="165">
        <f>VLOOKUP($B18,'Data shares'!$C:$FB,66)</f>
        <v>1295000</v>
      </c>
      <c r="I18" s="165">
        <f>VLOOKUP($B18,'Data shares'!$C:$FB,67)</f>
        <v>1144500</v>
      </c>
      <c r="J18" s="81">
        <f t="shared" si="4"/>
        <v>13.149847094801222</v>
      </c>
      <c r="K18" s="5">
        <f>VLOOKUP($B18,'Data Vlaue (Cr)'!$C:$FB,99)</f>
        <v>1993</v>
      </c>
      <c r="L18" s="81">
        <f>VLOOKUP(B18,'OI(Value)'!$A$7:$C$209,3,0)</f>
        <v>9</v>
      </c>
      <c r="M18" s="33">
        <f t="shared" si="0"/>
        <v>0.45158053186151526</v>
      </c>
      <c r="N18" s="5">
        <f>VLOOKUP($B18,'Data Vlaue (Cr)'!$C:$FB,67)</f>
        <v>225</v>
      </c>
      <c r="O18" s="5">
        <f>VLOOKUP($B18,'Data Vlaue (Cr)'!$C:$FB,68)</f>
        <v>198</v>
      </c>
      <c r="P18" s="5">
        <f t="shared" si="1"/>
        <v>12</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7833.5</v>
      </c>
      <c r="D19" s="82">
        <f>VLOOKUP($B19,'Data shares'!$C:$FB,98)</f>
        <v>3932250</v>
      </c>
      <c r="E19" s="165">
        <f>VLOOKUP(B19,'Snapshot (Volume)'!$A$7:$G$168,7,0)</f>
        <v>3964375</v>
      </c>
      <c r="F19" s="165">
        <f t="shared" si="2"/>
        <v>-32125</v>
      </c>
      <c r="G19" s="166">
        <f t="shared" si="3"/>
        <v>-8.1034210941195017E-3</v>
      </c>
      <c r="H19" s="165">
        <f>VLOOKUP($B19,'Data shares'!$C:$FB,66)</f>
        <v>1742125</v>
      </c>
      <c r="I19" s="165">
        <f>VLOOKUP($B19,'Data shares'!$C:$FB,67)</f>
        <v>3094000</v>
      </c>
      <c r="J19" s="81">
        <f t="shared" si="4"/>
        <v>-43.693438914027148</v>
      </c>
      <c r="K19" s="5">
        <f>VLOOKUP($B19,'Data Vlaue (Cr)'!$C:$FB,99)</f>
        <v>3091</v>
      </c>
      <c r="L19" s="81">
        <f>VLOOKUP(B19,'OI(Value)'!$A$7:$C$209,3,0)</f>
        <v>-25</v>
      </c>
      <c r="M19" s="33">
        <f t="shared" si="0"/>
        <v>-0.80879974118408282</v>
      </c>
      <c r="N19" s="5">
        <f>VLOOKUP($B19,'Data Vlaue (Cr)'!$C:$FB,67)</f>
        <v>1369</v>
      </c>
      <c r="O19" s="5">
        <f>VLOOKUP($B19,'Data Vlaue (Cr)'!$C:$FB,68)</f>
        <v>2432</v>
      </c>
      <c r="P19" s="5">
        <f t="shared" si="1"/>
        <v>-77.647918188458732</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137.24</v>
      </c>
      <c r="D20" s="82">
        <f>VLOOKUP($B20,'Data shares'!$C:$FB,98)</f>
        <v>274040000</v>
      </c>
      <c r="E20" s="165">
        <f>VLOOKUP(B20,'Snapshot (Volume)'!$A$7:$G$168,7,0)</f>
        <v>266875000</v>
      </c>
      <c r="F20" s="165">
        <f t="shared" si="2"/>
        <v>7165000</v>
      </c>
      <c r="G20" s="166">
        <f t="shared" si="3"/>
        <v>2.6847775175644028E-2</v>
      </c>
      <c r="H20" s="165">
        <f>VLOOKUP($B20,'Data shares'!$C:$FB,66)</f>
        <v>109005000</v>
      </c>
      <c r="I20" s="165">
        <f>VLOOKUP($B20,'Data shares'!$C:$FB,67)</f>
        <v>76695000</v>
      </c>
      <c r="J20" s="81">
        <f t="shared" si="4"/>
        <v>42.127909250929001</v>
      </c>
      <c r="K20" s="5">
        <f>VLOOKUP($B20,'Data Vlaue (Cr)'!$C:$FB,99)</f>
        <v>3757</v>
      </c>
      <c r="L20" s="81">
        <f>VLOOKUP(B20,'OI(Value)'!$A$7:$C$209,3,0)</f>
        <v>98</v>
      </c>
      <c r="M20" s="33">
        <f t="shared" si="0"/>
        <v>2.6084642001597018</v>
      </c>
      <c r="N20" s="5">
        <f>VLOOKUP($B20,'Data Vlaue (Cr)'!$C:$FB,67)</f>
        <v>1494</v>
      </c>
      <c r="O20" s="5">
        <f>VLOOKUP($B20,'Data Vlaue (Cr)'!$C:$FB,68)</f>
        <v>1051</v>
      </c>
      <c r="P20" s="5">
        <f t="shared" si="1"/>
        <v>29.651941097724233</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2409.6999999999998</v>
      </c>
      <c r="D21" s="82">
        <f>VLOOKUP($B21,'Data shares'!$C:$FB,98)</f>
        <v>22999500</v>
      </c>
      <c r="E21" s="165">
        <f>VLOOKUP(B21,'Snapshot (Volume)'!$A$7:$G$168,7,0)</f>
        <v>23086750</v>
      </c>
      <c r="F21" s="165">
        <f t="shared" si="2"/>
        <v>-87250</v>
      </c>
      <c r="G21" s="166">
        <f t="shared" si="3"/>
        <v>-3.7792240137741345E-3</v>
      </c>
      <c r="H21" s="165">
        <f>VLOOKUP($B21,'Data shares'!$C:$FB,66)</f>
        <v>18399750</v>
      </c>
      <c r="I21" s="165">
        <f>VLOOKUP($B21,'Data shares'!$C:$FB,67)</f>
        <v>21485750</v>
      </c>
      <c r="J21" s="81">
        <f t="shared" si="4"/>
        <v>-14.3630080402127</v>
      </c>
      <c r="K21" s="5">
        <f>VLOOKUP($B21,'Data Vlaue (Cr)'!$C:$FB,99)</f>
        <v>5561</v>
      </c>
      <c r="L21" s="81">
        <f>VLOOKUP(B21,'OI(Value)'!$A$7:$C$209,3,0)</f>
        <v>-21</v>
      </c>
      <c r="M21" s="33">
        <f t="shared" si="0"/>
        <v>-0.37762992267577772</v>
      </c>
      <c r="N21" s="5">
        <f>VLOOKUP($B21,'Data Vlaue (Cr)'!$C:$FB,67)</f>
        <v>4449</v>
      </c>
      <c r="O21" s="5">
        <f>VLOOKUP($B21,'Data Vlaue (Cr)'!$C:$FB,68)</f>
        <v>5195</v>
      </c>
      <c r="P21" s="5">
        <f t="shared" si="1"/>
        <v>-16.767812991683524</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1444.8</v>
      </c>
      <c r="D22" s="82">
        <f>VLOOKUP($B22,'Data shares'!$C:$FB,98)</f>
        <v>13796775</v>
      </c>
      <c r="E22" s="165">
        <f>VLOOKUP(B22,'Snapshot (Volume)'!$A$7:$G$168,7,0)</f>
        <v>13820150</v>
      </c>
      <c r="F22" s="165">
        <f t="shared" si="2"/>
        <v>-23375</v>
      </c>
      <c r="G22" s="166">
        <f t="shared" si="3"/>
        <v>-1.6913709330217111E-3</v>
      </c>
      <c r="H22" s="165">
        <f>VLOOKUP($B22,'Data shares'!$C:$FB,66)</f>
        <v>3468425</v>
      </c>
      <c r="I22" s="165">
        <f>VLOOKUP($B22,'Data shares'!$C:$FB,67)</f>
        <v>10663675</v>
      </c>
      <c r="J22" s="81">
        <f t="shared" si="4"/>
        <v>-67.474393208720258</v>
      </c>
      <c r="K22" s="5">
        <f>VLOOKUP($B22,'Data Vlaue (Cr)'!$C:$FB,99)</f>
        <v>1994</v>
      </c>
      <c r="L22" s="81">
        <f>VLOOKUP(B22,'OI(Value)'!$A$7:$C$209,3,0)</f>
        <v>-3</v>
      </c>
      <c r="M22" s="33">
        <f t="shared" si="0"/>
        <v>-0.15045135406218654</v>
      </c>
      <c r="N22" s="5">
        <f>VLOOKUP($B22,'Data Vlaue (Cr)'!$C:$FB,67)</f>
        <v>501</v>
      </c>
      <c r="O22" s="5">
        <f>VLOOKUP($B22,'Data Vlaue (Cr)'!$C:$FB,68)</f>
        <v>1541</v>
      </c>
      <c r="P22" s="5">
        <f t="shared" si="1"/>
        <v>-207.58483033932134</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798.5</v>
      </c>
      <c r="D23" s="82">
        <f>VLOOKUP($B23,'Data shares'!$C:$FB,98)</f>
        <v>34366000</v>
      </c>
      <c r="E23" s="165">
        <f>VLOOKUP(B23,'Snapshot (Volume)'!$A$7:$G$168,7,0)</f>
        <v>34001000</v>
      </c>
      <c r="F23" s="165">
        <f t="shared" si="2"/>
        <v>365000</v>
      </c>
      <c r="G23" s="166">
        <f t="shared" si="3"/>
        <v>1.0734978382988735E-2</v>
      </c>
      <c r="H23" s="165">
        <f>VLOOKUP($B23,'Data shares'!$C:$FB,66)</f>
        <v>31721000</v>
      </c>
      <c r="I23" s="165">
        <f>VLOOKUP($B23,'Data shares'!$C:$FB,67)</f>
        <v>60517000</v>
      </c>
      <c r="J23" s="81">
        <f>(H23-I23)/I23*100</f>
        <v>-47.583323694168584</v>
      </c>
      <c r="K23" s="5">
        <f>VLOOKUP($B23,'Data Vlaue (Cr)'!$C:$FB,99)</f>
        <v>2746</v>
      </c>
      <c r="L23" s="81">
        <f>VLOOKUP(B23,'OI(Value)'!$A$7:$C$209,3,0)</f>
        <v>29</v>
      </c>
      <c r="M23" s="33">
        <f t="shared" si="0"/>
        <v>1.0560815731973781</v>
      </c>
      <c r="N23" s="5">
        <f>VLOOKUP($B23,'Data Vlaue (Cr)'!$C:$FB,67)</f>
        <v>2535</v>
      </c>
      <c r="O23" s="5">
        <f>VLOOKUP($B23,'Data Vlaue (Cr)'!$C:$FB,68)</f>
        <v>4835</v>
      </c>
      <c r="P23" s="5">
        <f t="shared" si="1"/>
        <v>-90.729783037475343</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1106.3</v>
      </c>
      <c r="D24" s="80">
        <f>VLOOKUP($B24,'Data shares'!$C:$FB,98)</f>
        <v>30760950</v>
      </c>
      <c r="E24" s="165">
        <f>VLOOKUP(B24,'Snapshot (Volume)'!$A$7:$G$168,7,0)</f>
        <v>30274750</v>
      </c>
      <c r="F24" s="165">
        <f t="shared" ref="F24:F36" si="5">D24-E24</f>
        <v>486200</v>
      </c>
      <c r="G24" s="166">
        <f t="shared" ref="G24:G36" si="6">F24/E24</f>
        <v>1.605958761013716E-2</v>
      </c>
      <c r="H24" s="165">
        <f>VLOOKUP($B24,'Data shares'!$C:$FB,66)</f>
        <v>9579350</v>
      </c>
      <c r="I24" s="165">
        <f>VLOOKUP($B24,'Data shares'!$C:$FB,67)</f>
        <v>7383750</v>
      </c>
      <c r="J24" s="81">
        <f t="shared" ref="J24:J36" si="7">(H24-I24)/I24*100</f>
        <v>29.735567970204841</v>
      </c>
      <c r="K24" s="81">
        <f>VLOOKUP($B24,'Data Vlaue (Cr)'!$C:$FB,99)</f>
        <v>3417</v>
      </c>
      <c r="L24" s="81">
        <f>VLOOKUP(B24,'OI(Value)'!$A$7:$C$209,3,0)</f>
        <v>54</v>
      </c>
      <c r="M24" s="81">
        <f t="shared" si="0"/>
        <v>1.5803336259877085</v>
      </c>
      <c r="N24" s="81">
        <f>VLOOKUP($B24,'Data Vlaue (Cr)'!$C:$FB,67)</f>
        <v>1064</v>
      </c>
      <c r="O24" s="81">
        <f>VLOOKUP($B24,'Data Vlaue (Cr)'!$C:$FB,68)</f>
        <v>820</v>
      </c>
      <c r="P24" s="81">
        <f t="shared" ref="P24:P36" si="8">(N24-O24)/N24*100</f>
        <v>22.932330827067666</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1196.3</v>
      </c>
      <c r="D25" s="82">
        <f>VLOOKUP($B25,'Data shares'!$C:$FB,98)</f>
        <v>128194375</v>
      </c>
      <c r="E25" s="165">
        <f>VLOOKUP(B25,'Snapshot (Volume)'!$A$7:$G$168,7,0)</f>
        <v>131109375</v>
      </c>
      <c r="F25" s="165">
        <f t="shared" si="5"/>
        <v>-2915000</v>
      </c>
      <c r="G25" s="166">
        <f t="shared" si="6"/>
        <v>-2.2233345250864022E-2</v>
      </c>
      <c r="H25" s="165">
        <f>VLOOKUP($B25,'Data shares'!$C:$FB,66)</f>
        <v>241516875</v>
      </c>
      <c r="I25" s="165">
        <f>VLOOKUP($B25,'Data shares'!$C:$FB,67)</f>
        <v>103886875</v>
      </c>
      <c r="J25" s="81">
        <f t="shared" si="7"/>
        <v>132.48064300711712</v>
      </c>
      <c r="K25" s="5">
        <f>VLOOKUP($B25,'Data Vlaue (Cr)'!$C:$FB,99)</f>
        <v>15353</v>
      </c>
      <c r="L25" s="81">
        <f>VLOOKUP(B25,'OI(Value)'!$A$7:$C$209,3,0)</f>
        <v>-349</v>
      </c>
      <c r="M25" s="33">
        <f t="shared" si="0"/>
        <v>-2.2731713671595126</v>
      </c>
      <c r="N25" s="5">
        <f>VLOOKUP($B25,'Data Vlaue (Cr)'!$C:$FB,67)</f>
        <v>28924</v>
      </c>
      <c r="O25" s="5">
        <f>VLOOKUP($B25,'Data Vlaue (Cr)'!$C:$FB,68)</f>
        <v>12441</v>
      </c>
      <c r="P25" s="5">
        <f t="shared" si="8"/>
        <v>56.987277001797821</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9151.5</v>
      </c>
      <c r="D26" s="82">
        <f>VLOOKUP($B26,'Data shares'!$C:$FB,98)</f>
        <v>5688000</v>
      </c>
      <c r="E26" s="165">
        <f>VLOOKUP(B26,'Snapshot (Volume)'!$A$7:$G$168,7,0)</f>
        <v>5945625</v>
      </c>
      <c r="F26" s="165">
        <f t="shared" si="5"/>
        <v>-257625</v>
      </c>
      <c r="G26" s="166">
        <f t="shared" si="6"/>
        <v>-4.3330179754020814E-2</v>
      </c>
      <c r="H26" s="165">
        <f>VLOOKUP($B26,'Data shares'!$C:$FB,66)</f>
        <v>5546025</v>
      </c>
      <c r="I26" s="165">
        <f>VLOOKUP($B26,'Data shares'!$C:$FB,67)</f>
        <v>7579200</v>
      </c>
      <c r="J26" s="81">
        <f t="shared" si="7"/>
        <v>-26.825720392653579</v>
      </c>
      <c r="K26" s="5">
        <f>VLOOKUP($B26,'Data Vlaue (Cr)'!$C:$FB,99)</f>
        <v>5209</v>
      </c>
      <c r="L26" s="81">
        <f>VLOOKUP(B26,'OI(Value)'!$A$7:$C$209,3,0)</f>
        <v>-236</v>
      </c>
      <c r="M26" s="33">
        <f t="shared" si="0"/>
        <v>-4.5306200806296788</v>
      </c>
      <c r="N26" s="5">
        <f>VLOOKUP($B26,'Data Vlaue (Cr)'!$C:$FB,67)</f>
        <v>5079</v>
      </c>
      <c r="O26" s="5">
        <f>VLOOKUP($B26,'Data Vlaue (Cr)'!$C:$FB,68)</f>
        <v>6941</v>
      </c>
      <c r="P26" s="5">
        <f t="shared" si="8"/>
        <v>-36.66075999212444</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2090.1999999999998</v>
      </c>
      <c r="D27" s="82">
        <f>VLOOKUP($B27,'Data shares'!$C:$FB,98)</f>
        <v>29045000</v>
      </c>
      <c r="E27" s="165">
        <f>VLOOKUP(B27,'Snapshot (Volume)'!$A$7:$G$168,7,0)</f>
        <v>28159500</v>
      </c>
      <c r="F27" s="165">
        <f t="shared" si="5"/>
        <v>885500</v>
      </c>
      <c r="G27" s="166">
        <f t="shared" si="6"/>
        <v>3.1445870842877179E-2</v>
      </c>
      <c r="H27" s="165">
        <f>VLOOKUP($B27,'Data shares'!$C:$FB,66)</f>
        <v>20073500</v>
      </c>
      <c r="I27" s="165">
        <f>VLOOKUP($B27,'Data shares'!$C:$FB,67)</f>
        <v>30037500</v>
      </c>
      <c r="J27" s="81">
        <f t="shared" si="7"/>
        <v>-33.171868497711195</v>
      </c>
      <c r="K27" s="5">
        <f>VLOOKUP($B27,'Data Vlaue (Cr)'!$C:$FB,99)</f>
        <v>6094</v>
      </c>
      <c r="L27" s="81">
        <f>VLOOKUP(B27,'OI(Value)'!$A$7:$C$209,3,0)</f>
        <v>186</v>
      </c>
      <c r="M27" s="33">
        <f t="shared" si="0"/>
        <v>3.052182474565146</v>
      </c>
      <c r="N27" s="5">
        <f>VLOOKUP($B27,'Data Vlaue (Cr)'!$C:$FB,67)</f>
        <v>4211</v>
      </c>
      <c r="O27" s="5">
        <f>VLOOKUP($B27,'Data Vlaue (Cr)'!$C:$FB,68)</f>
        <v>6302</v>
      </c>
      <c r="P27" s="5">
        <f t="shared" si="8"/>
        <v>-49.655663737829492</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BAJFINANCE</v>
      </c>
      <c r="C28" s="4">
        <f>VLOOKUP($B28,'Data shares'!$C:$FB,7)</f>
        <v>1065.75</v>
      </c>
      <c r="D28" s="82">
        <f>VLOOKUP($B28,'Data shares'!$C:$FB,98)</f>
        <v>126126750</v>
      </c>
      <c r="E28" s="165">
        <f>VLOOKUP(B28,'Snapshot (Volume)'!$A$7:$G$168,7,0)</f>
        <v>123542250</v>
      </c>
      <c r="F28" s="165">
        <f t="shared" si="5"/>
        <v>2584500</v>
      </c>
      <c r="G28" s="166">
        <f t="shared" si="6"/>
        <v>2.0919968674684167E-2</v>
      </c>
      <c r="H28" s="165">
        <f>VLOOKUP($B28,'Data shares'!$C:$FB,66)</f>
        <v>105969750</v>
      </c>
      <c r="I28" s="165">
        <f>VLOOKUP($B28,'Data shares'!$C:$FB,67)</f>
        <v>108786000</v>
      </c>
      <c r="J28" s="81">
        <f t="shared" si="7"/>
        <v>-2.5887981909436877</v>
      </c>
      <c r="K28" s="5">
        <f>VLOOKUP($B28,'Data Vlaue (Cr)'!$C:$FB,99)</f>
        <v>13451</v>
      </c>
      <c r="L28" s="81">
        <f>VLOOKUP(B28,'OI(Value)'!$A$7:$C$209,3,0)</f>
        <v>276</v>
      </c>
      <c r="M28" s="33">
        <f t="shared" si="0"/>
        <v>2.0518920526354916</v>
      </c>
      <c r="N28" s="5">
        <f>VLOOKUP($B28,'Data Vlaue (Cr)'!$C:$FB,67)</f>
        <v>11301</v>
      </c>
      <c r="O28" s="5">
        <f>VLOOKUP($B28,'Data Vlaue (Cr)'!$C:$FB,68)</f>
        <v>11601</v>
      </c>
      <c r="P28" s="5">
        <f t="shared" si="8"/>
        <v>-2.6546323334218211</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BANDHANBNK</v>
      </c>
      <c r="C29" s="4">
        <f>VLOOKUP($B29,'Data shares'!$C:$FB,7)</f>
        <v>161.56</v>
      </c>
      <c r="D29" s="82">
        <f>VLOOKUP($B29,'Data shares'!$C:$FB,98)</f>
        <v>190418400</v>
      </c>
      <c r="E29" s="165">
        <f>VLOOKUP(B29,'Snapshot (Volume)'!$A$7:$G$168,7,0)</f>
        <v>181065600</v>
      </c>
      <c r="F29" s="165">
        <f t="shared" si="5"/>
        <v>9352800</v>
      </c>
      <c r="G29" s="166">
        <f t="shared" si="6"/>
        <v>5.16542070940035E-2</v>
      </c>
      <c r="H29" s="165">
        <f>VLOOKUP($B29,'Data shares'!$C:$FB,66)</f>
        <v>68814000</v>
      </c>
      <c r="I29" s="165">
        <f>VLOOKUP($B29,'Data shares'!$C:$FB,67)</f>
        <v>66387600</v>
      </c>
      <c r="J29" s="81">
        <f t="shared" si="7"/>
        <v>3.6548994089257629</v>
      </c>
      <c r="K29" s="5">
        <f>VLOOKUP($B29,'Data Vlaue (Cr)'!$C:$FB,99)</f>
        <v>3082</v>
      </c>
      <c r="L29" s="81">
        <f>VLOOKUP(B29,'OI(Value)'!$A$7:$C$209,3,0)</f>
        <v>151</v>
      </c>
      <c r="M29" s="33">
        <f t="shared" si="0"/>
        <v>4.899415963659961</v>
      </c>
      <c r="N29" s="5">
        <f>VLOOKUP($B29,'Data Vlaue (Cr)'!$C:$FB,67)</f>
        <v>1114</v>
      </c>
      <c r="O29" s="5">
        <f>VLOOKUP($B29,'Data Vlaue (Cr)'!$C:$FB,68)</f>
        <v>1074</v>
      </c>
      <c r="P29" s="5">
        <f t="shared" si="8"/>
        <v>3.5906642728904847</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BANKBARODA</v>
      </c>
      <c r="C30" s="4">
        <f>VLOOKUP($B30,'Data shares'!$C:$FB,7)</f>
        <v>266.14999999999998</v>
      </c>
      <c r="D30" s="82">
        <f>VLOOKUP($B30,'Data shares'!$C:$FB,98)</f>
        <v>203618025</v>
      </c>
      <c r="E30" s="165">
        <f>VLOOKUP(B30,'Snapshot (Volume)'!$A$7:$G$168,7,0)</f>
        <v>201275100</v>
      </c>
      <c r="F30" s="165">
        <f t="shared" si="5"/>
        <v>2342925</v>
      </c>
      <c r="G30" s="166">
        <f t="shared" si="6"/>
        <v>1.1640411556123931E-2</v>
      </c>
      <c r="H30" s="165">
        <f>VLOOKUP($B30,'Data shares'!$C:$FB,66)</f>
        <v>67245750</v>
      </c>
      <c r="I30" s="165">
        <f>VLOOKUP($B30,'Data shares'!$C:$FB,67)</f>
        <v>104908050</v>
      </c>
      <c r="J30" s="81">
        <f t="shared" si="7"/>
        <v>-35.900295544526848</v>
      </c>
      <c r="K30" s="5">
        <f>VLOOKUP($B30,'Data Vlaue (Cr)'!$C:$FB,99)</f>
        <v>5434</v>
      </c>
      <c r="L30" s="81">
        <f>VLOOKUP(B30,'OI(Value)'!$A$7:$C$209,3,0)</f>
        <v>63</v>
      </c>
      <c r="M30" s="33">
        <f t="shared" si="0"/>
        <v>1.1593669488406331</v>
      </c>
      <c r="N30" s="5">
        <f>VLOOKUP($B30,'Data Vlaue (Cr)'!$C:$FB,67)</f>
        <v>1794</v>
      </c>
      <c r="O30" s="5">
        <f>VLOOKUP($B30,'Data Vlaue (Cr)'!$C:$FB,68)</f>
        <v>2799</v>
      </c>
      <c r="P30" s="5">
        <f t="shared" si="8"/>
        <v>-56.020066889632105</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BANKINDIA</v>
      </c>
      <c r="C31" s="4">
        <f>VLOOKUP($B31,'Data shares'!$C:$FB,7)</f>
        <v>125.42</v>
      </c>
      <c r="D31" s="82">
        <f>VLOOKUP($B31,'Data shares'!$C:$FB,98)</f>
        <v>119340000</v>
      </c>
      <c r="E31" s="165">
        <f>VLOOKUP(B31,'Snapshot (Volume)'!$A$7:$G$168,7,0)</f>
        <v>118747200</v>
      </c>
      <c r="F31" s="165">
        <f t="shared" si="5"/>
        <v>592800</v>
      </c>
      <c r="G31" s="166">
        <f t="shared" si="6"/>
        <v>4.9921177088807145E-3</v>
      </c>
      <c r="H31" s="165">
        <f>VLOOKUP($B31,'Data shares'!$C:$FB,66)</f>
        <v>35547200</v>
      </c>
      <c r="I31" s="165">
        <f>VLOOKUP($B31,'Data shares'!$C:$FB,67)</f>
        <v>37336000</v>
      </c>
      <c r="J31" s="81">
        <f t="shared" si="7"/>
        <v>-4.79108635097493</v>
      </c>
      <c r="K31" s="5">
        <f>VLOOKUP($B31,'Data Vlaue (Cr)'!$C:$FB,99)</f>
        <v>1501</v>
      </c>
      <c r="L31" s="81">
        <f>VLOOKUP(B31,'OI(Value)'!$A$7:$C$209,3,0)</f>
        <v>7</v>
      </c>
      <c r="M31" s="33">
        <f t="shared" si="0"/>
        <v>0.46635576282478342</v>
      </c>
      <c r="N31" s="5">
        <f>VLOOKUP($B31,'Data Vlaue (Cr)'!$C:$FB,67)</f>
        <v>447</v>
      </c>
      <c r="O31" s="5">
        <f>VLOOKUP($B31,'Data Vlaue (Cr)'!$C:$FB,68)</f>
        <v>470</v>
      </c>
      <c r="P31" s="5">
        <f t="shared" si="8"/>
        <v>-5.1454138702460845</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Index</v>
      </c>
      <c r="B32" s="79" t="str">
        <f>'Data shares'!C27</f>
        <v>BANKNIFTY</v>
      </c>
      <c r="C32" s="4">
        <f>VLOOKUP($B32,'Data shares'!$C:$FB,7)</f>
        <v>57422.55</v>
      </c>
      <c r="D32" s="82">
        <f>VLOOKUP($B32,'Data shares'!$C:$FB,98)</f>
        <v>45127605</v>
      </c>
      <c r="E32" s="165">
        <f>VLOOKUP(B32,'Snapshot (Volume)'!$A$7:$G$168,7,0)</f>
        <v>44066020</v>
      </c>
      <c r="F32" s="165">
        <f t="shared" si="5"/>
        <v>1061585</v>
      </c>
      <c r="G32" s="166">
        <f t="shared" si="6"/>
        <v>2.4090784690788958E-2</v>
      </c>
      <c r="H32" s="165">
        <f>VLOOKUP($B32,'Data shares'!$C:$FB,66)</f>
        <v>149847775</v>
      </c>
      <c r="I32" s="165">
        <f>VLOOKUP($B32,'Data shares'!$C:$FB,67)</f>
        <v>117241775</v>
      </c>
      <c r="J32" s="81">
        <f t="shared" si="7"/>
        <v>27.810906138191783</v>
      </c>
      <c r="K32" s="5">
        <f>VLOOKUP($B32,'Data Vlaue (Cr)'!$C:$FB,99)</f>
        <v>259421</v>
      </c>
      <c r="L32" s="81">
        <f>VLOOKUP(B32,'OI(Value)'!$A$7:$C$209,3,0)</f>
        <v>6103</v>
      </c>
      <c r="M32" s="33">
        <f t="shared" si="0"/>
        <v>2.3525466326935756</v>
      </c>
      <c r="N32" s="5">
        <f>VLOOKUP($B32,'Data Vlaue (Cr)'!$C:$FB,67)</f>
        <v>861418</v>
      </c>
      <c r="O32" s="5">
        <f>VLOOKUP($B32,'Data Vlaue (Cr)'!$C:$FB,68)</f>
        <v>673978</v>
      </c>
      <c r="P32" s="5">
        <f t="shared" si="8"/>
        <v>21.759471011750392</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Capital_Goods</v>
      </c>
      <c r="B33" s="79" t="str">
        <f>'Data shares'!C28</f>
        <v>BDL</v>
      </c>
      <c r="C33" s="4">
        <f>VLOOKUP($B33,'Data shares'!$C:$FB,7)</f>
        <v>1504.9</v>
      </c>
      <c r="D33" s="82">
        <f>VLOOKUP($B33,'Data shares'!$C:$FB,98)</f>
        <v>10464350</v>
      </c>
      <c r="E33" s="165">
        <f>VLOOKUP(B33,'Snapshot (Volume)'!$A$7:$G$168,7,0)</f>
        <v>10393500</v>
      </c>
      <c r="F33" s="165">
        <f t="shared" si="5"/>
        <v>70850</v>
      </c>
      <c r="G33" s="166">
        <f t="shared" si="6"/>
        <v>6.8167604752970611E-3</v>
      </c>
      <c r="H33" s="165">
        <f>VLOOKUP($B33,'Data shares'!$C:$FB,66)</f>
        <v>4438525</v>
      </c>
      <c r="I33" s="165">
        <f>VLOOKUP($B33,'Data shares'!$C:$FB,67)</f>
        <v>4998175</v>
      </c>
      <c r="J33" s="81">
        <f t="shared" si="7"/>
        <v>-11.197086936731907</v>
      </c>
      <c r="K33" s="5">
        <f>VLOOKUP($B33,'Data Vlaue (Cr)'!$C:$FB,99)</f>
        <v>1580</v>
      </c>
      <c r="L33" s="81">
        <f>VLOOKUP(B33,'OI(Value)'!$A$7:$C$209,3,0)</f>
        <v>11</v>
      </c>
      <c r="M33" s="33">
        <f t="shared" si="0"/>
        <v>0.69620253164556956</v>
      </c>
      <c r="N33" s="5">
        <f>VLOOKUP($B33,'Data Vlaue (Cr)'!$C:$FB,67)</f>
        <v>670</v>
      </c>
      <c r="O33" s="5">
        <f>VLOOKUP($B33,'Data Vlaue (Cr)'!$C:$FB,68)</f>
        <v>755</v>
      </c>
      <c r="P33" s="5">
        <f t="shared" si="8"/>
        <v>-12.686567164179104</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BEL</v>
      </c>
      <c r="C34" s="4">
        <f>VLOOKUP($B34,'Data shares'!$C:$FB,7)</f>
        <v>411.8</v>
      </c>
      <c r="D34" s="82">
        <f>VLOOKUP($B34,'Data shares'!$C:$FB,98)</f>
        <v>226184550</v>
      </c>
      <c r="E34" s="165">
        <f>VLOOKUP(B34,'Snapshot (Volume)'!$A$7:$G$168,7,0)</f>
        <v>228758100</v>
      </c>
      <c r="F34" s="165">
        <f t="shared" si="5"/>
        <v>-2573550</v>
      </c>
      <c r="G34" s="166">
        <f t="shared" si="6"/>
        <v>-1.125009343931428E-2</v>
      </c>
      <c r="H34" s="165">
        <f>VLOOKUP($B34,'Data shares'!$C:$FB,66)</f>
        <v>135540300</v>
      </c>
      <c r="I34" s="165">
        <f>VLOOKUP($B34,'Data shares'!$C:$FB,67)</f>
        <v>155310750</v>
      </c>
      <c r="J34" s="81">
        <f t="shared" si="7"/>
        <v>-12.729608220937703</v>
      </c>
      <c r="K34" s="5">
        <f>VLOOKUP($B34,'Data Vlaue (Cr)'!$C:$FB,99)</f>
        <v>9352</v>
      </c>
      <c r="L34" s="81">
        <f>VLOOKUP(B34,'OI(Value)'!$A$7:$C$209,3,0)</f>
        <v>-106</v>
      </c>
      <c r="M34" s="33">
        <f t="shared" si="0"/>
        <v>-1.133447390932421</v>
      </c>
      <c r="N34" s="5">
        <f>VLOOKUP($B34,'Data Vlaue (Cr)'!$C:$FB,67)</f>
        <v>5604</v>
      </c>
      <c r="O34" s="5">
        <f>VLOOKUP($B34,'Data Vlaue (Cr)'!$C:$FB,68)</f>
        <v>6421</v>
      </c>
      <c r="P34" s="5">
        <f t="shared" si="8"/>
        <v>-14.578872234118487</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Automobile</v>
      </c>
      <c r="B35" s="79" t="str">
        <f>'Data shares'!C30</f>
        <v>BHARATFORG</v>
      </c>
      <c r="C35" s="4">
        <f>VLOOKUP($B35,'Data shares'!$C:$FB,7)</f>
        <v>1265.2</v>
      </c>
      <c r="D35" s="82">
        <f>VLOOKUP($B35,'Data shares'!$C:$FB,98)</f>
        <v>18480500</v>
      </c>
      <c r="E35" s="165">
        <f>VLOOKUP(B35,'Snapshot (Volume)'!$A$7:$G$168,7,0)</f>
        <v>17795500</v>
      </c>
      <c r="F35" s="165">
        <f t="shared" si="5"/>
        <v>685000</v>
      </c>
      <c r="G35" s="166">
        <f t="shared" si="6"/>
        <v>3.8492877412829085E-2</v>
      </c>
      <c r="H35" s="165">
        <f>VLOOKUP($B35,'Data shares'!$C:$FB,66)</f>
        <v>31744500</v>
      </c>
      <c r="I35" s="165">
        <f>VLOOKUP($B35,'Data shares'!$C:$FB,67)</f>
        <v>9972500</v>
      </c>
      <c r="J35" s="81">
        <f t="shared" si="7"/>
        <v>218.32038104788168</v>
      </c>
      <c r="K35" s="5">
        <f>VLOOKUP($B35,'Data Vlaue (Cr)'!$C:$FB,99)</f>
        <v>2347</v>
      </c>
      <c r="L35" s="81">
        <f>VLOOKUP(B35,'OI(Value)'!$A$7:$C$209,3,0)</f>
        <v>87</v>
      </c>
      <c r="M35" s="33">
        <f t="shared" si="0"/>
        <v>3.7068598210481465</v>
      </c>
      <c r="N35" s="5">
        <f>VLOOKUP($B35,'Data Vlaue (Cr)'!$C:$FB,67)</f>
        <v>4032</v>
      </c>
      <c r="O35" s="5">
        <f>VLOOKUP($B35,'Data Vlaue (Cr)'!$C:$FB,68)</f>
        <v>1267</v>
      </c>
      <c r="P35" s="5">
        <f t="shared" si="8"/>
        <v>68.576388888888886</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Telecom</v>
      </c>
      <c r="B36" s="79" t="str">
        <f>'Data shares'!C31</f>
        <v>BHARTIARTL</v>
      </c>
      <c r="C36" s="4">
        <f>VLOOKUP($B36,'Data shares'!$C:$FB,7)</f>
        <v>1967.4</v>
      </c>
      <c r="D36" s="82">
        <f>VLOOKUP($B36,'Data shares'!$C:$FB,98)</f>
        <v>69732375</v>
      </c>
      <c r="E36" s="165">
        <f>VLOOKUP(B36,'Snapshot (Volume)'!$A$7:$G$168,7,0)</f>
        <v>69461625</v>
      </c>
      <c r="F36" s="165">
        <f t="shared" si="5"/>
        <v>270750</v>
      </c>
      <c r="G36" s="166">
        <f t="shared" si="6"/>
        <v>3.8978356754538926E-3</v>
      </c>
      <c r="H36" s="165">
        <f>VLOOKUP($B36,'Data shares'!$C:$FB,66)</f>
        <v>37887425</v>
      </c>
      <c r="I36" s="165">
        <f>VLOOKUP($B36,'Data shares'!$C:$FB,67)</f>
        <v>39036925</v>
      </c>
      <c r="J36" s="81">
        <f t="shared" si="7"/>
        <v>-2.944647919886108</v>
      </c>
      <c r="K36" s="5">
        <f>VLOOKUP($B36,'Data Vlaue (Cr)'!$C:$FB,99)</f>
        <v>13765</v>
      </c>
      <c r="L36" s="81">
        <f>VLOOKUP(B36,'OI(Value)'!$A$7:$C$209,3,0)</f>
        <v>53</v>
      </c>
      <c r="M36" s="33">
        <f t="shared" si="0"/>
        <v>0.3850345078096622</v>
      </c>
      <c r="N36" s="5">
        <f>VLOOKUP($B36,'Data Vlaue (Cr)'!$C:$FB,67)</f>
        <v>7479</v>
      </c>
      <c r="O36" s="5">
        <f>VLOOKUP($B36,'Data Vlaue (Cr)'!$C:$FB,68)</f>
        <v>7706</v>
      </c>
      <c r="P36" s="5">
        <f t="shared" si="8"/>
        <v>-3.0351651290279449</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Capital_Goods</v>
      </c>
      <c r="B37" s="79" t="str">
        <f>'Data shares'!C32</f>
        <v>BHEL</v>
      </c>
      <c r="C37" s="4">
        <f>VLOOKUP($B37,'Data shares'!$C:$FB,7)</f>
        <v>236.17</v>
      </c>
      <c r="D37" s="82">
        <f>VLOOKUP($B37,'Data shares'!$C:$FB,98)</f>
        <v>104070750</v>
      </c>
      <c r="E37" s="165">
        <f>VLOOKUP(B37,'Snapshot (Volume)'!$A$7:$G$168,7,0)</f>
        <v>103041750</v>
      </c>
      <c r="F37" s="165">
        <f t="shared" ref="F37:F43" si="9">D37-E37</f>
        <v>1029000</v>
      </c>
      <c r="G37" s="166">
        <f t="shared" ref="G37:G43" si="10">F37/E37</f>
        <v>9.9862434401589654E-3</v>
      </c>
      <c r="H37" s="165">
        <f>VLOOKUP($B37,'Data shares'!$C:$FB,66)</f>
        <v>40942125</v>
      </c>
      <c r="I37" s="165">
        <f>VLOOKUP($B37,'Data shares'!$C:$FB,67)</f>
        <v>54697125</v>
      </c>
      <c r="J37" s="81">
        <f t="shared" ref="J37:J43" si="11">(H37-I37)/I37*100</f>
        <v>-25.147574026971252</v>
      </c>
      <c r="K37" s="5">
        <f>VLOOKUP($B37,'Data Vlaue (Cr)'!$C:$FB,99)</f>
        <v>2465</v>
      </c>
      <c r="L37" s="81">
        <f>VLOOKUP(B37,'OI(Value)'!$A$7:$C$209,3,0)</f>
        <v>24</v>
      </c>
      <c r="M37" s="33">
        <f t="shared" ref="M37:M65" si="12">L37/K37*100</f>
        <v>0.97363083164300201</v>
      </c>
      <c r="N37" s="5">
        <f>VLOOKUP($B37,'Data Vlaue (Cr)'!$C:$FB,67)</f>
        <v>970</v>
      </c>
      <c r="O37" s="5">
        <f>VLOOKUP($B37,'Data Vlaue (Cr)'!$C:$FB,68)</f>
        <v>1296</v>
      </c>
      <c r="P37" s="5">
        <f t="shared" ref="P37:P43" si="13">(N37-O37)/N37*100</f>
        <v>-33.608247422680414</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Pharma</v>
      </c>
      <c r="B38" s="79" t="str">
        <f>'Data shares'!C33</f>
        <v>BIOCON</v>
      </c>
      <c r="C38" s="4">
        <f>VLOOKUP($B38,'Data shares'!$C:$FB,7)</f>
        <v>358.2</v>
      </c>
      <c r="D38" s="82">
        <f>VLOOKUP($B38,'Data shares'!$C:$FB,98)</f>
        <v>70332500</v>
      </c>
      <c r="E38" s="165">
        <f>VLOOKUP(B38,'Snapshot (Volume)'!$A$7:$G$168,7,0)</f>
        <v>71045000</v>
      </c>
      <c r="F38" s="165">
        <f t="shared" si="9"/>
        <v>-712500</v>
      </c>
      <c r="G38" s="166">
        <f t="shared" si="10"/>
        <v>-1.0028854951087339E-2</v>
      </c>
      <c r="H38" s="165">
        <f>VLOOKUP($B38,'Data shares'!$C:$FB,66)</f>
        <v>32860000</v>
      </c>
      <c r="I38" s="165">
        <f>VLOOKUP($B38,'Data shares'!$C:$FB,67)</f>
        <v>28850000</v>
      </c>
      <c r="J38" s="81">
        <f t="shared" si="11"/>
        <v>13.899480069324092</v>
      </c>
      <c r="K38" s="5">
        <f>VLOOKUP($B38,'Data Vlaue (Cr)'!$C:$FB,99)</f>
        <v>2530</v>
      </c>
      <c r="L38" s="81">
        <f>VLOOKUP(B38,'OI(Value)'!$A$7:$C$209,3,0)</f>
        <v>-26</v>
      </c>
      <c r="M38" s="33">
        <f t="shared" si="12"/>
        <v>-1.0276679841897234</v>
      </c>
      <c r="N38" s="5">
        <f>VLOOKUP($B38,'Data Vlaue (Cr)'!$C:$FB,67)</f>
        <v>1182</v>
      </c>
      <c r="O38" s="5">
        <f>VLOOKUP($B38,'Data Vlaue (Cr)'!$C:$FB,68)</f>
        <v>1038</v>
      </c>
      <c r="P38" s="5">
        <f t="shared" si="13"/>
        <v>12.18274111675127</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BLUESTARCO</v>
      </c>
      <c r="C39" s="4">
        <f>VLOOKUP($B39,'Data shares'!$C:$FB,7)</f>
        <v>1957.6</v>
      </c>
      <c r="D39" s="82">
        <f>VLOOKUP($B39,'Data shares'!$C:$FB,98)</f>
        <v>2827825</v>
      </c>
      <c r="E39" s="165">
        <f>VLOOKUP(B39,'Snapshot (Volume)'!$A$7:$G$168,7,0)</f>
        <v>2842125</v>
      </c>
      <c r="F39" s="165">
        <f t="shared" si="9"/>
        <v>-14300</v>
      </c>
      <c r="G39" s="166">
        <f t="shared" si="10"/>
        <v>-5.0314465408805029E-3</v>
      </c>
      <c r="H39" s="165">
        <f>VLOOKUP($B39,'Data shares'!$C:$FB,66)</f>
        <v>2702700</v>
      </c>
      <c r="I39" s="165">
        <f>VLOOKUP($B39,'Data shares'!$C:$FB,67)</f>
        <v>1370525</v>
      </c>
      <c r="J39" s="81">
        <f t="shared" si="11"/>
        <v>97.201802229072797</v>
      </c>
      <c r="K39" s="5">
        <f>VLOOKUP($B39,'Data Vlaue (Cr)'!$C:$FB,99)</f>
        <v>556</v>
      </c>
      <c r="L39" s="81">
        <f>VLOOKUP(B39,'OI(Value)'!$A$7:$C$209,3,0)</f>
        <v>-3</v>
      </c>
      <c r="M39" s="33">
        <f t="shared" si="12"/>
        <v>-0.53956834532374098</v>
      </c>
      <c r="N39" s="5">
        <f>VLOOKUP($B39,'Data Vlaue (Cr)'!$C:$FB,67)</f>
        <v>531</v>
      </c>
      <c r="O39" s="5">
        <f>VLOOKUP($B39,'Data Vlaue (Cr)'!$C:$FB,68)</f>
        <v>269</v>
      </c>
      <c r="P39" s="5">
        <f t="shared" si="13"/>
        <v>49.34086629001883</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BOSCHLTD</v>
      </c>
      <c r="C40" s="4">
        <f>VLOOKUP($B40,'Data shares'!$C:$FB,7)</f>
        <v>38510</v>
      </c>
      <c r="D40" s="82">
        <f>VLOOKUP($B40,'Data shares'!$C:$FB,98)</f>
        <v>388800</v>
      </c>
      <c r="E40" s="165">
        <f>VLOOKUP(B40,'Snapshot (Volume)'!$A$7:$G$168,7,0)</f>
        <v>390125</v>
      </c>
      <c r="F40" s="165">
        <f t="shared" si="9"/>
        <v>-1325</v>
      </c>
      <c r="G40" s="166">
        <f t="shared" si="10"/>
        <v>-3.3963473245754564E-3</v>
      </c>
      <c r="H40" s="165">
        <f>VLOOKUP($B40,'Data shares'!$C:$FB,66)</f>
        <v>136800</v>
      </c>
      <c r="I40" s="165">
        <f>VLOOKUP($B40,'Data shares'!$C:$FB,67)</f>
        <v>220050</v>
      </c>
      <c r="J40" s="81">
        <f t="shared" si="11"/>
        <v>-37.832310838445807</v>
      </c>
      <c r="K40" s="5">
        <f>VLOOKUP($B40,'Data Vlaue (Cr)'!$C:$FB,99)</f>
        <v>1500</v>
      </c>
      <c r="L40" s="81">
        <f>VLOOKUP(B40,'OI(Value)'!$A$7:$C$209,3,0)</f>
        <v>-5</v>
      </c>
      <c r="M40" s="33">
        <f t="shared" si="12"/>
        <v>-0.33333333333333337</v>
      </c>
      <c r="N40" s="5">
        <f>VLOOKUP($B40,'Data Vlaue (Cr)'!$C:$FB,67)</f>
        <v>528</v>
      </c>
      <c r="O40" s="5">
        <f>VLOOKUP($B40,'Data Vlaue (Cr)'!$C:$FB,68)</f>
        <v>849</v>
      </c>
      <c r="P40" s="5">
        <f t="shared" si="13"/>
        <v>-60.79545454545454</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Oil_Gas</v>
      </c>
      <c r="B41" s="79" t="str">
        <f>'Data shares'!C36</f>
        <v>BPCL</v>
      </c>
      <c r="C41" s="4">
        <f>VLOOKUP($B41,'Data shares'!$C:$FB,7)</f>
        <v>335.9</v>
      </c>
      <c r="D41" s="82">
        <f>VLOOKUP($B41,'Data shares'!$C:$FB,98)</f>
        <v>65706275</v>
      </c>
      <c r="E41" s="165">
        <f>VLOOKUP(B41,'Snapshot (Volume)'!$A$7:$G$168,7,0)</f>
        <v>62929425</v>
      </c>
      <c r="F41" s="165">
        <f t="shared" si="9"/>
        <v>2776850</v>
      </c>
      <c r="G41" s="166">
        <f t="shared" si="10"/>
        <v>4.4126416219439475E-2</v>
      </c>
      <c r="H41" s="165">
        <f>VLOOKUP($B41,'Data shares'!$C:$FB,66)</f>
        <v>34286000</v>
      </c>
      <c r="I41" s="165">
        <f>VLOOKUP($B41,'Data shares'!$C:$FB,67)</f>
        <v>64560775</v>
      </c>
      <c r="J41" s="81">
        <f t="shared" si="11"/>
        <v>-46.893450396157725</v>
      </c>
      <c r="K41" s="5">
        <f>VLOOKUP($B41,'Data Vlaue (Cr)'!$C:$FB,99)</f>
        <v>2215</v>
      </c>
      <c r="L41" s="81">
        <f>VLOOKUP(B41,'OI(Value)'!$A$7:$C$209,3,0)</f>
        <v>94</v>
      </c>
      <c r="M41" s="33">
        <f t="shared" si="12"/>
        <v>4.2437923250564333</v>
      </c>
      <c r="N41" s="5">
        <f>VLOOKUP($B41,'Data Vlaue (Cr)'!$C:$FB,67)</f>
        <v>1156</v>
      </c>
      <c r="O41" s="5">
        <f>VLOOKUP($B41,'Data Vlaue (Cr)'!$C:$FB,68)</f>
        <v>2177</v>
      </c>
      <c r="P41" s="5">
        <f t="shared" si="13"/>
        <v>-88.321799307958486</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FMCG</v>
      </c>
      <c r="B42" s="79" t="str">
        <f>'Data shares'!C37</f>
        <v>BRITANNIA</v>
      </c>
      <c r="C42" s="4">
        <f>VLOOKUP($B42,'Data shares'!$C:$FB,7)</f>
        <v>6025.5</v>
      </c>
      <c r="D42" s="82">
        <f>VLOOKUP($B42,'Data shares'!$C:$FB,98)</f>
        <v>5386250</v>
      </c>
      <c r="E42" s="165">
        <f>VLOOKUP(B42,'Snapshot (Volume)'!$A$7:$G$168,7,0)</f>
        <v>5466500</v>
      </c>
      <c r="F42" s="165">
        <f t="shared" si="9"/>
        <v>-80250</v>
      </c>
      <c r="G42" s="166">
        <f t="shared" si="10"/>
        <v>-1.4680325619683528E-2</v>
      </c>
      <c r="H42" s="165">
        <f>VLOOKUP($B42,'Data shares'!$C:$FB,66)</f>
        <v>4708875</v>
      </c>
      <c r="I42" s="165">
        <f>VLOOKUP($B42,'Data shares'!$C:$FB,67)</f>
        <v>1934250</v>
      </c>
      <c r="J42" s="81">
        <f t="shared" si="11"/>
        <v>143.44707250872432</v>
      </c>
      <c r="K42" s="5">
        <f>VLOOKUP($B42,'Data Vlaue (Cr)'!$C:$FB,99)</f>
        <v>3250</v>
      </c>
      <c r="L42" s="81">
        <f>VLOOKUP(B42,'OI(Value)'!$A$7:$C$209,3,0)</f>
        <v>-48</v>
      </c>
      <c r="M42" s="33">
        <f t="shared" si="12"/>
        <v>-1.4769230769230768</v>
      </c>
      <c r="N42" s="5">
        <f>VLOOKUP($B42,'Data Vlaue (Cr)'!$C:$FB,67)</f>
        <v>2841</v>
      </c>
      <c r="O42" s="5">
        <f>VLOOKUP($B42,'Data Vlaue (Cr)'!$C:$FB,68)</f>
        <v>1167</v>
      </c>
      <c r="P42" s="5">
        <f t="shared" si="13"/>
        <v>58.922914466737062</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Finance</v>
      </c>
      <c r="B43" s="79" t="str">
        <f>'Data shares'!C38</f>
        <v>BSE</v>
      </c>
      <c r="C43" s="4">
        <f>VLOOKUP($B43,'Data shares'!$C:$FB,7)</f>
        <v>2509.1999999999998</v>
      </c>
      <c r="D43" s="82">
        <f>VLOOKUP($B43,'Data shares'!$C:$FB,98)</f>
        <v>31581000</v>
      </c>
      <c r="E43" s="165">
        <f>VLOOKUP(B43,'Snapshot (Volume)'!$A$7:$G$168,7,0)</f>
        <v>32634375</v>
      </c>
      <c r="F43" s="165">
        <f t="shared" si="9"/>
        <v>-1053375</v>
      </c>
      <c r="G43" s="166">
        <f t="shared" si="10"/>
        <v>-3.2278081011203677E-2</v>
      </c>
      <c r="H43" s="165">
        <f>VLOOKUP($B43,'Data shares'!$C:$FB,66)</f>
        <v>69946500</v>
      </c>
      <c r="I43" s="165">
        <f>VLOOKUP($B43,'Data shares'!$C:$FB,67)</f>
        <v>23860125</v>
      </c>
      <c r="J43" s="81">
        <f t="shared" si="11"/>
        <v>193.15227812092351</v>
      </c>
      <c r="K43" s="5">
        <f>VLOOKUP($B43,'Data Vlaue (Cr)'!$C:$FB,99)</f>
        <v>7957</v>
      </c>
      <c r="L43" s="81">
        <f>VLOOKUP(B43,'OI(Value)'!$A$7:$C$209,3,0)</f>
        <v>-265</v>
      </c>
      <c r="M43" s="33">
        <f t="shared" si="12"/>
        <v>-3.3304009048636423</v>
      </c>
      <c r="N43" s="5">
        <f>VLOOKUP($B43,'Data Vlaue (Cr)'!$C:$FB,67)</f>
        <v>17624</v>
      </c>
      <c r="O43" s="5">
        <f>VLOOKUP($B43,'Data Vlaue (Cr)'!$C:$FB,68)</f>
        <v>6012</v>
      </c>
      <c r="P43" s="5">
        <f t="shared" si="13"/>
        <v>65.887426236949608</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CAMS</v>
      </c>
      <c r="C44" s="79">
        <f>VLOOKUP($B44,'Data shares'!$C:$FB,7)</f>
        <v>3830.8</v>
      </c>
      <c r="D44" s="165">
        <f>VLOOKUP($B44,'Data shares'!$C:$FB,98)</f>
        <v>4249800</v>
      </c>
      <c r="E44" s="165">
        <f>VLOOKUP(B44,'Snapshot (Volume)'!$A$7:$G$168,7,0)</f>
        <v>4162350</v>
      </c>
      <c r="F44" s="165">
        <f t="shared" ref="F44:F49" si="14">D44-E44</f>
        <v>87450</v>
      </c>
      <c r="G44" s="166">
        <f t="shared" ref="G44:G49" si="15">F44/E44</f>
        <v>2.1009766117697934E-2</v>
      </c>
      <c r="H44" s="165">
        <f>VLOOKUP($B44,'Data shares'!$C:$FB,66)</f>
        <v>1777350</v>
      </c>
      <c r="I44" s="165">
        <f>VLOOKUP($B44,'Data shares'!$C:$FB,67)</f>
        <v>2519250</v>
      </c>
      <c r="J44" s="81">
        <f t="shared" ref="J44:J49" si="16">(H44-I44)/I44*100</f>
        <v>-29.449240845489726</v>
      </c>
      <c r="K44" s="81">
        <f>VLOOKUP($B44,'Data Vlaue (Cr)'!$C:$FB,99)</f>
        <v>1630</v>
      </c>
      <c r="L44" s="81">
        <f>VLOOKUP(B44,'OI(Value)'!$A$7:$C$209,3,0)</f>
        <v>34</v>
      </c>
      <c r="M44" s="81">
        <f t="shared" si="12"/>
        <v>2.0858895705521472</v>
      </c>
      <c r="N44" s="81">
        <f>VLOOKUP($B44,'Data Vlaue (Cr)'!$C:$FB,67)</f>
        <v>682</v>
      </c>
      <c r="O44" s="81">
        <f>VLOOKUP($B44,'Data Vlaue (Cr)'!$C:$FB,68)</f>
        <v>966</v>
      </c>
      <c r="P44" s="81">
        <f t="shared" ref="P44:P49" si="17">(N44-O44)/N44*100</f>
        <v>-41.642228739002931</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Banking</v>
      </c>
      <c r="B45" s="79" t="str">
        <f>'Data shares'!C40</f>
        <v>CANBK</v>
      </c>
      <c r="C45" s="4">
        <f>VLOOKUP($B45,'Data shares'!$C:$FB,7)</f>
        <v>127.37</v>
      </c>
      <c r="D45" s="82">
        <f>VLOOKUP($B45,'Data shares'!$C:$FB,98)</f>
        <v>469820250</v>
      </c>
      <c r="E45" s="165">
        <f>VLOOKUP(B45,'Snapshot (Volume)'!$A$7:$G$168,7,0)</f>
        <v>456151500</v>
      </c>
      <c r="F45" s="165">
        <f t="shared" si="14"/>
        <v>13668750</v>
      </c>
      <c r="G45" s="166">
        <f t="shared" si="15"/>
        <v>2.9965373346355323E-2</v>
      </c>
      <c r="H45" s="165">
        <f>VLOOKUP($B45,'Data shares'!$C:$FB,66)</f>
        <v>344304000</v>
      </c>
      <c r="I45" s="165">
        <f>VLOOKUP($B45,'Data shares'!$C:$FB,67)</f>
        <v>271626750</v>
      </c>
      <c r="J45" s="81">
        <f t="shared" si="16"/>
        <v>26.756293332670662</v>
      </c>
      <c r="K45" s="5">
        <f>VLOOKUP($B45,'Data Vlaue (Cr)'!$C:$FB,99)</f>
        <v>5994</v>
      </c>
      <c r="L45" s="81">
        <f>VLOOKUP(B45,'OI(Value)'!$A$7:$C$209,3,0)</f>
        <v>174</v>
      </c>
      <c r="M45" s="33">
        <f t="shared" si="12"/>
        <v>2.9029029029029032</v>
      </c>
      <c r="N45" s="5">
        <f>VLOOKUP($B45,'Data Vlaue (Cr)'!$C:$FB,67)</f>
        <v>4393</v>
      </c>
      <c r="O45" s="5">
        <f>VLOOKUP($B45,'Data Vlaue (Cr)'!$C:$FB,68)</f>
        <v>3465</v>
      </c>
      <c r="P45" s="5">
        <f t="shared" si="17"/>
        <v>21.12451627589347</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CDSL</v>
      </c>
      <c r="C46" s="4">
        <f>VLOOKUP($B46,'Data shares'!$C:$FB,7)</f>
        <v>1620.3</v>
      </c>
      <c r="D46" s="82">
        <f>VLOOKUP($B46,'Data shares'!$C:$FB,98)</f>
        <v>19387125</v>
      </c>
      <c r="E46" s="165">
        <f>VLOOKUP(B46,'Snapshot (Volume)'!$A$7:$G$168,7,0)</f>
        <v>19199025</v>
      </c>
      <c r="F46" s="165">
        <f t="shared" si="14"/>
        <v>188100</v>
      </c>
      <c r="G46" s="166">
        <f t="shared" si="15"/>
        <v>9.7973725228234238E-3</v>
      </c>
      <c r="H46" s="165">
        <f>VLOOKUP($B46,'Data shares'!$C:$FB,66)</f>
        <v>13205000</v>
      </c>
      <c r="I46" s="165">
        <f>VLOOKUP($B46,'Data shares'!$C:$FB,67)</f>
        <v>17582125</v>
      </c>
      <c r="J46" s="81">
        <f t="shared" si="16"/>
        <v>-24.895312711063085</v>
      </c>
      <c r="K46" s="5">
        <f>VLOOKUP($B46,'Data Vlaue (Cr)'!$C:$FB,99)</f>
        <v>3152</v>
      </c>
      <c r="L46" s="81">
        <f>VLOOKUP(B46,'OI(Value)'!$A$7:$C$209,3,0)</f>
        <v>31</v>
      </c>
      <c r="M46" s="33">
        <f t="shared" si="12"/>
        <v>0.98350253807106602</v>
      </c>
      <c r="N46" s="5">
        <f>VLOOKUP($B46,'Data Vlaue (Cr)'!$C:$FB,67)</f>
        <v>2147</v>
      </c>
      <c r="O46" s="5">
        <f>VLOOKUP($B46,'Data Vlaue (Cr)'!$C:$FB,68)</f>
        <v>2858</v>
      </c>
      <c r="P46" s="5">
        <f t="shared" si="17"/>
        <v>-33.115975780158365</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Power</v>
      </c>
      <c r="B47" s="79" t="str">
        <f>'Data shares'!C42</f>
        <v>CGPOWER</v>
      </c>
      <c r="C47" s="4">
        <f>VLOOKUP($B47,'Data shares'!$C:$FB,7)</f>
        <v>760.6</v>
      </c>
      <c r="D47" s="82">
        <f>VLOOKUP($B47,'Data shares'!$C:$FB,98)</f>
        <v>27587600</v>
      </c>
      <c r="E47" s="165">
        <f>VLOOKUP(B47,'Snapshot (Volume)'!$A$7:$G$168,7,0)</f>
        <v>28029600</v>
      </c>
      <c r="F47" s="165">
        <f t="shared" si="14"/>
        <v>-442000</v>
      </c>
      <c r="G47" s="166">
        <f t="shared" si="15"/>
        <v>-1.5769044153323631E-2</v>
      </c>
      <c r="H47" s="165">
        <f>VLOOKUP($B47,'Data shares'!$C:$FB,66)</f>
        <v>11680700</v>
      </c>
      <c r="I47" s="165">
        <f>VLOOKUP($B47,'Data shares'!$C:$FB,67)</f>
        <v>11653500</v>
      </c>
      <c r="J47" s="81">
        <f t="shared" si="16"/>
        <v>0.23340627279358131</v>
      </c>
      <c r="K47" s="5">
        <f>VLOOKUP($B47,'Data Vlaue (Cr)'!$C:$FB,99)</f>
        <v>2106</v>
      </c>
      <c r="L47" s="81">
        <f>VLOOKUP(B47,'OI(Value)'!$A$7:$C$209,3,0)</f>
        <v>-34</v>
      </c>
      <c r="M47" s="33">
        <f t="shared" si="12"/>
        <v>-1.6144349477682813</v>
      </c>
      <c r="N47" s="5">
        <f>VLOOKUP($B47,'Data Vlaue (Cr)'!$C:$FB,67)</f>
        <v>892</v>
      </c>
      <c r="O47" s="5">
        <f>VLOOKUP($B47,'Data Vlaue (Cr)'!$C:$FB,68)</f>
        <v>890</v>
      </c>
      <c r="P47" s="5">
        <f t="shared" si="17"/>
        <v>0.22421524663677131</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CHOLAFIN</v>
      </c>
      <c r="C48" s="4">
        <f>VLOOKUP($B48,'Data shares'!$C:$FB,7)</f>
        <v>1668.1</v>
      </c>
      <c r="D48" s="82">
        <f>VLOOKUP($B48,'Data shares'!$C:$FB,98)</f>
        <v>25354375</v>
      </c>
      <c r="E48" s="165">
        <f>VLOOKUP(B48,'Snapshot (Volume)'!$A$7:$G$168,7,0)</f>
        <v>22866250</v>
      </c>
      <c r="F48" s="165">
        <f t="shared" si="14"/>
        <v>2488125</v>
      </c>
      <c r="G48" s="166">
        <f t="shared" si="15"/>
        <v>0.10881211392335866</v>
      </c>
      <c r="H48" s="165">
        <f>VLOOKUP($B48,'Data shares'!$C:$FB,66)</f>
        <v>23078750</v>
      </c>
      <c r="I48" s="165">
        <f>VLOOKUP($B48,'Data shares'!$C:$FB,67)</f>
        <v>25111875</v>
      </c>
      <c r="J48" s="81">
        <f t="shared" si="16"/>
        <v>-8.0962691953508052</v>
      </c>
      <c r="K48" s="5">
        <f>VLOOKUP($B48,'Data Vlaue (Cr)'!$C:$FB,99)</f>
        <v>4217</v>
      </c>
      <c r="L48" s="81">
        <f>VLOOKUP(B48,'OI(Value)'!$A$7:$C$209,3,0)</f>
        <v>414</v>
      </c>
      <c r="M48" s="33">
        <f t="shared" si="12"/>
        <v>9.8174057386767846</v>
      </c>
      <c r="N48" s="5">
        <f>VLOOKUP($B48,'Data Vlaue (Cr)'!$C:$FB,67)</f>
        <v>3838</v>
      </c>
      <c r="O48" s="5">
        <f>VLOOKUP($B48,'Data Vlaue (Cr)'!$C:$FB,68)</f>
        <v>4176</v>
      </c>
      <c r="P48" s="5">
        <f t="shared" si="17"/>
        <v>-8.8066701406982801</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Pharma</v>
      </c>
      <c r="B49" s="79" t="str">
        <f>'Data shares'!C44</f>
        <v>CIPLA</v>
      </c>
      <c r="C49" s="4">
        <f>VLOOKUP($B49,'Data shares'!$C:$FB,7)</f>
        <v>1569.4</v>
      </c>
      <c r="D49" s="82">
        <f>VLOOKUP($B49,'Data shares'!$C:$FB,98)</f>
        <v>23051250</v>
      </c>
      <c r="E49" s="165">
        <f>VLOOKUP(B49,'Snapshot (Volume)'!$A$7:$G$168,7,0)</f>
        <v>22213875</v>
      </c>
      <c r="F49" s="165">
        <f t="shared" si="14"/>
        <v>837375</v>
      </c>
      <c r="G49" s="166">
        <f t="shared" si="15"/>
        <v>3.7696034572986481E-2</v>
      </c>
      <c r="H49" s="165">
        <f>VLOOKUP($B49,'Data shares'!$C:$FB,66)</f>
        <v>9226500</v>
      </c>
      <c r="I49" s="165">
        <f>VLOOKUP($B49,'Data shares'!$C:$FB,67)</f>
        <v>9076125</v>
      </c>
      <c r="J49" s="81">
        <f t="shared" si="16"/>
        <v>1.6568194025534024</v>
      </c>
      <c r="K49" s="5">
        <f>VLOOKUP($B49,'Data Vlaue (Cr)'!$C:$FB,99)</f>
        <v>3624</v>
      </c>
      <c r="L49" s="81">
        <f>VLOOKUP(B49,'OI(Value)'!$A$7:$C$209,3,0)</f>
        <v>132</v>
      </c>
      <c r="M49" s="33">
        <f t="shared" si="12"/>
        <v>3.6423841059602649</v>
      </c>
      <c r="N49" s="5">
        <f>VLOOKUP($B49,'Data Vlaue (Cr)'!$C:$FB,67)</f>
        <v>1451</v>
      </c>
      <c r="O49" s="5">
        <f>VLOOKUP($B49,'Data Vlaue (Cr)'!$C:$FB,68)</f>
        <v>1427</v>
      </c>
      <c r="P49" s="5">
        <f t="shared" si="17"/>
        <v>1.6540317022742934</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Metals</v>
      </c>
      <c r="B50" s="79" t="str">
        <f>'Data shares'!C45</f>
        <v>COALINDIA</v>
      </c>
      <c r="C50" s="4">
        <f>VLOOKUP($B50,'Data shares'!$C:$FB,7)</f>
        <v>387.6</v>
      </c>
      <c r="D50" s="82">
        <f>VLOOKUP($B50,'Data shares'!$C:$FB,98)</f>
        <v>120320100</v>
      </c>
      <c r="E50" s="165">
        <f>VLOOKUP(B50,'Snapshot (Volume)'!$A$7:$G$168,7,0)</f>
        <v>120933000</v>
      </c>
      <c r="F50" s="165">
        <f>D50-E50</f>
        <v>-612900</v>
      </c>
      <c r="G50" s="166">
        <f>F50/E50</f>
        <v>-5.0680955570439829E-3</v>
      </c>
      <c r="H50" s="165">
        <f>VLOOKUP($B50,'Data shares'!$C:$FB,66)</f>
        <v>37837800</v>
      </c>
      <c r="I50" s="165">
        <f>VLOOKUP($B50,'Data shares'!$C:$FB,67)</f>
        <v>40883400</v>
      </c>
      <c r="J50" s="81">
        <f>(H50-I50)/I50*100</f>
        <v>-7.4494782723550399</v>
      </c>
      <c r="K50" s="5">
        <f>VLOOKUP($B50,'Data Vlaue (Cr)'!$C:$FB,99)</f>
        <v>4679</v>
      </c>
      <c r="L50" s="81">
        <f>VLOOKUP(B50,'OI(Value)'!$A$7:$C$209,3,0)</f>
        <v>-24</v>
      </c>
      <c r="M50" s="33">
        <f t="shared" si="12"/>
        <v>-0.51293011327206672</v>
      </c>
      <c r="N50" s="5">
        <f>VLOOKUP($B50,'Data Vlaue (Cr)'!$C:$FB,67)</f>
        <v>1471</v>
      </c>
      <c r="O50" s="5">
        <f>VLOOKUP($B50,'Data Vlaue (Cr)'!$C:$FB,68)</f>
        <v>1590</v>
      </c>
      <c r="P50" s="5">
        <f>(N50-O50)/N50*100</f>
        <v>-8.089734874235214</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Technology</v>
      </c>
      <c r="B51" s="79" t="str">
        <f>'Data shares'!C46</f>
        <v>COFORGE</v>
      </c>
      <c r="C51" s="4">
        <f>VLOOKUP($B51,'Data shares'!$C:$FB,7)</f>
        <v>1761.5</v>
      </c>
      <c r="D51" s="82">
        <f>VLOOKUP($B51,'Data shares'!$C:$FB,98)</f>
        <v>20100750</v>
      </c>
      <c r="E51" s="165">
        <f>VLOOKUP(B51,'Snapshot (Volume)'!$A$7:$G$168,7,0)</f>
        <v>19950375</v>
      </c>
      <c r="F51" s="165">
        <f>D51-E51</f>
        <v>150375</v>
      </c>
      <c r="G51" s="166">
        <f>F51/E51</f>
        <v>7.5374523035281289E-3</v>
      </c>
      <c r="H51" s="165">
        <f>VLOOKUP($B51,'Data shares'!$C:$FB,66)</f>
        <v>7384500</v>
      </c>
      <c r="I51" s="165">
        <f>VLOOKUP($B51,'Data shares'!$C:$FB,67)</f>
        <v>27365625</v>
      </c>
      <c r="J51" s="81">
        <f>(H51-I51)/I51*100</f>
        <v>-73.015416238437822</v>
      </c>
      <c r="K51" s="5">
        <f>VLOOKUP($B51,'Data Vlaue (Cr)'!$C:$FB,99)</f>
        <v>3550</v>
      </c>
      <c r="L51" s="81">
        <f>VLOOKUP(B51,'OI(Value)'!$A$7:$C$209,3,0)</f>
        <v>27</v>
      </c>
      <c r="M51" s="33">
        <f t="shared" si="12"/>
        <v>0.76056338028169013</v>
      </c>
      <c r="N51" s="5">
        <f>VLOOKUP($B51,'Data Vlaue (Cr)'!$C:$FB,67)</f>
        <v>1304</v>
      </c>
      <c r="O51" s="5">
        <f>VLOOKUP($B51,'Data Vlaue (Cr)'!$C:$FB,68)</f>
        <v>4833</v>
      </c>
      <c r="P51" s="5">
        <f>(N51-O51)/N51*100</f>
        <v>-270.62883435582819</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FMCG</v>
      </c>
      <c r="B52" s="79" t="str">
        <f>'Data shares'!C47</f>
        <v>COLPAL</v>
      </c>
      <c r="C52" s="79">
        <f>VLOOKUP($B52,'Data shares'!$C:$FB,7)</f>
        <v>2285.8000000000002</v>
      </c>
      <c r="D52" s="80">
        <f>VLOOKUP($B52,'Data shares'!$C:$FB,98)</f>
        <v>8122050</v>
      </c>
      <c r="E52" s="165">
        <f>VLOOKUP(B52,'Snapshot (Volume)'!$A$7:$G$168,7,0)</f>
        <v>8813475</v>
      </c>
      <c r="F52" s="165">
        <f t="shared" ref="F52:F68" si="18">D52-E52</f>
        <v>-691425</v>
      </c>
      <c r="G52" s="166">
        <f t="shared" ref="G52:G68" si="19">F52/E52</f>
        <v>-7.8450894794618461E-2</v>
      </c>
      <c r="H52" s="165">
        <f>VLOOKUP($B52,'Data shares'!$C:$FB,66)</f>
        <v>8202600</v>
      </c>
      <c r="I52" s="165">
        <f>VLOOKUP($B52,'Data shares'!$C:$FB,67)</f>
        <v>3182625</v>
      </c>
      <c r="J52" s="81">
        <f t="shared" ref="J52:J68" si="20">(H52-I52)/I52*100</f>
        <v>157.7306468716861</v>
      </c>
      <c r="K52" s="81">
        <f>VLOOKUP($B52,'Data Vlaue (Cr)'!$C:$FB,99)</f>
        <v>1863</v>
      </c>
      <c r="L52" s="81">
        <f>VLOOKUP(B52,'OI(Value)'!$A$7:$C$209,3,0)</f>
        <v>-159</v>
      </c>
      <c r="M52" s="81">
        <f t="shared" si="12"/>
        <v>-8.5346215780998396</v>
      </c>
      <c r="N52" s="81">
        <f>VLOOKUP($B52,'Data Vlaue (Cr)'!$C:$FB,67)</f>
        <v>1882</v>
      </c>
      <c r="O52" s="81">
        <f>VLOOKUP($B52,'Data Vlaue (Cr)'!$C:$FB,68)</f>
        <v>730</v>
      </c>
      <c r="P52" s="81">
        <f t="shared" ref="P52:P68" si="21">(N52-O52)/N52*100</f>
        <v>61.211477151966001</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CONCOR</v>
      </c>
      <c r="C53" s="4">
        <f>VLOOKUP($B53,'Data shares'!$C:$FB,7)</f>
        <v>534.1</v>
      </c>
      <c r="D53" s="82">
        <f>VLOOKUP($B53,'Data shares'!$C:$FB,98)</f>
        <v>46612500</v>
      </c>
      <c r="E53" s="165">
        <f>VLOOKUP(B53,'Snapshot (Volume)'!$A$7:$G$168,7,0)</f>
        <v>47510000</v>
      </c>
      <c r="F53" s="165">
        <f t="shared" si="18"/>
        <v>-897500</v>
      </c>
      <c r="G53" s="166">
        <f t="shared" si="19"/>
        <v>-1.8890759840033678E-2</v>
      </c>
      <c r="H53" s="165">
        <f>VLOOKUP($B53,'Data shares'!$C:$FB,66)</f>
        <v>10711250</v>
      </c>
      <c r="I53" s="165">
        <f>VLOOKUP($B53,'Data shares'!$C:$FB,67)</f>
        <v>9806250</v>
      </c>
      <c r="J53" s="81">
        <f t="shared" si="20"/>
        <v>9.2288081580624599</v>
      </c>
      <c r="K53" s="5">
        <f>VLOOKUP($B53,'Data Vlaue (Cr)'!$C:$FB,99)</f>
        <v>2498</v>
      </c>
      <c r="L53" s="81">
        <f>VLOOKUP(B53,'OI(Value)'!$A$7:$C$209,3,0)</f>
        <v>-48</v>
      </c>
      <c r="M53" s="33">
        <f t="shared" si="12"/>
        <v>-1.9215372297838269</v>
      </c>
      <c r="N53" s="5">
        <f>VLOOKUP($B53,'Data Vlaue (Cr)'!$C:$FB,67)</f>
        <v>574</v>
      </c>
      <c r="O53" s="5">
        <f>VLOOKUP($B53,'Data Vlaue (Cr)'!$C:$FB,68)</f>
        <v>526</v>
      </c>
      <c r="P53" s="5">
        <f t="shared" si="21"/>
        <v>8.3623693379790947</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Capital_Goods</v>
      </c>
      <c r="B54" s="79" t="str">
        <f>'Data shares'!C49</f>
        <v>CROMPTON</v>
      </c>
      <c r="C54" s="4">
        <f>VLOOKUP($B54,'Data shares'!$C:$FB,7)</f>
        <v>288.60000000000002</v>
      </c>
      <c r="D54" s="82">
        <f>VLOOKUP($B54,'Data shares'!$C:$FB,98)</f>
        <v>83748600</v>
      </c>
      <c r="E54" s="165">
        <f>VLOOKUP(B54,'Snapshot (Volume)'!$A$7:$G$168,7,0)</f>
        <v>83696400</v>
      </c>
      <c r="F54" s="165">
        <f t="shared" si="18"/>
        <v>52200</v>
      </c>
      <c r="G54" s="166">
        <f t="shared" si="19"/>
        <v>6.2368273904253948E-4</v>
      </c>
      <c r="H54" s="165">
        <f>VLOOKUP($B54,'Data shares'!$C:$FB,66)</f>
        <v>22019400</v>
      </c>
      <c r="I54" s="165">
        <f>VLOOKUP($B54,'Data shares'!$C:$FB,67)</f>
        <v>42003000</v>
      </c>
      <c r="J54" s="81">
        <f t="shared" si="20"/>
        <v>-47.576601671309191</v>
      </c>
      <c r="K54" s="5">
        <f>VLOOKUP($B54,'Data Vlaue (Cr)'!$C:$FB,99)</f>
        <v>2428</v>
      </c>
      <c r="L54" s="81">
        <f>VLOOKUP(B54,'OI(Value)'!$A$7:$C$209,3,0)</f>
        <v>2</v>
      </c>
      <c r="M54" s="33">
        <f t="shared" si="12"/>
        <v>8.2372322899505773E-2</v>
      </c>
      <c r="N54" s="5">
        <f>VLOOKUP($B54,'Data Vlaue (Cr)'!$C:$FB,67)</f>
        <v>638</v>
      </c>
      <c r="O54" s="5">
        <f>VLOOKUP($B54,'Data Vlaue (Cr)'!$C:$FB,68)</f>
        <v>1218</v>
      </c>
      <c r="P54" s="5">
        <f t="shared" si="21"/>
        <v>-90.909090909090907</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CUMMINSIND</v>
      </c>
      <c r="C55" s="4">
        <f>VLOOKUP($B55,'Data shares'!$C:$FB,7)</f>
        <v>3940.6</v>
      </c>
      <c r="D55" s="82">
        <f>VLOOKUP($B55,'Data shares'!$C:$FB,98)</f>
        <v>4383600</v>
      </c>
      <c r="E55" s="165">
        <f>VLOOKUP(B55,'Snapshot (Volume)'!$A$7:$G$168,7,0)</f>
        <v>4282200</v>
      </c>
      <c r="F55" s="165">
        <f t="shared" si="18"/>
        <v>101400</v>
      </c>
      <c r="G55" s="166">
        <f t="shared" si="19"/>
        <v>2.3679417122040074E-2</v>
      </c>
      <c r="H55" s="165">
        <f>VLOOKUP($B55,'Data shares'!$C:$FB,66)</f>
        <v>2153200</v>
      </c>
      <c r="I55" s="165">
        <f>VLOOKUP($B55,'Data shares'!$C:$FB,67)</f>
        <v>1435600</v>
      </c>
      <c r="J55" s="81">
        <f t="shared" si="20"/>
        <v>49.986068542769573</v>
      </c>
      <c r="K55" s="5">
        <f>VLOOKUP($B55,'Data Vlaue (Cr)'!$C:$FB,99)</f>
        <v>1732</v>
      </c>
      <c r="L55" s="81">
        <f>VLOOKUP(B55,'OI(Value)'!$A$7:$C$209,3,0)</f>
        <v>40</v>
      </c>
      <c r="M55" s="33">
        <f t="shared" si="12"/>
        <v>2.3094688221709005</v>
      </c>
      <c r="N55" s="5">
        <f>VLOOKUP($B55,'Data Vlaue (Cr)'!$C:$FB,67)</f>
        <v>851</v>
      </c>
      <c r="O55" s="5">
        <f>VLOOKUP($B55,'Data Vlaue (Cr)'!$C:$FB,68)</f>
        <v>567</v>
      </c>
      <c r="P55" s="5">
        <f t="shared" si="21"/>
        <v>33.372502937720327</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Technology</v>
      </c>
      <c r="B56" s="79" t="str">
        <f>'Data shares'!C51</f>
        <v>CYIENT</v>
      </c>
      <c r="C56" s="4">
        <f>VLOOKUP($B56,'Data shares'!$C:$FB,7)</f>
        <v>1180.5999999999999</v>
      </c>
      <c r="D56" s="82">
        <f>VLOOKUP($B56,'Data shares'!$C:$FB,98)</f>
        <v>11398925</v>
      </c>
      <c r="E56" s="165">
        <f>VLOOKUP(B56,'Snapshot (Volume)'!$A$7:$G$168,7,0)</f>
        <v>8825550</v>
      </c>
      <c r="F56" s="165">
        <f t="shared" si="18"/>
        <v>2573375</v>
      </c>
      <c r="G56" s="166">
        <f t="shared" si="19"/>
        <v>0.29158239429837235</v>
      </c>
      <c r="H56" s="165">
        <f>VLOOKUP($B56,'Data shares'!$C:$FB,66)</f>
        <v>43571425</v>
      </c>
      <c r="I56" s="165">
        <f>VLOOKUP($B56,'Data shares'!$C:$FB,67)</f>
        <v>10084400</v>
      </c>
      <c r="J56" s="81">
        <f t="shared" si="20"/>
        <v>332.06759946055297</v>
      </c>
      <c r="K56" s="5">
        <f>VLOOKUP($B56,'Data Vlaue (Cr)'!$C:$FB,99)</f>
        <v>1336</v>
      </c>
      <c r="L56" s="81">
        <f>VLOOKUP(B56,'OI(Value)'!$A$7:$C$209,3,0)</f>
        <v>302</v>
      </c>
      <c r="M56" s="33">
        <f t="shared" si="12"/>
        <v>22.604790419161677</v>
      </c>
      <c r="N56" s="5">
        <f>VLOOKUP($B56,'Data Vlaue (Cr)'!$C:$FB,67)</f>
        <v>5107</v>
      </c>
      <c r="O56" s="5">
        <f>VLOOKUP($B56,'Data Vlaue (Cr)'!$C:$FB,68)</f>
        <v>1182</v>
      </c>
      <c r="P56" s="5">
        <f t="shared" si="21"/>
        <v>76.855296651654598</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500.75</v>
      </c>
      <c r="D57" s="82">
        <f>VLOOKUP($B57,'Data shares'!$C:$FB,98)</f>
        <v>49560000</v>
      </c>
      <c r="E57" s="165">
        <f>VLOOKUP(B57,'Snapshot (Volume)'!$A$7:$G$168,7,0)</f>
        <v>53431250</v>
      </c>
      <c r="F57" s="165">
        <f t="shared" si="18"/>
        <v>-3871250</v>
      </c>
      <c r="G57" s="166">
        <f t="shared" si="19"/>
        <v>-7.2452918469996491E-2</v>
      </c>
      <c r="H57" s="165">
        <f>VLOOKUP($B57,'Data shares'!$C:$FB,66)</f>
        <v>27111250</v>
      </c>
      <c r="I57" s="165">
        <f>VLOOKUP($B57,'Data shares'!$C:$FB,67)</f>
        <v>18115000</v>
      </c>
      <c r="J57" s="81">
        <f t="shared" si="20"/>
        <v>49.661882417885728</v>
      </c>
      <c r="K57" s="5">
        <f>VLOOKUP($B57,'Data Vlaue (Cr)'!$C:$FB,99)</f>
        <v>2484</v>
      </c>
      <c r="L57" s="81">
        <f>VLOOKUP(B57,'OI(Value)'!$A$7:$C$209,3,0)</f>
        <v>-194</v>
      </c>
      <c r="M57" s="33">
        <f t="shared" si="12"/>
        <v>-7.8099838969404187</v>
      </c>
      <c r="N57" s="5">
        <f>VLOOKUP($B57,'Data Vlaue (Cr)'!$C:$FB,67)</f>
        <v>1359</v>
      </c>
      <c r="O57" s="5">
        <f>VLOOKUP($B57,'Data Vlaue (Cr)'!$C:$FB,68)</f>
        <v>908</v>
      </c>
      <c r="P57" s="5">
        <f t="shared" si="21"/>
        <v>33.186166298749079</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2224.4</v>
      </c>
      <c r="D58" s="82">
        <f>VLOOKUP($B58,'Data shares'!$C:$FB,98)</f>
        <v>3488225</v>
      </c>
      <c r="E58" s="165">
        <f>VLOOKUP(B58,'Snapshot (Volume)'!$A$7:$G$168,7,0)</f>
        <v>3521375</v>
      </c>
      <c r="F58" s="165">
        <f t="shared" si="18"/>
        <v>-33150</v>
      </c>
      <c r="G58" s="166">
        <f t="shared" si="19"/>
        <v>-9.4139363174896174E-3</v>
      </c>
      <c r="H58" s="165">
        <f>VLOOKUP($B58,'Data shares'!$C:$FB,66)</f>
        <v>1019850</v>
      </c>
      <c r="I58" s="165">
        <f>VLOOKUP($B58,'Data shares'!$C:$FB,67)</f>
        <v>1117025</v>
      </c>
      <c r="J58" s="81">
        <f t="shared" si="20"/>
        <v>-8.6994471923188819</v>
      </c>
      <c r="K58" s="5">
        <f>VLOOKUP($B58,'Data Vlaue (Cr)'!$C:$FB,99)</f>
        <v>777</v>
      </c>
      <c r="L58" s="81">
        <f>VLOOKUP(B58,'OI(Value)'!$A$7:$C$209,3,0)</f>
        <v>-7</v>
      </c>
      <c r="M58" s="33">
        <f t="shared" si="12"/>
        <v>-0.90090090090090091</v>
      </c>
      <c r="N58" s="5">
        <f>VLOOKUP($B58,'Data Vlaue (Cr)'!$C:$FB,67)</f>
        <v>227</v>
      </c>
      <c r="O58" s="5">
        <f>VLOOKUP($B58,'Data Vlaue (Cr)'!$C:$FB,68)</f>
        <v>249</v>
      </c>
      <c r="P58" s="5">
        <f t="shared" si="21"/>
        <v>-9.6916299559471373</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446.8</v>
      </c>
      <c r="D59" s="82">
        <f>VLOOKUP($B59,'Data shares'!$C:$FB,98)</f>
        <v>38671775</v>
      </c>
      <c r="E59" s="165">
        <f>VLOOKUP(B59,'Snapshot (Volume)'!$A$7:$G$168,7,0)</f>
        <v>36327025</v>
      </c>
      <c r="F59" s="165">
        <f t="shared" si="18"/>
        <v>2344750</v>
      </c>
      <c r="G59" s="166">
        <f t="shared" si="19"/>
        <v>6.4545610327297651E-2</v>
      </c>
      <c r="H59" s="165">
        <f>VLOOKUP($B59,'Data shares'!$C:$FB,66)</f>
        <v>34015475</v>
      </c>
      <c r="I59" s="165">
        <f>VLOOKUP($B59,'Data shares'!$C:$FB,67)</f>
        <v>22457725</v>
      </c>
      <c r="J59" s="81">
        <f t="shared" si="20"/>
        <v>51.464473805783982</v>
      </c>
      <c r="K59" s="5">
        <f>VLOOKUP($B59,'Data Vlaue (Cr)'!$C:$FB,99)</f>
        <v>1734</v>
      </c>
      <c r="L59" s="81">
        <f>VLOOKUP(B59,'OI(Value)'!$A$7:$C$209,3,0)</f>
        <v>105</v>
      </c>
      <c r="M59" s="33">
        <f t="shared" si="12"/>
        <v>6.0553633217993079</v>
      </c>
      <c r="N59" s="5">
        <f>VLOOKUP($B59,'Data Vlaue (Cr)'!$C:$FB,67)</f>
        <v>1526</v>
      </c>
      <c r="O59" s="5">
        <f>VLOOKUP($B59,'Data Vlaue (Cr)'!$C:$FB,68)</f>
        <v>1007</v>
      </c>
      <c r="P59" s="5">
        <f t="shared" si="21"/>
        <v>34.010484927916117</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6600.5</v>
      </c>
      <c r="D60" s="82">
        <f>VLOOKUP($B60,'Data shares'!$C:$FB,98)</f>
        <v>6257000</v>
      </c>
      <c r="E60" s="165">
        <f>VLOOKUP(B60,'Snapshot (Volume)'!$A$7:$G$168,7,0)</f>
        <v>6226900</v>
      </c>
      <c r="F60" s="165">
        <f t="shared" si="18"/>
        <v>30100</v>
      </c>
      <c r="G60" s="166">
        <f t="shared" si="19"/>
        <v>4.8338659686200198E-3</v>
      </c>
      <c r="H60" s="165">
        <f>VLOOKUP($B60,'Data shares'!$C:$FB,66)</f>
        <v>4802900</v>
      </c>
      <c r="I60" s="165">
        <f>VLOOKUP($B60,'Data shares'!$C:$FB,67)</f>
        <v>3412900</v>
      </c>
      <c r="J60" s="81">
        <f t="shared" si="20"/>
        <v>40.727826774883532</v>
      </c>
      <c r="K60" s="5">
        <f>VLOOKUP($B60,'Data Vlaue (Cr)'!$C:$FB,99)</f>
        <v>4139</v>
      </c>
      <c r="L60" s="81">
        <f>VLOOKUP(B60,'OI(Value)'!$A$7:$C$209,3,0)</f>
        <v>20</v>
      </c>
      <c r="M60" s="33">
        <f t="shared" si="12"/>
        <v>0.48320850446967867</v>
      </c>
      <c r="N60" s="5">
        <f>VLOOKUP($B60,'Data Vlaue (Cr)'!$C:$FB,67)</f>
        <v>3177</v>
      </c>
      <c r="O60" s="5">
        <f>VLOOKUP($B60,'Data Vlaue (Cr)'!$C:$FB,68)</f>
        <v>2258</v>
      </c>
      <c r="P60" s="5">
        <f t="shared" si="21"/>
        <v>28.926660371419576</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16844</v>
      </c>
      <c r="D61" s="82">
        <f>VLOOKUP($B61,'Data shares'!$C:$FB,98)</f>
        <v>3578700</v>
      </c>
      <c r="E61" s="165">
        <f>VLOOKUP(B61,'Snapshot (Volume)'!$A$7:$G$168,7,0)</f>
        <v>3553000</v>
      </c>
      <c r="F61" s="165">
        <f t="shared" si="18"/>
        <v>25700</v>
      </c>
      <c r="G61" s="166">
        <f t="shared" si="19"/>
        <v>7.2333239515902058E-3</v>
      </c>
      <c r="H61" s="165">
        <f>VLOOKUP($B61,'Data shares'!$C:$FB,66)</f>
        <v>2872350</v>
      </c>
      <c r="I61" s="165">
        <f>VLOOKUP($B61,'Data shares'!$C:$FB,67)</f>
        <v>4622550</v>
      </c>
      <c r="J61" s="81">
        <f t="shared" si="20"/>
        <v>-37.862218905149753</v>
      </c>
      <c r="K61" s="5">
        <f>VLOOKUP($B61,'Data Vlaue (Cr)'!$C:$FB,99)</f>
        <v>6052</v>
      </c>
      <c r="L61" s="81">
        <f>VLOOKUP(B61,'OI(Value)'!$A$7:$C$209,3,0)</f>
        <v>43</v>
      </c>
      <c r="M61" s="33">
        <f t="shared" si="12"/>
        <v>0.71050892267019172</v>
      </c>
      <c r="N61" s="5">
        <f>VLOOKUP($B61,'Data Vlaue (Cr)'!$C:$FB,67)</f>
        <v>4857</v>
      </c>
      <c r="O61" s="5">
        <f>VLOOKUP($B61,'Data Vlaue (Cr)'!$C:$FB,68)</f>
        <v>7817</v>
      </c>
      <c r="P61" s="5">
        <f t="shared" si="21"/>
        <v>-60.942968910850311</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769.7</v>
      </c>
      <c r="D62" s="82">
        <f>VLOOKUP($B62,'Data shares'!$C:$FB,98)</f>
        <v>63087750</v>
      </c>
      <c r="E62" s="165">
        <f>VLOOKUP(B62,'Snapshot (Volume)'!$A$7:$G$168,7,0)</f>
        <v>64261725</v>
      </c>
      <c r="F62" s="165">
        <f t="shared" si="18"/>
        <v>-1173975</v>
      </c>
      <c r="G62" s="166"/>
      <c r="H62" s="165">
        <f>VLOOKUP($B62,'Data shares'!$C:$FB,66)</f>
        <v>43119450</v>
      </c>
      <c r="I62" s="165">
        <f>VLOOKUP($B62,'Data shares'!$C:$FB,67)</f>
        <v>67719300</v>
      </c>
      <c r="J62" s="81"/>
      <c r="K62" s="5">
        <f>VLOOKUP($B62,'Data Vlaue (Cr)'!$C:$FB,99)</f>
        <v>4862</v>
      </c>
      <c r="L62" s="81">
        <f>VLOOKUP(B62,'OI(Value)'!$A$7:$C$209,3,0)</f>
        <v>-90</v>
      </c>
      <c r="M62" s="33"/>
      <c r="N62" s="5">
        <f>VLOOKUP($B62,'Data Vlaue (Cr)'!$C:$FB,67)</f>
        <v>3323</v>
      </c>
      <c r="O62" s="5">
        <f>VLOOKUP($B62,'Data Vlaue (Cr)'!$C:$FB,68)</f>
        <v>5219</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4316.1000000000004</v>
      </c>
      <c r="D63" s="82">
        <f>VLOOKUP($B63,'Data shares'!$C:$FB,98)</f>
        <v>11278950</v>
      </c>
      <c r="E63" s="165">
        <f>VLOOKUP(B63,'Snapshot (Volume)'!$A$7:$G$168,7,0)</f>
        <v>11887800</v>
      </c>
      <c r="F63" s="165">
        <f t="shared" si="18"/>
        <v>-608850</v>
      </c>
      <c r="G63" s="166">
        <f t="shared" si="19"/>
        <v>-5.1216373088376316E-2</v>
      </c>
      <c r="H63" s="165">
        <f>VLOOKUP($B63,'Data shares'!$C:$FB,66)</f>
        <v>7868850</v>
      </c>
      <c r="I63" s="165">
        <f>VLOOKUP($B63,'Data shares'!$C:$FB,67)</f>
        <v>5199600</v>
      </c>
      <c r="J63" s="81">
        <f t="shared" si="20"/>
        <v>51.335679667666746</v>
      </c>
      <c r="K63" s="5">
        <f>VLOOKUP($B63,'Data Vlaue (Cr)'!$C:$FB,99)</f>
        <v>4874</v>
      </c>
      <c r="L63" s="81">
        <f>VLOOKUP(B63,'OI(Value)'!$A$7:$C$209,3,0)</f>
        <v>-263</v>
      </c>
      <c r="M63" s="33">
        <f t="shared" si="12"/>
        <v>-5.3959786622897008</v>
      </c>
      <c r="N63" s="5">
        <f>VLOOKUP($B63,'Data Vlaue (Cr)'!$C:$FB,67)</f>
        <v>3401</v>
      </c>
      <c r="O63" s="5">
        <f>VLOOKUP($B63,'Data Vlaue (Cr)'!$C:$FB,68)</f>
        <v>2247</v>
      </c>
      <c r="P63" s="5">
        <f t="shared" si="21"/>
        <v>33.931196706850926</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1240.2</v>
      </c>
      <c r="D64" s="82">
        <f>VLOOKUP($B64,'Data shares'!$C:$FB,98)</f>
        <v>23052500</v>
      </c>
      <c r="E64" s="165">
        <f>VLOOKUP(B64,'Snapshot (Volume)'!$A$7:$G$168,7,0)</f>
        <v>22726875</v>
      </c>
      <c r="F64" s="165">
        <f t="shared" si="18"/>
        <v>325625</v>
      </c>
      <c r="G64" s="166">
        <f t="shared" si="19"/>
        <v>1.4327750735637874E-2</v>
      </c>
      <c r="H64" s="165">
        <f>VLOOKUP($B64,'Data shares'!$C:$FB,66)</f>
        <v>5919375</v>
      </c>
      <c r="I64" s="165">
        <f>VLOOKUP($B64,'Data shares'!$C:$FB,67)</f>
        <v>7452500</v>
      </c>
      <c r="J64" s="81">
        <f t="shared" si="20"/>
        <v>-20.571955719557195</v>
      </c>
      <c r="K64" s="5">
        <f>VLOOKUP($B64,'Data Vlaue (Cr)'!$C:$FB,99)</f>
        <v>2871</v>
      </c>
      <c r="L64" s="81">
        <f>VLOOKUP(B64,'OI(Value)'!$A$7:$C$209,3,0)</f>
        <v>41</v>
      </c>
      <c r="M64" s="33">
        <f t="shared" si="12"/>
        <v>1.4280738418669452</v>
      </c>
      <c r="N64" s="5">
        <f>VLOOKUP($B64,'Data Vlaue (Cr)'!$C:$FB,67)</f>
        <v>737</v>
      </c>
      <c r="O64" s="5">
        <f>VLOOKUP($B64,'Data Vlaue (Cr)'!$C:$FB,68)</f>
        <v>928</v>
      </c>
      <c r="P64" s="5">
        <f t="shared" si="21"/>
        <v>-25.915875169606512</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6988</v>
      </c>
      <c r="D65" s="82">
        <f>VLOOKUP($B65,'Data shares'!$C:$FB,98)</f>
        <v>7069475</v>
      </c>
      <c r="E65" s="165">
        <f>VLOOKUP(B65,'Snapshot (Volume)'!$A$7:$G$168,7,0)</f>
        <v>7278950</v>
      </c>
      <c r="F65" s="165">
        <f t="shared" si="18"/>
        <v>-209475</v>
      </c>
      <c r="G65" s="166">
        <f t="shared" si="19"/>
        <v>-2.8778189161898352E-2</v>
      </c>
      <c r="H65" s="165">
        <f>VLOOKUP($B65,'Data shares'!$C:$FB,66)</f>
        <v>6445075</v>
      </c>
      <c r="I65" s="165">
        <f>VLOOKUP($B65,'Data shares'!$C:$FB,67)</f>
        <v>3407950</v>
      </c>
      <c r="J65" s="81">
        <f t="shared" si="20"/>
        <v>89.11882510013352</v>
      </c>
      <c r="K65" s="5">
        <f>VLOOKUP($B65,'Data Vlaue (Cr)'!$C:$FB,99)</f>
        <v>4959</v>
      </c>
      <c r="L65" s="81">
        <f>VLOOKUP(B65,'OI(Value)'!$A$7:$C$209,3,0)</f>
        <v>-147</v>
      </c>
      <c r="M65" s="33">
        <f t="shared" si="12"/>
        <v>-2.9643073200241985</v>
      </c>
      <c r="N65" s="5">
        <f>VLOOKUP($B65,'Data Vlaue (Cr)'!$C:$FB,67)</f>
        <v>4521</v>
      </c>
      <c r="O65" s="5">
        <f>VLOOKUP($B65,'Data Vlaue (Cr)'!$C:$FB,68)</f>
        <v>2391</v>
      </c>
      <c r="P65" s="5">
        <f t="shared" si="21"/>
        <v>47.113470471134704</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347.85</v>
      </c>
      <c r="D66" s="82">
        <f>VLOOKUP($B66,'Data shares'!$C:$FB,98)</f>
        <v>366344750</v>
      </c>
      <c r="E66" s="165">
        <f>VLOOKUP(B66,'Snapshot (Volume)'!$A$7:$G$168,7,0)</f>
        <v>334642725</v>
      </c>
      <c r="F66" s="165">
        <f t="shared" si="18"/>
        <v>31702025</v>
      </c>
      <c r="G66" s="166">
        <f t="shared" si="19"/>
        <v>9.4733943491525183E-2</v>
      </c>
      <c r="H66" s="165">
        <f>VLOOKUP($B66,'Data shares'!$C:$FB,66)</f>
        <v>1080478150</v>
      </c>
      <c r="I66" s="165">
        <f>VLOOKUP($B66,'Data shares'!$C:$FB,67)</f>
        <v>161374050</v>
      </c>
      <c r="J66" s="81">
        <f t="shared" si="20"/>
        <v>569.54888347909719</v>
      </c>
      <c r="K66" s="5">
        <f>VLOOKUP($B66,'Data Vlaue (Cr)'!$C:$FB,99)</f>
        <v>12758</v>
      </c>
      <c r="L66" s="81">
        <f>VLOOKUP(B66,'OI(Value)'!$A$7:$C$209,3,0)</f>
        <v>1104</v>
      </c>
      <c r="M66" s="33">
        <f t="shared" ref="M66:M93" si="22">L66/K66*100</f>
        <v>8.6533939488948111</v>
      </c>
      <c r="N66" s="5">
        <f>VLOOKUP($B66,'Data Vlaue (Cr)'!$C:$FB,67)</f>
        <v>37628</v>
      </c>
      <c r="O66" s="5">
        <f>VLOOKUP($B66,'Data Vlaue (Cr)'!$C:$FB,68)</f>
        <v>5620</v>
      </c>
      <c r="P66" s="5">
        <f t="shared" si="21"/>
        <v>85.064313808865748</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397.85</v>
      </c>
      <c r="D67" s="82">
        <f>VLOOKUP($B67,'Data shares'!$C:$FB,98)</f>
        <v>52628400</v>
      </c>
      <c r="E67" s="165">
        <f>VLOOKUP(B67,'Snapshot (Volume)'!$A$7:$G$168,7,0)</f>
        <v>52882200</v>
      </c>
      <c r="F67" s="165">
        <f t="shared" si="18"/>
        <v>-253800</v>
      </c>
      <c r="G67" s="166">
        <f t="shared" si="19"/>
        <v>-4.7993464719697744E-3</v>
      </c>
      <c r="H67" s="165">
        <f>VLOOKUP($B67,'Data shares'!$C:$FB,66)</f>
        <v>30839400</v>
      </c>
      <c r="I67" s="165">
        <f>VLOOKUP($B67,'Data shares'!$C:$FB,67)</f>
        <v>17427600</v>
      </c>
      <c r="J67" s="81">
        <f t="shared" si="20"/>
        <v>76.957240239619921</v>
      </c>
      <c r="K67" s="5">
        <f>VLOOKUP($B67,'Data Vlaue (Cr)'!$C:$FB,99)</f>
        <v>2100</v>
      </c>
      <c r="L67" s="81">
        <f>VLOOKUP(B67,'OI(Value)'!$A$7:$C$209,3,0)</f>
        <v>-10</v>
      </c>
      <c r="M67" s="33">
        <f t="shared" si="22"/>
        <v>-0.47619047619047622</v>
      </c>
      <c r="N67" s="5">
        <f>VLOOKUP($B67,'Data Vlaue (Cr)'!$C:$FB,67)</f>
        <v>1230</v>
      </c>
      <c r="O67" s="5">
        <f>VLOOKUP($B67,'Data Vlaue (Cr)'!$C:$FB,68)</f>
        <v>695</v>
      </c>
      <c r="P67" s="5">
        <f t="shared" si="21"/>
        <v>43.49593495934959</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214.5</v>
      </c>
      <c r="D68" s="82">
        <f>VLOOKUP($B68,'Data shares'!$C:$FB,98)</f>
        <v>214680000</v>
      </c>
      <c r="E68" s="165">
        <f>VLOOKUP(B68,'Snapshot (Volume)'!$A$7:$G$168,7,0)</f>
        <v>211885000</v>
      </c>
      <c r="F68" s="165">
        <f t="shared" si="18"/>
        <v>2795000</v>
      </c>
      <c r="G68" s="166">
        <f t="shared" si="19"/>
        <v>1.3191117823347571E-2</v>
      </c>
      <c r="H68" s="165">
        <f>VLOOKUP($B68,'Data shares'!$C:$FB,66)</f>
        <v>110465000</v>
      </c>
      <c r="I68" s="165">
        <f>VLOOKUP($B68,'Data shares'!$C:$FB,67)</f>
        <v>170645000</v>
      </c>
      <c r="J68" s="81">
        <f t="shared" si="20"/>
        <v>-35.266195903776847</v>
      </c>
      <c r="K68" s="5">
        <f>VLOOKUP($B68,'Data Vlaue (Cr)'!$C:$FB,99)</f>
        <v>4622</v>
      </c>
      <c r="L68" s="81">
        <f>VLOOKUP(B68,'OI(Value)'!$A$7:$C$209,3,0)</f>
        <v>60</v>
      </c>
      <c r="M68" s="33">
        <f t="shared" si="22"/>
        <v>1.2981393336218088</v>
      </c>
      <c r="N68" s="5">
        <f>VLOOKUP($B68,'Data Vlaue (Cr)'!$C:$FB,67)</f>
        <v>2378</v>
      </c>
      <c r="O68" s="5">
        <f>VLOOKUP($B68,'Data Vlaue (Cr)'!$C:$FB,68)</f>
        <v>3674</v>
      </c>
      <c r="P68" s="5">
        <f t="shared" si="21"/>
        <v>-54.499579478553407</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27381.200000000001</v>
      </c>
      <c r="D69" s="165">
        <f>VLOOKUP($B69,'Data shares'!$C:$FB,98)</f>
        <v>2049125</v>
      </c>
      <c r="E69" s="165">
        <f>VLOOKUP(B69,'Snapshot (Volume)'!$A$7:$G$168,7,0)</f>
        <v>2097030</v>
      </c>
      <c r="F69" s="165">
        <f t="shared" ref="F69:F85" si="23">D69-E69</f>
        <v>-47905</v>
      </c>
      <c r="G69" s="166">
        <f t="shared" ref="G69:G85" si="24">F69/E69</f>
        <v>-2.2844213006013265E-2</v>
      </c>
      <c r="H69" s="165">
        <f>VLOOKUP($B69,'Data shares'!$C:$FB,66)</f>
        <v>5787795</v>
      </c>
      <c r="I69" s="165">
        <f>VLOOKUP($B69,'Data shares'!$C:$FB,67)</f>
        <v>4773340</v>
      </c>
      <c r="J69" s="81">
        <f t="shared" ref="J69:J85" si="25">(H69-I69)/I69*100</f>
        <v>21.252519200392179</v>
      </c>
      <c r="K69" s="81">
        <f>VLOOKUP($B69,'Data Vlaue (Cr)'!$C:$FB,99)</f>
        <v>5617</v>
      </c>
      <c r="L69" s="81">
        <f>VLOOKUP(B69,'OI(Value)'!$A$7:$C$209,3,0)</f>
        <v>-131</v>
      </c>
      <c r="M69" s="81">
        <f t="shared" si="22"/>
        <v>-2.3322058038098628</v>
      </c>
      <c r="N69" s="81">
        <f>VLOOKUP($B69,'Data Vlaue (Cr)'!$C:$FB,67)</f>
        <v>15864</v>
      </c>
      <c r="O69" s="81">
        <f>VLOOKUP($B69,'Data Vlaue (Cr)'!$C:$FB,68)</f>
        <v>13083</v>
      </c>
      <c r="P69" s="81">
        <f t="shared" ref="P69:P85" si="26">(N69-O69)/N69*100</f>
        <v>17.530257186081695</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1095.25</v>
      </c>
      <c r="D70" s="165">
        <f>VLOOKUP($B70,'Data shares'!$C:$FB,98)</f>
        <v>15782875</v>
      </c>
      <c r="E70" s="165">
        <f>VLOOKUP(B70,'Snapshot (Volume)'!$A$7:$G$168,7,0)</f>
        <v>16012275</v>
      </c>
      <c r="F70" s="165">
        <f t="shared" si="23"/>
        <v>-229400</v>
      </c>
      <c r="G70" s="166">
        <f t="shared" si="24"/>
        <v>-1.43265088814675E-2</v>
      </c>
      <c r="H70" s="165">
        <f>VLOOKUP($B70,'Data shares'!$C:$FB,66)</f>
        <v>8194075</v>
      </c>
      <c r="I70" s="165">
        <f>VLOOKUP($B70,'Data shares'!$C:$FB,67)</f>
        <v>7634525</v>
      </c>
      <c r="J70" s="81">
        <f t="shared" si="25"/>
        <v>7.3292051568368697</v>
      </c>
      <c r="K70" s="81">
        <f>VLOOKUP($B70,'Data Vlaue (Cr)'!$C:$FB,99)</f>
        <v>1735</v>
      </c>
      <c r="L70" s="81">
        <f>VLOOKUP(B70,'OI(Value)'!$A$7:$C$209,3,0)</f>
        <v>-25</v>
      </c>
      <c r="M70" s="81">
        <f t="shared" si="22"/>
        <v>-1.4409221902017291</v>
      </c>
      <c r="N70" s="81">
        <f>VLOOKUP($B70,'Data Vlaue (Cr)'!$C:$FB,67)</f>
        <v>901</v>
      </c>
      <c r="O70" s="81">
        <f>VLOOKUP($B70,'Data Vlaue (Cr)'!$C:$FB,68)</f>
        <v>839</v>
      </c>
      <c r="P70" s="81">
        <f t="shared" si="26"/>
        <v>6.8812430632630415</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179.17</v>
      </c>
      <c r="D71" s="82">
        <f>VLOOKUP($B71,'Data shares'!$C:$FB,98)</f>
        <v>162149400</v>
      </c>
      <c r="E71" s="165">
        <f>VLOOKUP(B71,'Snapshot (Volume)'!$A$7:$G$168,7,0)</f>
        <v>166575150</v>
      </c>
      <c r="F71" s="165">
        <f t="shared" si="23"/>
        <v>-4425750</v>
      </c>
      <c r="G71" s="166">
        <f t="shared" si="24"/>
        <v>-2.6569089086817571E-2</v>
      </c>
      <c r="H71" s="165">
        <f>VLOOKUP($B71,'Data shares'!$C:$FB,66)</f>
        <v>74796750</v>
      </c>
      <c r="I71" s="165">
        <f>VLOOKUP($B71,'Data shares'!$C:$FB,67)</f>
        <v>68125050</v>
      </c>
      <c r="J71" s="81">
        <f t="shared" si="25"/>
        <v>9.7933139131641003</v>
      </c>
      <c r="K71" s="5">
        <f>VLOOKUP($B71,'Data Vlaue (Cr)'!$C:$FB,99)</f>
        <v>2909</v>
      </c>
      <c r="L71" s="81">
        <f>VLOOKUP(B71,'OI(Value)'!$A$7:$C$209,3,0)</f>
        <v>-79</v>
      </c>
      <c r="M71" s="33">
        <f t="shared" si="22"/>
        <v>-2.7157098659333103</v>
      </c>
      <c r="N71" s="5">
        <f>VLOOKUP($B71,'Data Vlaue (Cr)'!$C:$FB,67)</f>
        <v>1342</v>
      </c>
      <c r="O71" s="5">
        <f>VLOOKUP($B71,'Data Vlaue (Cr)'!$C:$FB,68)</f>
        <v>1222</v>
      </c>
      <c r="P71" s="5">
        <f t="shared" si="26"/>
        <v>8.9418777943368113</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1864.4</v>
      </c>
      <c r="D72" s="82">
        <f>VLOOKUP($B72,'Data shares'!$C:$FB,98)</f>
        <v>11821500</v>
      </c>
      <c r="E72" s="165">
        <f>VLOOKUP(B72,'Snapshot (Volume)'!$A$7:$G$168,7,0)</f>
        <v>11520375</v>
      </c>
      <c r="F72" s="165">
        <f t="shared" si="23"/>
        <v>301125</v>
      </c>
      <c r="G72" s="166">
        <f t="shared" si="24"/>
        <v>2.6138472054946127E-2</v>
      </c>
      <c r="H72" s="165">
        <f>VLOOKUP($B72,'Data shares'!$C:$FB,66)</f>
        <v>4828875</v>
      </c>
      <c r="I72" s="165">
        <f>VLOOKUP($B72,'Data shares'!$C:$FB,67)</f>
        <v>3418875</v>
      </c>
      <c r="J72" s="81">
        <f t="shared" si="25"/>
        <v>41.241636503235711</v>
      </c>
      <c r="K72" s="5">
        <f>VLOOKUP($B72,'Data Vlaue (Cr)'!$C:$FB,99)</f>
        <v>2214</v>
      </c>
      <c r="L72" s="81">
        <f>VLOOKUP(B72,'OI(Value)'!$A$7:$C$209,3,0)</f>
        <v>56</v>
      </c>
      <c r="M72" s="33">
        <f t="shared" si="22"/>
        <v>2.5293586269196027</v>
      </c>
      <c r="N72" s="5">
        <f>VLOOKUP($B72,'Data Vlaue (Cr)'!$C:$FB,67)</f>
        <v>904</v>
      </c>
      <c r="O72" s="5">
        <f>VLOOKUP($B72,'Data Vlaue (Cr)'!$C:$FB,68)</f>
        <v>640</v>
      </c>
      <c r="P72" s="5">
        <f t="shared" si="26"/>
        <v>29.20353982300885</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90.87</v>
      </c>
      <c r="D73" s="82">
        <f>VLOOKUP($B73,'Data shares'!$C:$FB,98)</f>
        <v>341077500</v>
      </c>
      <c r="E73" s="165">
        <f>VLOOKUP(B73,'Snapshot (Volume)'!$A$7:$G$168,7,0)</f>
        <v>336794850</v>
      </c>
      <c r="F73" s="165">
        <f t="shared" si="23"/>
        <v>4282650</v>
      </c>
      <c r="G73" s="166">
        <f t="shared" si="24"/>
        <v>1.2715901089342667E-2</v>
      </c>
      <c r="H73" s="165">
        <f>VLOOKUP($B73,'Data shares'!$C:$FB,66)</f>
        <v>92676825</v>
      </c>
      <c r="I73" s="165">
        <f>VLOOKUP($B73,'Data shares'!$C:$FB,67)</f>
        <v>61686900</v>
      </c>
      <c r="J73" s="81">
        <f t="shared" si="25"/>
        <v>50.237449118046129</v>
      </c>
      <c r="K73" s="5">
        <f>VLOOKUP($B73,'Data Vlaue (Cr)'!$C:$FB,99)</f>
        <v>3103</v>
      </c>
      <c r="L73" s="81">
        <f>VLOOKUP(B73,'OI(Value)'!$A$7:$C$209,3,0)</f>
        <v>39</v>
      </c>
      <c r="M73" s="33">
        <f t="shared" si="22"/>
        <v>1.2568482114083144</v>
      </c>
      <c r="N73" s="5">
        <f>VLOOKUP($B73,'Data Vlaue (Cr)'!$C:$FB,67)</f>
        <v>843</v>
      </c>
      <c r="O73" s="5">
        <f>VLOOKUP($B73,'Data Vlaue (Cr)'!$C:$FB,68)</f>
        <v>561</v>
      </c>
      <c r="P73" s="5">
        <f t="shared" si="26"/>
        <v>33.45195729537366</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1120.0999999999999</v>
      </c>
      <c r="D74" s="82">
        <f>VLOOKUP($B74,'Data shares'!$C:$FB,98)</f>
        <v>19329500</v>
      </c>
      <c r="E74" s="165">
        <f>VLOOKUP(B74,'Snapshot (Volume)'!$A$7:$G$168,7,0)</f>
        <v>18583500</v>
      </c>
      <c r="F74" s="165">
        <f t="shared" si="23"/>
        <v>746000</v>
      </c>
      <c r="G74" s="166">
        <f t="shared" si="24"/>
        <v>4.0143137729706457E-2</v>
      </c>
      <c r="H74" s="165">
        <f>VLOOKUP($B74,'Data shares'!$C:$FB,66)</f>
        <v>7805500</v>
      </c>
      <c r="I74" s="165">
        <f>VLOOKUP($B74,'Data shares'!$C:$FB,67)</f>
        <v>4139500</v>
      </c>
      <c r="J74" s="81">
        <f t="shared" si="25"/>
        <v>88.561420461408375</v>
      </c>
      <c r="K74" s="5">
        <f>VLOOKUP($B74,'Data Vlaue (Cr)'!$C:$FB,99)</f>
        <v>2171</v>
      </c>
      <c r="L74" s="81">
        <f>VLOOKUP(B74,'OI(Value)'!$A$7:$C$209,3,0)</f>
        <v>84</v>
      </c>
      <c r="M74" s="33">
        <f t="shared" si="22"/>
        <v>3.8691847075080608</v>
      </c>
      <c r="N74" s="5">
        <f>VLOOKUP($B74,'Data Vlaue (Cr)'!$C:$FB,67)</f>
        <v>876</v>
      </c>
      <c r="O74" s="5">
        <f>VLOOKUP($B74,'Data Vlaue (Cr)'!$C:$FB,68)</f>
        <v>465</v>
      </c>
      <c r="P74" s="5">
        <f t="shared" si="26"/>
        <v>46.917808219178085</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2205.3000000000002</v>
      </c>
      <c r="D75" s="82">
        <f>VLOOKUP($B75,'Data shares'!$C:$FB,98)</f>
        <v>14248850</v>
      </c>
      <c r="E75" s="165">
        <f>VLOOKUP(B75,'Snapshot (Volume)'!$A$7:$G$168,7,0)</f>
        <v>14358850</v>
      </c>
      <c r="F75" s="165">
        <f t="shared" si="23"/>
        <v>-110000</v>
      </c>
      <c r="G75" s="166">
        <f t="shared" si="24"/>
        <v>-7.6607806335465588E-3</v>
      </c>
      <c r="H75" s="165">
        <f>VLOOKUP($B75,'Data shares'!$C:$FB,66)</f>
        <v>17374225</v>
      </c>
      <c r="I75" s="165">
        <f>VLOOKUP($B75,'Data shares'!$C:$FB,67)</f>
        <v>17378350</v>
      </c>
      <c r="J75" s="81">
        <f t="shared" si="25"/>
        <v>-2.3736430673798145E-2</v>
      </c>
      <c r="K75" s="5">
        <f>VLOOKUP($B75,'Data Vlaue (Cr)'!$C:$FB,99)</f>
        <v>3146</v>
      </c>
      <c r="L75" s="81">
        <f>VLOOKUP(B75,'OI(Value)'!$A$7:$C$209,3,0)</f>
        <v>-24</v>
      </c>
      <c r="M75" s="33">
        <f t="shared" si="22"/>
        <v>-0.76287349014621741</v>
      </c>
      <c r="N75" s="5">
        <f>VLOOKUP($B75,'Data Vlaue (Cr)'!$C:$FB,67)</f>
        <v>3836</v>
      </c>
      <c r="O75" s="5">
        <f>VLOOKUP($B75,'Data Vlaue (Cr)'!$C:$FB,68)</f>
        <v>3837</v>
      </c>
      <c r="P75" s="5">
        <f t="shared" si="26"/>
        <v>-2.6068821689259645E-2</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2859.8</v>
      </c>
      <c r="D76" s="82">
        <f>VLOOKUP($B76,'Data shares'!$C:$FB,98)</f>
        <v>17365750</v>
      </c>
      <c r="E76" s="165">
        <f>VLOOKUP(B76,'Snapshot (Volume)'!$A$7:$G$168,7,0)</f>
        <v>17262500</v>
      </c>
      <c r="F76" s="165">
        <f t="shared" si="23"/>
        <v>103250</v>
      </c>
      <c r="G76" s="166">
        <f t="shared" si="24"/>
        <v>5.9811730629978277E-3</v>
      </c>
      <c r="H76" s="165">
        <f>VLOOKUP($B76,'Data shares'!$C:$FB,66)</f>
        <v>6985000</v>
      </c>
      <c r="I76" s="165">
        <f>VLOOKUP($B76,'Data shares'!$C:$FB,67)</f>
        <v>3180000</v>
      </c>
      <c r="J76" s="81">
        <f t="shared" si="25"/>
        <v>119.65408805031446</v>
      </c>
      <c r="K76" s="5">
        <f>VLOOKUP($B76,'Data Vlaue (Cr)'!$C:$FB,99)</f>
        <v>4982</v>
      </c>
      <c r="L76" s="81">
        <f>VLOOKUP(B76,'OI(Value)'!$A$7:$C$209,3,0)</f>
        <v>30</v>
      </c>
      <c r="M76" s="33">
        <f t="shared" si="22"/>
        <v>0.60216780409474102</v>
      </c>
      <c r="N76" s="5">
        <f>VLOOKUP($B76,'Data Vlaue (Cr)'!$C:$FB,67)</f>
        <v>2004</v>
      </c>
      <c r="O76" s="5">
        <f>VLOOKUP($B76,'Data Vlaue (Cr)'!$C:$FB,68)</f>
        <v>912</v>
      </c>
      <c r="P76" s="5">
        <f t="shared" si="26"/>
        <v>54.491017964071851</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4861.3</v>
      </c>
      <c r="D77" s="82">
        <f>VLOOKUP($B77,'Data shares'!$C:$FB,98)</f>
        <v>16763400</v>
      </c>
      <c r="E77" s="165">
        <f>VLOOKUP(B77,'Snapshot (Volume)'!$A$7:$G$168,7,0)</f>
        <v>16631400</v>
      </c>
      <c r="F77" s="165">
        <f t="shared" si="23"/>
        <v>132000</v>
      </c>
      <c r="G77" s="166">
        <f t="shared" si="24"/>
        <v>7.9367942566470652E-3</v>
      </c>
      <c r="H77" s="165">
        <f>VLOOKUP($B77,'Data shares'!$C:$FB,66)</f>
        <v>7920600</v>
      </c>
      <c r="I77" s="165">
        <f>VLOOKUP($B77,'Data shares'!$C:$FB,67)</f>
        <v>14111850</v>
      </c>
      <c r="J77" s="81">
        <f t="shared" si="25"/>
        <v>-43.872702728557918</v>
      </c>
      <c r="K77" s="5">
        <f>VLOOKUP($B77,'Data Vlaue (Cr)'!$C:$FB,99)</f>
        <v>8180</v>
      </c>
      <c r="L77" s="81">
        <f>VLOOKUP(B77,'OI(Value)'!$A$7:$C$209,3,0)</f>
        <v>64</v>
      </c>
      <c r="M77" s="33">
        <f t="shared" si="22"/>
        <v>0.78239608801955984</v>
      </c>
      <c r="N77" s="5">
        <f>VLOOKUP($B77,'Data Vlaue (Cr)'!$C:$FB,67)</f>
        <v>3865</v>
      </c>
      <c r="O77" s="5">
        <f>VLOOKUP($B77,'Data Vlaue (Cr)'!$C:$FB,68)</f>
        <v>6886</v>
      </c>
      <c r="P77" s="5">
        <f t="shared" si="26"/>
        <v>-78.163001293661054</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1475.8</v>
      </c>
      <c r="D78" s="82">
        <f>VLOOKUP($B78,'Data shares'!$C:$FB,98)</f>
        <v>17122000</v>
      </c>
      <c r="E78" s="165">
        <f>VLOOKUP(B78,'Snapshot (Volume)'!$A$7:$G$168,7,0)</f>
        <v>17189500</v>
      </c>
      <c r="F78" s="165">
        <f t="shared" si="23"/>
        <v>-67500</v>
      </c>
      <c r="G78" s="166">
        <f t="shared" si="24"/>
        <v>-3.926815788708223E-3</v>
      </c>
      <c r="H78" s="165">
        <f>VLOOKUP($B78,'Data shares'!$C:$FB,66)</f>
        <v>8177000</v>
      </c>
      <c r="I78" s="165">
        <f>VLOOKUP($B78,'Data shares'!$C:$FB,67)</f>
        <v>5300000</v>
      </c>
      <c r="J78" s="81">
        <f t="shared" si="25"/>
        <v>54.283018867924525</v>
      </c>
      <c r="K78" s="5">
        <f>VLOOKUP($B78,'Data Vlaue (Cr)'!$C:$FB,99)</f>
        <v>2537</v>
      </c>
      <c r="L78" s="81">
        <f>VLOOKUP(B78,'OI(Value)'!$A$7:$C$209,3,0)</f>
        <v>-10</v>
      </c>
      <c r="M78" s="33">
        <f t="shared" si="22"/>
        <v>-0.39416633819471819</v>
      </c>
      <c r="N78" s="5">
        <f>VLOOKUP($B78,'Data Vlaue (Cr)'!$C:$FB,67)</f>
        <v>1212</v>
      </c>
      <c r="O78" s="5">
        <f>VLOOKUP($B78,'Data Vlaue (Cr)'!$C:$FB,68)</f>
        <v>785</v>
      </c>
      <c r="P78" s="5">
        <f t="shared" si="26"/>
        <v>35.231023102310232</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1515</v>
      </c>
      <c r="D79" s="82">
        <f>VLOOKUP($B79,'Data shares'!$C:$FB,98)</f>
        <v>33686100</v>
      </c>
      <c r="E79" s="165">
        <f>VLOOKUP(B79,'Snapshot (Volume)'!$A$7:$G$168,7,0)</f>
        <v>38533950</v>
      </c>
      <c r="F79" s="165">
        <f t="shared" si="23"/>
        <v>-4847850</v>
      </c>
      <c r="G79" s="166">
        <f t="shared" si="24"/>
        <v>-0.12580724270416088</v>
      </c>
      <c r="H79" s="165">
        <f>VLOOKUP($B79,'Data shares'!$C:$FB,66)</f>
        <v>28423500</v>
      </c>
      <c r="I79" s="165">
        <f>VLOOKUP($B79,'Data shares'!$C:$FB,67)</f>
        <v>34682200</v>
      </c>
      <c r="J79" s="81">
        <f t="shared" si="25"/>
        <v>-18.045856375893109</v>
      </c>
      <c r="K79" s="5">
        <f>VLOOKUP($B79,'Data Vlaue (Cr)'!$C:$FB,99)</f>
        <v>5068</v>
      </c>
      <c r="L79" s="81">
        <f>VLOOKUP(B79,'OI(Value)'!$A$7:$C$209,3,0)</f>
        <v>-729</v>
      </c>
      <c r="M79" s="33">
        <f t="shared" si="22"/>
        <v>-14.384372533543804</v>
      </c>
      <c r="N79" s="5">
        <f>VLOOKUP($B79,'Data Vlaue (Cr)'!$C:$FB,67)</f>
        <v>4277</v>
      </c>
      <c r="O79" s="5">
        <f>VLOOKUP($B79,'Data Vlaue (Cr)'!$C:$FB,68)</f>
        <v>5218</v>
      </c>
      <c r="P79" s="5">
        <f t="shared" si="26"/>
        <v>-22.001402852466683</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5803.5</v>
      </c>
      <c r="D80" s="82">
        <f>VLOOKUP($B80,'Data shares'!$C:$FB,98)</f>
        <v>6026550</v>
      </c>
      <c r="E80" s="165">
        <f>VLOOKUP(B80,'Snapshot (Volume)'!$A$7:$G$168,7,0)</f>
        <v>6025050</v>
      </c>
      <c r="F80" s="165">
        <f t="shared" si="23"/>
        <v>1500</v>
      </c>
      <c r="G80" s="166">
        <f t="shared" si="24"/>
        <v>2.4896058953867602E-4</v>
      </c>
      <c r="H80" s="165">
        <f>VLOOKUP($B80,'Data shares'!$C:$FB,66)</f>
        <v>45212700</v>
      </c>
      <c r="I80" s="165">
        <f>VLOOKUP($B80,'Data shares'!$C:$FB,67)</f>
        <v>23756550</v>
      </c>
      <c r="J80" s="81">
        <f t="shared" si="25"/>
        <v>90.316775794465116</v>
      </c>
      <c r="K80" s="5">
        <f>VLOOKUP($B80,'Data Vlaue (Cr)'!$C:$FB,99)</f>
        <v>3505</v>
      </c>
      <c r="L80" s="81">
        <f>VLOOKUP(B80,'OI(Value)'!$A$7:$C$209,3,0)</f>
        <v>1</v>
      </c>
      <c r="M80" s="33">
        <f t="shared" si="22"/>
        <v>2.8530670470756064E-2</v>
      </c>
      <c r="N80" s="5">
        <f>VLOOKUP($B80,'Data Vlaue (Cr)'!$C:$FB,67)</f>
        <v>26293</v>
      </c>
      <c r="O80" s="5">
        <f>VLOOKUP($B80,'Data Vlaue (Cr)'!$C:$FB,68)</f>
        <v>13816</v>
      </c>
      <c r="P80" s="5">
        <f t="shared" si="26"/>
        <v>47.453694899783208</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994.35</v>
      </c>
      <c r="D81" s="82">
        <f>VLOOKUP($B81,'Data shares'!$C:$FB,98)</f>
        <v>267382500</v>
      </c>
      <c r="E81" s="165">
        <f>VLOOKUP(B81,'Snapshot (Volume)'!$A$7:$G$168,7,0)</f>
        <v>269339400</v>
      </c>
      <c r="F81" s="165">
        <f t="shared" si="23"/>
        <v>-1956900</v>
      </c>
      <c r="G81" s="166">
        <f t="shared" si="24"/>
        <v>-7.2655541669729715E-3</v>
      </c>
      <c r="H81" s="165">
        <f>VLOOKUP($B81,'Data shares'!$C:$FB,66)</f>
        <v>125464900</v>
      </c>
      <c r="I81" s="165">
        <f>VLOOKUP($B81,'Data shares'!$C:$FB,67)</f>
        <v>98092500</v>
      </c>
      <c r="J81" s="81">
        <f t="shared" si="25"/>
        <v>27.904681805438742</v>
      </c>
      <c r="K81" s="5">
        <f>VLOOKUP($B81,'Data Vlaue (Cr)'!$C:$FB,99)</f>
        <v>26622</v>
      </c>
      <c r="L81" s="81">
        <f>VLOOKUP(B81,'OI(Value)'!$A$7:$C$209,3,0)</f>
        <v>-195</v>
      </c>
      <c r="M81" s="33">
        <f t="shared" si="22"/>
        <v>-0.73247689880549915</v>
      </c>
      <c r="N81" s="5">
        <f>VLOOKUP($B81,'Data Vlaue (Cr)'!$C:$FB,67)</f>
        <v>12492</v>
      </c>
      <c r="O81" s="5">
        <f>VLOOKUP($B81,'Data Vlaue (Cr)'!$C:$FB,68)</f>
        <v>9767</v>
      </c>
      <c r="P81" s="5">
        <f t="shared" si="26"/>
        <v>21.813960934998398</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742.85</v>
      </c>
      <c r="D82" s="82">
        <f>VLOOKUP($B82,'Data shares'!$C:$FB,98)</f>
        <v>58207600</v>
      </c>
      <c r="E82" s="165">
        <f>VLOOKUP(B82,'Snapshot (Volume)'!$A$7:$G$168,7,0)</f>
        <v>51191800</v>
      </c>
      <c r="F82" s="165">
        <f t="shared" si="23"/>
        <v>7015800</v>
      </c>
      <c r="G82" s="166">
        <f t="shared" si="24"/>
        <v>0.13704929305084018</v>
      </c>
      <c r="H82" s="165">
        <f>VLOOKUP($B82,'Data shares'!$C:$FB,66)</f>
        <v>102547500</v>
      </c>
      <c r="I82" s="165">
        <f>VLOOKUP($B82,'Data shares'!$C:$FB,67)</f>
        <v>50065400</v>
      </c>
      <c r="J82" s="81">
        <f t="shared" si="25"/>
        <v>104.82708617128796</v>
      </c>
      <c r="K82" s="5">
        <f>VLOOKUP($B82,'Data Vlaue (Cr)'!$C:$FB,99)</f>
        <v>4328</v>
      </c>
      <c r="L82" s="81">
        <f>VLOOKUP(B82,'OI(Value)'!$A$7:$C$209,3,0)</f>
        <v>522</v>
      </c>
      <c r="M82" s="33">
        <f t="shared" si="22"/>
        <v>12.060998151571164</v>
      </c>
      <c r="N82" s="5">
        <f>VLOOKUP($B82,'Data Vlaue (Cr)'!$C:$FB,67)</f>
        <v>7624</v>
      </c>
      <c r="O82" s="5">
        <f>VLOOKUP($B82,'Data Vlaue (Cr)'!$C:$FB,68)</f>
        <v>3722</v>
      </c>
      <c r="P82" s="5">
        <f t="shared" si="26"/>
        <v>51.180482686253939</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5579.5</v>
      </c>
      <c r="D83" s="82">
        <f>VLOOKUP($B83,'Data shares'!$C:$FB,98)</f>
        <v>8937900</v>
      </c>
      <c r="E83" s="165">
        <f>VLOOKUP(B83,'Snapshot (Volume)'!$A$7:$G$168,7,0)</f>
        <v>9146700</v>
      </c>
      <c r="F83" s="165">
        <f t="shared" si="23"/>
        <v>-208800</v>
      </c>
      <c r="G83" s="166">
        <f t="shared" si="24"/>
        <v>-2.2827905146118273E-2</v>
      </c>
      <c r="H83" s="165">
        <f>VLOOKUP($B83,'Data shares'!$C:$FB,66)</f>
        <v>5539500</v>
      </c>
      <c r="I83" s="165">
        <f>VLOOKUP($B83,'Data shares'!$C:$FB,67)</f>
        <v>10078800</v>
      </c>
      <c r="J83" s="81">
        <f t="shared" si="25"/>
        <v>-45.038099773782591</v>
      </c>
      <c r="K83" s="5">
        <f>VLOOKUP($B83,'Data Vlaue (Cr)'!$C:$FB,99)</f>
        <v>4997</v>
      </c>
      <c r="L83" s="81">
        <f>VLOOKUP(B83,'OI(Value)'!$A$7:$C$209,3,0)</f>
        <v>-117</v>
      </c>
      <c r="M83" s="33">
        <f t="shared" si="22"/>
        <v>-2.3414048429057437</v>
      </c>
      <c r="N83" s="5">
        <f>VLOOKUP($B83,'Data Vlaue (Cr)'!$C:$FB,67)</f>
        <v>3097</v>
      </c>
      <c r="O83" s="5">
        <f>VLOOKUP($B83,'Data Vlaue (Cr)'!$C:$FB,68)</f>
        <v>5635</v>
      </c>
      <c r="P83" s="5">
        <f t="shared" si="26"/>
        <v>-81.950274459154016</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Technology</v>
      </c>
      <c r="B84" s="79" t="str">
        <f>'Data shares'!C79</f>
        <v>HFCL</v>
      </c>
      <c r="C84" s="4">
        <f>VLOOKUP($B84,'Data shares'!$C:$FB,7)</f>
        <v>77.319999999999993</v>
      </c>
      <c r="D84" s="82">
        <f>VLOOKUP($B84,'Data shares'!$C:$FB,98)</f>
        <v>205213200</v>
      </c>
      <c r="E84" s="165">
        <f>VLOOKUP(B84,'Snapshot (Volume)'!$A$7:$G$168,7,0)</f>
        <v>202033350</v>
      </c>
      <c r="F84" s="165">
        <f t="shared" si="23"/>
        <v>3179850</v>
      </c>
      <c r="G84" s="166">
        <f t="shared" si="24"/>
        <v>1.5739233151358428E-2</v>
      </c>
      <c r="H84" s="165">
        <f>VLOOKUP($B84,'Data shares'!$C:$FB,66)</f>
        <v>65699700</v>
      </c>
      <c r="I84" s="165">
        <f>VLOOKUP($B84,'Data shares'!$C:$FB,67)</f>
        <v>77354850</v>
      </c>
      <c r="J84" s="81">
        <f t="shared" si="25"/>
        <v>-15.067122488118068</v>
      </c>
      <c r="K84" s="5">
        <f>VLOOKUP($B84,'Data Vlaue (Cr)'!$C:$FB,99)</f>
        <v>1592</v>
      </c>
      <c r="L84" s="81">
        <f>VLOOKUP(B84,'OI(Value)'!$A$7:$C$209,3,0)</f>
        <v>25</v>
      </c>
      <c r="M84" s="33">
        <f t="shared" si="22"/>
        <v>1.5703517587939697</v>
      </c>
      <c r="N84" s="5">
        <f>VLOOKUP($B84,'Data Vlaue (Cr)'!$C:$FB,67)</f>
        <v>510</v>
      </c>
      <c r="O84" s="5">
        <f>VLOOKUP($B84,'Data Vlaue (Cr)'!$C:$FB,68)</f>
        <v>600</v>
      </c>
      <c r="P84" s="5">
        <f t="shared" si="26"/>
        <v>-17.647058823529413</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Metals</v>
      </c>
      <c r="B85" s="79" t="str">
        <f>'Data shares'!C80</f>
        <v>HINDALCO</v>
      </c>
      <c r="C85" s="4">
        <f>VLOOKUP($B85,'Data shares'!$C:$FB,7)</f>
        <v>780.1</v>
      </c>
      <c r="D85" s="82">
        <f>VLOOKUP($B85,'Data shares'!$C:$FB,98)</f>
        <v>97332200</v>
      </c>
      <c r="E85" s="165">
        <f>VLOOKUP(B85,'Snapshot (Volume)'!$A$7:$G$168,7,0)</f>
        <v>99967000</v>
      </c>
      <c r="F85" s="165">
        <f t="shared" si="23"/>
        <v>-2634800</v>
      </c>
      <c r="G85" s="166">
        <f t="shared" si="24"/>
        <v>-2.6356697710244379E-2</v>
      </c>
      <c r="H85" s="165">
        <f>VLOOKUP($B85,'Data shares'!$C:$FB,66)</f>
        <v>52494400</v>
      </c>
      <c r="I85" s="165">
        <f>VLOOKUP($B85,'Data shares'!$C:$FB,67)</f>
        <v>32393200</v>
      </c>
      <c r="J85" s="81">
        <f t="shared" si="25"/>
        <v>62.053764370299938</v>
      </c>
      <c r="K85" s="5">
        <f>VLOOKUP($B85,'Data Vlaue (Cr)'!$C:$FB,99)</f>
        <v>7604</v>
      </c>
      <c r="L85" s="81">
        <f>VLOOKUP(B85,'OI(Value)'!$A$7:$C$209,3,0)</f>
        <v>-206</v>
      </c>
      <c r="M85" s="33">
        <f t="shared" si="22"/>
        <v>-2.7091004734350341</v>
      </c>
      <c r="N85" s="5">
        <f>VLOOKUP($B85,'Data Vlaue (Cr)'!$C:$FB,67)</f>
        <v>4101</v>
      </c>
      <c r="O85" s="5">
        <f>VLOOKUP($B85,'Data Vlaue (Cr)'!$C:$FB,68)</f>
        <v>2531</v>
      </c>
      <c r="P85" s="5">
        <f t="shared" si="26"/>
        <v>38.283345525481586</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Oil_Gas</v>
      </c>
      <c r="B86" s="79" t="str">
        <f>'Data shares'!C81</f>
        <v>HINDPETRO</v>
      </c>
      <c r="C86" s="4">
        <f>VLOOKUP($B86,'Data shares'!$C:$FB,7)</f>
        <v>451.95</v>
      </c>
      <c r="D86" s="82">
        <f>VLOOKUP($B86,'Data shares'!$C:$FB,98)</f>
        <v>84065850</v>
      </c>
      <c r="E86" s="165">
        <f>VLOOKUP(B86,'Snapshot (Volume)'!$A$7:$G$168,7,0)</f>
        <v>85961250</v>
      </c>
      <c r="F86" s="165">
        <f t="shared" ref="F86:F96" si="27">D86-E86</f>
        <v>-1895400</v>
      </c>
      <c r="G86" s="166">
        <f t="shared" ref="G86:G96" si="28">F86/E86</f>
        <v>-2.2049469964664312E-2</v>
      </c>
      <c r="H86" s="165">
        <f>VLOOKUP($B86,'Data shares'!$C:$FB,66)</f>
        <v>59429700</v>
      </c>
      <c r="I86" s="165">
        <f>VLOOKUP($B86,'Data shares'!$C:$FB,67)</f>
        <v>60681150</v>
      </c>
      <c r="J86" s="81">
        <f t="shared" ref="J86:J96" si="29">(H86-I86)/I86*100</f>
        <v>-2.0623373156243745</v>
      </c>
      <c r="K86" s="5">
        <f>VLOOKUP($B86,'Data Vlaue (Cr)'!$C:$FB,99)</f>
        <v>3804</v>
      </c>
      <c r="L86" s="81">
        <f>VLOOKUP(B86,'OI(Value)'!$A$7:$C$209,3,0)</f>
        <v>-86</v>
      </c>
      <c r="M86" s="33">
        <f t="shared" si="22"/>
        <v>-2.2607781282860149</v>
      </c>
      <c r="N86" s="5">
        <f>VLOOKUP($B86,'Data Vlaue (Cr)'!$C:$FB,67)</f>
        <v>2689</v>
      </c>
      <c r="O86" s="5">
        <f>VLOOKUP($B86,'Data Vlaue (Cr)'!$C:$FB,68)</f>
        <v>2746</v>
      </c>
      <c r="P86" s="5">
        <f t="shared" ref="P86:P96" si="30">(N86-O86)/N86*100</f>
        <v>-2.1197471178876905</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FMCG</v>
      </c>
      <c r="B87" s="79" t="str">
        <f>'Data shares'!C82</f>
        <v>HINDUNILVR</v>
      </c>
      <c r="C87" s="4">
        <f>VLOOKUP($B87,'Data shares'!$C:$FB,7)</f>
        <v>2561.5</v>
      </c>
      <c r="D87" s="82">
        <f>VLOOKUP($B87,'Data shares'!$C:$FB,98)</f>
        <v>22764900</v>
      </c>
      <c r="E87" s="165">
        <f>VLOOKUP(B87,'Snapshot (Volume)'!$A$7:$G$168,7,0)</f>
        <v>22813200</v>
      </c>
      <c r="F87" s="165">
        <f t="shared" si="27"/>
        <v>-48300</v>
      </c>
      <c r="G87" s="166">
        <f t="shared" si="28"/>
        <v>-2.1171953079795907E-3</v>
      </c>
      <c r="H87" s="165">
        <f>VLOOKUP($B87,'Data shares'!$C:$FB,66)</f>
        <v>15964200</v>
      </c>
      <c r="I87" s="165">
        <f>VLOOKUP($B87,'Data shares'!$C:$FB,67)</f>
        <v>7914300</v>
      </c>
      <c r="J87" s="81">
        <f t="shared" si="29"/>
        <v>101.71335430802471</v>
      </c>
      <c r="K87" s="5">
        <f>VLOOKUP($B87,'Data Vlaue (Cr)'!$C:$FB,99)</f>
        <v>5833</v>
      </c>
      <c r="L87" s="81">
        <f>VLOOKUP(B87,'OI(Value)'!$A$7:$C$209,3,0)</f>
        <v>-12</v>
      </c>
      <c r="M87" s="33">
        <f t="shared" si="22"/>
        <v>-0.20572604148808502</v>
      </c>
      <c r="N87" s="5">
        <f>VLOOKUP($B87,'Data Vlaue (Cr)'!$C:$FB,67)</f>
        <v>4091</v>
      </c>
      <c r="O87" s="5">
        <f>VLOOKUP($B87,'Data Vlaue (Cr)'!$C:$FB,68)</f>
        <v>2028</v>
      </c>
      <c r="P87" s="5">
        <f t="shared" si="30"/>
        <v>50.427768271816184</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HINDZINC</v>
      </c>
      <c r="C88" s="4">
        <f>VLOOKUP($B88,'Data shares'!$C:$FB,7)</f>
        <v>506.7</v>
      </c>
      <c r="D88" s="82">
        <f>VLOOKUP($B88,'Data shares'!$C:$FB,98)</f>
        <v>72679250</v>
      </c>
      <c r="E88" s="165">
        <f>VLOOKUP(B88,'Snapshot (Volume)'!$A$7:$G$168,7,0)</f>
        <v>71576750</v>
      </c>
      <c r="F88" s="165">
        <f t="shared" si="27"/>
        <v>1102500</v>
      </c>
      <c r="G88" s="166">
        <f t="shared" si="28"/>
        <v>1.5403046380284101E-2</v>
      </c>
      <c r="H88" s="165">
        <f>VLOOKUP($B88,'Data shares'!$C:$FB,66)</f>
        <v>37962750</v>
      </c>
      <c r="I88" s="165">
        <f>VLOOKUP($B88,'Data shares'!$C:$FB,67)</f>
        <v>62389250</v>
      </c>
      <c r="J88" s="81">
        <f t="shared" si="29"/>
        <v>-39.151776948753195</v>
      </c>
      <c r="K88" s="5">
        <f>VLOOKUP($B88,'Data Vlaue (Cr)'!$C:$FB,99)</f>
        <v>3692</v>
      </c>
      <c r="L88" s="81">
        <f>VLOOKUP(B88,'OI(Value)'!$A$7:$C$209,3,0)</f>
        <v>56</v>
      </c>
      <c r="M88" s="33">
        <f t="shared" si="22"/>
        <v>1.5167930660888407</v>
      </c>
      <c r="N88" s="5">
        <f>VLOOKUP($B88,'Data Vlaue (Cr)'!$C:$FB,67)</f>
        <v>1928</v>
      </c>
      <c r="O88" s="5">
        <f>VLOOKUP($B88,'Data Vlaue (Cr)'!$C:$FB,68)</f>
        <v>3169</v>
      </c>
      <c r="P88" s="5">
        <f t="shared" si="30"/>
        <v>-64.367219917012449</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Realty</v>
      </c>
      <c r="B89" s="79" t="str">
        <f>'Data shares'!C84</f>
        <v>HUDCO</v>
      </c>
      <c r="C89" s="4">
        <f>VLOOKUP($B89,'Data shares'!$C:$FB,7)</f>
        <v>227.99</v>
      </c>
      <c r="D89" s="82">
        <f>VLOOKUP($B89,'Data shares'!$C:$FB,98)</f>
        <v>54723000</v>
      </c>
      <c r="E89" s="165">
        <f>VLOOKUP(B89,'Snapshot (Volume)'!$A$7:$G$168,7,0)</f>
        <v>52211625</v>
      </c>
      <c r="F89" s="165">
        <f t="shared" si="27"/>
        <v>2511375</v>
      </c>
      <c r="G89" s="166">
        <f t="shared" si="28"/>
        <v>4.8099920276375233E-2</v>
      </c>
      <c r="H89" s="165">
        <f>VLOOKUP($B89,'Data shares'!$C:$FB,66)</f>
        <v>30438975</v>
      </c>
      <c r="I89" s="165">
        <f>VLOOKUP($B89,'Data shares'!$C:$FB,67)</f>
        <v>25557750</v>
      </c>
      <c r="J89" s="81">
        <f t="shared" si="29"/>
        <v>19.098805646036919</v>
      </c>
      <c r="K89" s="5">
        <f>VLOOKUP($B89,'Data Vlaue (Cr)'!$C:$FB,99)</f>
        <v>1253</v>
      </c>
      <c r="L89" s="81">
        <f>VLOOKUP(B89,'OI(Value)'!$A$7:$C$209,3,0)</f>
        <v>57</v>
      </c>
      <c r="M89" s="33">
        <f t="shared" si="22"/>
        <v>4.5490822027134881</v>
      </c>
      <c r="N89" s="5">
        <f>VLOOKUP($B89,'Data Vlaue (Cr)'!$C:$FB,67)</f>
        <v>697</v>
      </c>
      <c r="O89" s="5">
        <f>VLOOKUP($B89,'Data Vlaue (Cr)'!$C:$FB,68)</f>
        <v>585</v>
      </c>
      <c r="P89" s="5">
        <f t="shared" si="30"/>
        <v>16.068866571018649</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ICICIBANK</v>
      </c>
      <c r="C90" s="4">
        <f>VLOOKUP($B90,'Data shares'!$C:$FB,7)</f>
        <v>1417.3</v>
      </c>
      <c r="D90" s="82">
        <f>VLOOKUP($B90,'Data shares'!$C:$FB,98)</f>
        <v>153281800</v>
      </c>
      <c r="E90" s="165">
        <f>VLOOKUP(B90,'Snapshot (Volume)'!$A$7:$G$168,7,0)</f>
        <v>155801800</v>
      </c>
      <c r="F90" s="165">
        <f t="shared" si="27"/>
        <v>-2520000</v>
      </c>
      <c r="G90" s="166">
        <f t="shared" si="28"/>
        <v>-1.6174395931240846E-2</v>
      </c>
      <c r="H90" s="165">
        <f>VLOOKUP($B90,'Data shares'!$C:$FB,66)</f>
        <v>89485200</v>
      </c>
      <c r="I90" s="165">
        <f>VLOOKUP($B90,'Data shares'!$C:$FB,67)</f>
        <v>63914900</v>
      </c>
      <c r="J90" s="81">
        <f t="shared" si="29"/>
        <v>40.00679027894904</v>
      </c>
      <c r="K90" s="5">
        <f>VLOOKUP($B90,'Data Vlaue (Cr)'!$C:$FB,99)</f>
        <v>21751</v>
      </c>
      <c r="L90" s="81">
        <f>VLOOKUP(B90,'OI(Value)'!$A$7:$C$209,3,0)</f>
        <v>-358</v>
      </c>
      <c r="M90" s="33">
        <f t="shared" si="22"/>
        <v>-1.6459013378695233</v>
      </c>
      <c r="N90" s="5">
        <f>VLOOKUP($B90,'Data Vlaue (Cr)'!$C:$FB,67)</f>
        <v>12698</v>
      </c>
      <c r="O90" s="5">
        <f>VLOOKUP($B90,'Data Vlaue (Cr)'!$C:$FB,68)</f>
        <v>9070</v>
      </c>
      <c r="P90" s="5">
        <f t="shared" si="30"/>
        <v>28.571428571428569</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ICICIGI</v>
      </c>
      <c r="C91" s="4">
        <f>VLOOKUP($B91,'Data shares'!$C:$FB,7)</f>
        <v>2010.1</v>
      </c>
      <c r="D91" s="82">
        <f>VLOOKUP($B91,'Data shares'!$C:$FB,98)</f>
        <v>12104950</v>
      </c>
      <c r="E91" s="165">
        <f>VLOOKUP(B91,'Snapshot (Volume)'!$A$7:$G$168,7,0)</f>
        <v>13953225</v>
      </c>
      <c r="F91" s="165">
        <f t="shared" si="27"/>
        <v>-1848275</v>
      </c>
      <c r="G91" s="166">
        <f t="shared" si="28"/>
        <v>-0.13246220855751986</v>
      </c>
      <c r="H91" s="165">
        <f>VLOOKUP($B91,'Data shares'!$C:$FB,66)</f>
        <v>16168425</v>
      </c>
      <c r="I91" s="165">
        <f>VLOOKUP($B91,'Data shares'!$C:$FB,67)</f>
        <v>79620125</v>
      </c>
      <c r="J91" s="81">
        <f t="shared" si="29"/>
        <v>-79.69304243116926</v>
      </c>
      <c r="K91" s="5">
        <f>VLOOKUP($B91,'Data Vlaue (Cr)'!$C:$FB,99)</f>
        <v>2427</v>
      </c>
      <c r="L91" s="81">
        <f>VLOOKUP(B91,'OI(Value)'!$A$7:$C$209,3,0)</f>
        <v>-371</v>
      </c>
      <c r="M91" s="33">
        <f t="shared" si="22"/>
        <v>-15.286361763494025</v>
      </c>
      <c r="N91" s="5">
        <f>VLOOKUP($B91,'Data Vlaue (Cr)'!$C:$FB,67)</f>
        <v>3242</v>
      </c>
      <c r="O91" s="5">
        <f>VLOOKUP($B91,'Data Vlaue (Cr)'!$C:$FB,68)</f>
        <v>15966</v>
      </c>
      <c r="P91" s="5">
        <f t="shared" si="30"/>
        <v>-392.47378161628626</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Finance</v>
      </c>
      <c r="B92" s="79" t="str">
        <f>'Data shares'!C87</f>
        <v>ICICIPRULI</v>
      </c>
      <c r="C92" s="4">
        <f>VLOOKUP($B92,'Data shares'!$C:$FB,7)</f>
        <v>587</v>
      </c>
      <c r="D92" s="82">
        <f>VLOOKUP($B92,'Data shares'!$C:$FB,98)</f>
        <v>24337675</v>
      </c>
      <c r="E92" s="165">
        <f>VLOOKUP(B92,'Snapshot (Volume)'!$A$7:$G$168,7,0)</f>
        <v>24262750</v>
      </c>
      <c r="F92" s="165">
        <f t="shared" si="27"/>
        <v>74925</v>
      </c>
      <c r="G92" s="166">
        <f t="shared" si="28"/>
        <v>3.0880670987418987E-3</v>
      </c>
      <c r="H92" s="165">
        <f>VLOOKUP($B92,'Data shares'!$C:$FB,66)</f>
        <v>14698250</v>
      </c>
      <c r="I92" s="165">
        <f>VLOOKUP($B92,'Data shares'!$C:$FB,67)</f>
        <v>60770650</v>
      </c>
      <c r="J92" s="81">
        <f t="shared" si="29"/>
        <v>-75.813571189381719</v>
      </c>
      <c r="K92" s="5">
        <f>VLOOKUP($B92,'Data Vlaue (Cr)'!$C:$FB,99)</f>
        <v>1434</v>
      </c>
      <c r="L92" s="81">
        <f>VLOOKUP(B92,'OI(Value)'!$A$7:$C$209,3,0)</f>
        <v>4</v>
      </c>
      <c r="M92" s="33">
        <f t="shared" si="22"/>
        <v>0.2789400278940028</v>
      </c>
      <c r="N92" s="5">
        <f>VLOOKUP($B92,'Data Vlaue (Cr)'!$C:$FB,67)</f>
        <v>866</v>
      </c>
      <c r="O92" s="5">
        <f>VLOOKUP($B92,'Data Vlaue (Cr)'!$C:$FB,68)</f>
        <v>3581</v>
      </c>
      <c r="P92" s="5">
        <f t="shared" si="30"/>
        <v>-313.51039260969975</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Telecom</v>
      </c>
      <c r="B93" s="79" t="str">
        <f>'Data shares'!C88</f>
        <v>IDEA</v>
      </c>
      <c r="C93" s="4">
        <f>VLOOKUP($B93,'Data shares'!$C:$FB,7)</f>
        <v>8.85</v>
      </c>
      <c r="D93" s="82">
        <f>VLOOKUP($B93,'Data shares'!$C:$FB,98)</f>
        <v>10196337600</v>
      </c>
      <c r="E93" s="165">
        <f>VLOOKUP(B93,'Snapshot (Volume)'!$A$7:$G$168,7,0)</f>
        <v>10104849600</v>
      </c>
      <c r="F93" s="165">
        <f t="shared" si="27"/>
        <v>91488000</v>
      </c>
      <c r="G93" s="166">
        <f t="shared" si="28"/>
        <v>9.0538705296514255E-3</v>
      </c>
      <c r="H93" s="165">
        <f>VLOOKUP($B93,'Data shares'!$C:$FB,66)</f>
        <v>1691241450</v>
      </c>
      <c r="I93" s="165">
        <f>VLOOKUP($B93,'Data shares'!$C:$FB,67)</f>
        <v>3156050100</v>
      </c>
      <c r="J93" s="81">
        <f t="shared" si="29"/>
        <v>-46.412718543346315</v>
      </c>
      <c r="K93" s="5">
        <f>VLOOKUP($B93,'Data Vlaue (Cr)'!$C:$FB,99)</f>
        <v>9054</v>
      </c>
      <c r="L93" s="81">
        <f>VLOOKUP(B93,'OI(Value)'!$A$7:$C$209,3,0)</f>
        <v>81</v>
      </c>
      <c r="M93" s="33">
        <f t="shared" si="22"/>
        <v>0.89463220675944333</v>
      </c>
      <c r="N93" s="5">
        <f>VLOOKUP($B93,'Data Vlaue (Cr)'!$C:$FB,67)</f>
        <v>1502</v>
      </c>
      <c r="O93" s="5">
        <f>VLOOKUP($B93,'Data Vlaue (Cr)'!$C:$FB,68)</f>
        <v>2803</v>
      </c>
      <c r="P93" s="5">
        <f t="shared" si="30"/>
        <v>-86.617842876165113</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IDFCFIRSTB</v>
      </c>
      <c r="C94" s="4">
        <f>VLOOKUP($B94,'Data shares'!$C:$FB,7)</f>
        <v>71.790000000000006</v>
      </c>
      <c r="D94" s="82">
        <f>VLOOKUP($B94,'Data shares'!$C:$FB,98)</f>
        <v>674997400</v>
      </c>
      <c r="E94" s="165">
        <f>VLOOKUP(B94,'Snapshot (Volume)'!$A$7:$G$168,7,0)</f>
        <v>648062800</v>
      </c>
      <c r="F94" s="165">
        <f t="shared" si="27"/>
        <v>26934600</v>
      </c>
      <c r="G94" s="166">
        <f t="shared" si="28"/>
        <v>4.1561712846347604E-2</v>
      </c>
      <c r="H94" s="165">
        <f>VLOOKUP($B94,'Data shares'!$C:$FB,66)</f>
        <v>314209175</v>
      </c>
      <c r="I94" s="165">
        <f>VLOOKUP($B94,'Data shares'!$C:$FB,67)</f>
        <v>171170125</v>
      </c>
      <c r="J94" s="81">
        <f t="shared" si="29"/>
        <v>83.56542942292063</v>
      </c>
      <c r="K94" s="5">
        <f>VLOOKUP($B94,'Data Vlaue (Cr)'!$C:$FB,99)</f>
        <v>4853</v>
      </c>
      <c r="L94" s="81">
        <f>VLOOKUP(B94,'OI(Value)'!$A$7:$C$209,3,0)</f>
        <v>194</v>
      </c>
      <c r="M94" s="33">
        <f t="shared" ref="M94:M122" si="31">L94/K94*100</f>
        <v>3.9975273026993614</v>
      </c>
      <c r="N94" s="5">
        <f>VLOOKUP($B94,'Data Vlaue (Cr)'!$C:$FB,67)</f>
        <v>2259</v>
      </c>
      <c r="O94" s="5">
        <f>VLOOKUP($B94,'Data Vlaue (Cr)'!$C:$FB,68)</f>
        <v>1231</v>
      </c>
      <c r="P94" s="5">
        <f t="shared" si="30"/>
        <v>45.506861443116428</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Power</v>
      </c>
      <c r="B95" s="79" t="str">
        <f>'Data shares'!C90</f>
        <v>IEX</v>
      </c>
      <c r="C95" s="4">
        <f>VLOOKUP($B95,'Data shares'!$C:$FB,7)</f>
        <v>134.79</v>
      </c>
      <c r="D95" s="82">
        <f>VLOOKUP($B95,'Data shares'!$C:$FB,98)</f>
        <v>135506250</v>
      </c>
      <c r="E95" s="165">
        <f>VLOOKUP(B95,'Snapshot (Volume)'!$A$7:$G$168,7,0)</f>
        <v>128951250</v>
      </c>
      <c r="F95" s="165">
        <f t="shared" si="27"/>
        <v>6555000</v>
      </c>
      <c r="G95" s="166">
        <f t="shared" si="28"/>
        <v>5.0833163695582634E-2</v>
      </c>
      <c r="H95" s="165">
        <f>VLOOKUP($B95,'Data shares'!$C:$FB,66)</f>
        <v>56017500</v>
      </c>
      <c r="I95" s="165">
        <f>VLOOKUP($B95,'Data shares'!$C:$FB,67)</f>
        <v>78405000</v>
      </c>
      <c r="J95" s="81">
        <f t="shared" si="29"/>
        <v>-28.553663669408841</v>
      </c>
      <c r="K95" s="5">
        <f>VLOOKUP($B95,'Data Vlaue (Cr)'!$C:$FB,99)</f>
        <v>1830</v>
      </c>
      <c r="L95" s="81">
        <f>VLOOKUP(B95,'OI(Value)'!$A$7:$C$209,3,0)</f>
        <v>89</v>
      </c>
      <c r="M95" s="33">
        <f t="shared" si="31"/>
        <v>4.863387978142077</v>
      </c>
      <c r="N95" s="5">
        <f>VLOOKUP($B95,'Data Vlaue (Cr)'!$C:$FB,67)</f>
        <v>756</v>
      </c>
      <c r="O95" s="5">
        <f>VLOOKUP($B95,'Data Vlaue (Cr)'!$C:$FB,68)</f>
        <v>1059</v>
      </c>
      <c r="P95" s="5">
        <f t="shared" si="30"/>
        <v>-40.079365079365083</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IGL</v>
      </c>
      <c r="C96" s="4">
        <f>VLOOKUP($B96,'Data shares'!$C:$FB,7)</f>
        <v>213.67</v>
      </c>
      <c r="D96" s="82">
        <f>VLOOKUP($B96,'Data shares'!$C:$FB,98)</f>
        <v>50484500</v>
      </c>
      <c r="E96" s="165">
        <f>VLOOKUP(B96,'Snapshot (Volume)'!$A$7:$G$168,7,0)</f>
        <v>50206750</v>
      </c>
      <c r="F96" s="165">
        <f t="shared" si="27"/>
        <v>277750</v>
      </c>
      <c r="G96" s="166">
        <f t="shared" si="28"/>
        <v>5.5321246645122415E-3</v>
      </c>
      <c r="H96" s="165">
        <f>VLOOKUP($B96,'Data shares'!$C:$FB,66)</f>
        <v>14250500</v>
      </c>
      <c r="I96" s="165">
        <f>VLOOKUP($B96,'Data shares'!$C:$FB,67)</f>
        <v>28652250</v>
      </c>
      <c r="J96" s="81">
        <f t="shared" si="29"/>
        <v>-50.263940877243499</v>
      </c>
      <c r="K96" s="5">
        <f>VLOOKUP($B96,'Data Vlaue (Cr)'!$C:$FB,99)</f>
        <v>1080</v>
      </c>
      <c r="L96" s="81">
        <f>VLOOKUP(B96,'OI(Value)'!$A$7:$C$209,3,0)</f>
        <v>6</v>
      </c>
      <c r="M96" s="33">
        <f t="shared" si="31"/>
        <v>0.55555555555555558</v>
      </c>
      <c r="N96" s="5">
        <f>VLOOKUP($B96,'Data Vlaue (Cr)'!$C:$FB,67)</f>
        <v>305</v>
      </c>
      <c r="O96" s="5">
        <f>VLOOKUP($B96,'Data Vlaue (Cr)'!$C:$FB,68)</f>
        <v>613</v>
      </c>
      <c r="P96" s="5">
        <f t="shared" si="30"/>
        <v>-100.98360655737706</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Finance</v>
      </c>
      <c r="B97" s="79" t="str">
        <f>'Data shares'!C92</f>
        <v>IIFL</v>
      </c>
      <c r="C97" s="4">
        <f>VLOOKUP($B97,'Data shares'!$C:$FB,7)</f>
        <v>499.9</v>
      </c>
      <c r="D97" s="82">
        <f>VLOOKUP($B97,'Data shares'!$C:$FB,98)</f>
        <v>23530650</v>
      </c>
      <c r="E97" s="165">
        <f>VLOOKUP(B97,'Snapshot (Volume)'!$A$7:$G$168,7,0)</f>
        <v>23844150</v>
      </c>
      <c r="F97" s="165">
        <f t="shared" ref="F97:F105" si="32">D97-E97</f>
        <v>-313500</v>
      </c>
      <c r="G97" s="166">
        <f t="shared" ref="G97:G105" si="33">F97/E97</f>
        <v>-1.3147879039512837E-2</v>
      </c>
      <c r="H97" s="165">
        <f>VLOOKUP($B97,'Data shares'!$C:$FB,66)</f>
        <v>8476050</v>
      </c>
      <c r="I97" s="165">
        <f>VLOOKUP($B97,'Data shares'!$C:$FB,67)</f>
        <v>30388050</v>
      </c>
      <c r="J97" s="81">
        <f t="shared" ref="J97:J105" si="34">(H97-I97)/I97*100</f>
        <v>-72.107292175707229</v>
      </c>
      <c r="K97" s="5">
        <f>VLOOKUP($B97,'Data Vlaue (Cr)'!$C:$FB,99)</f>
        <v>1180</v>
      </c>
      <c r="L97" s="81">
        <f>VLOOKUP(B97,'OI(Value)'!$A$7:$C$209,3,0)</f>
        <v>-16</v>
      </c>
      <c r="M97" s="33">
        <f t="shared" si="31"/>
        <v>-1.3559322033898304</v>
      </c>
      <c r="N97" s="5">
        <f>VLOOKUP($B97,'Data Vlaue (Cr)'!$C:$FB,67)</f>
        <v>425</v>
      </c>
      <c r="O97" s="5">
        <f>VLOOKUP($B97,'Data Vlaue (Cr)'!$C:$FB,68)</f>
        <v>1524</v>
      </c>
      <c r="P97" s="5">
        <f t="shared" ref="P97:P105" si="35">(N97-O97)/N97*100</f>
        <v>-258.58823529411768</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Realty</v>
      </c>
      <c r="B98" s="79" t="str">
        <f>'Data shares'!C93</f>
        <v>INDHOTEL</v>
      </c>
      <c r="C98" s="4">
        <f>VLOOKUP($B98,'Data shares'!$C:$FB,7)</f>
        <v>738.05</v>
      </c>
      <c r="D98" s="82">
        <f>VLOOKUP($B98,'Data shares'!$C:$FB,98)</f>
        <v>50689000</v>
      </c>
      <c r="E98" s="165">
        <f>VLOOKUP(B98,'Snapshot (Volume)'!$A$7:$G$168,7,0)</f>
        <v>53299000</v>
      </c>
      <c r="F98" s="165">
        <f t="shared" si="32"/>
        <v>-2610000</v>
      </c>
      <c r="G98" s="166">
        <f t="shared" si="33"/>
        <v>-4.896902380907709E-2</v>
      </c>
      <c r="H98" s="165">
        <f>VLOOKUP($B98,'Data shares'!$C:$FB,66)</f>
        <v>23320000</v>
      </c>
      <c r="I98" s="165">
        <f>VLOOKUP($B98,'Data shares'!$C:$FB,67)</f>
        <v>29297000</v>
      </c>
      <c r="J98" s="81">
        <f t="shared" si="34"/>
        <v>-20.401406287333174</v>
      </c>
      <c r="K98" s="5">
        <f>VLOOKUP($B98,'Data Vlaue (Cr)'!$C:$FB,99)</f>
        <v>3746</v>
      </c>
      <c r="L98" s="81">
        <f>VLOOKUP(B98,'OI(Value)'!$A$7:$C$209,3,0)</f>
        <v>-193</v>
      </c>
      <c r="M98" s="33">
        <f t="shared" si="31"/>
        <v>-5.152162306460224</v>
      </c>
      <c r="N98" s="5">
        <f>VLOOKUP($B98,'Data Vlaue (Cr)'!$C:$FB,67)</f>
        <v>1723</v>
      </c>
      <c r="O98" s="5">
        <f>VLOOKUP($B98,'Data Vlaue (Cr)'!$C:$FB,68)</f>
        <v>2165</v>
      </c>
      <c r="P98" s="5">
        <f t="shared" si="35"/>
        <v>-25.652930934416716</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INDIANB</v>
      </c>
      <c r="C99" s="4">
        <f>VLOOKUP($B99,'Data shares'!$C:$FB,7)</f>
        <v>771.05</v>
      </c>
      <c r="D99" s="82">
        <f>VLOOKUP($B99,'Data shares'!$C:$FB,98)</f>
        <v>16663000</v>
      </c>
      <c r="E99" s="165">
        <f>VLOOKUP(B99,'Snapshot (Volume)'!$A$7:$G$168,7,0)</f>
        <v>13763000</v>
      </c>
      <c r="F99" s="165">
        <f t="shared" si="32"/>
        <v>2900000</v>
      </c>
      <c r="G99" s="166">
        <f t="shared" si="33"/>
        <v>0.21070987430066118</v>
      </c>
      <c r="H99" s="165">
        <f>VLOOKUP($B99,'Data shares'!$C:$FB,66)</f>
        <v>60762000</v>
      </c>
      <c r="I99" s="165">
        <f>VLOOKUP($B99,'Data shares'!$C:$FB,67)</f>
        <v>6346000</v>
      </c>
      <c r="J99" s="81">
        <f t="shared" si="34"/>
        <v>857.48502994011972</v>
      </c>
      <c r="K99" s="5">
        <f>VLOOKUP($B99,'Data Vlaue (Cr)'!$C:$FB,99)</f>
        <v>1290</v>
      </c>
      <c r="L99" s="81">
        <f>VLOOKUP(B99,'OI(Value)'!$A$7:$C$209,3,0)</f>
        <v>225</v>
      </c>
      <c r="M99" s="33">
        <f t="shared" si="31"/>
        <v>17.441860465116278</v>
      </c>
      <c r="N99" s="5">
        <f>VLOOKUP($B99,'Data Vlaue (Cr)'!$C:$FB,67)</f>
        <v>4706</v>
      </c>
      <c r="O99" s="5">
        <f>VLOOKUP($B99,'Data Vlaue (Cr)'!$C:$FB,68)</f>
        <v>491</v>
      </c>
      <c r="P99" s="5">
        <f t="shared" si="35"/>
        <v>89.566510837229075</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Index</v>
      </c>
      <c r="B100" s="79" t="str">
        <f>'Data shares'!C95</f>
        <v>INDIAVIX</v>
      </c>
      <c r="C100" s="4">
        <f>VLOOKUP($B100,'Data shares'!$C:$FB,7)</f>
        <v>10.87</v>
      </c>
      <c r="D100" s="82">
        <f>VLOOKUP($B100,'Data shares'!$C:$FB,98)</f>
        <v>0</v>
      </c>
      <c r="E100" s="165">
        <f>VLOOKUP(B100,'Snapshot (Volume)'!$A$7:$G$168,7,0)</f>
        <v>0</v>
      </c>
      <c r="F100" s="165">
        <f t="shared" si="32"/>
        <v>0</v>
      </c>
      <c r="G100" s="166" t="e">
        <f t="shared" si="33"/>
        <v>#DIV/0!</v>
      </c>
      <c r="H100" s="165">
        <f>VLOOKUP($B100,'Data shares'!$C:$FB,66)</f>
        <v>0</v>
      </c>
      <c r="I100" s="165">
        <f>VLOOKUP($B100,'Data shares'!$C:$FB,67)</f>
        <v>0</v>
      </c>
      <c r="J100" s="81" t="e">
        <f t="shared" si="34"/>
        <v>#DIV/0!</v>
      </c>
      <c r="K100" s="5">
        <f>VLOOKUP($B100,'Data Vlaue (Cr)'!$C:$FB,99)</f>
        <v>0</v>
      </c>
      <c r="L100" s="81">
        <f>VLOOKUP(B100,'OI(Value)'!$A$7:$C$209,3,0)</f>
        <v>0</v>
      </c>
      <c r="M100" s="33" t="e">
        <f t="shared" si="31"/>
        <v>#DIV/0!</v>
      </c>
      <c r="N100" s="5">
        <f>VLOOKUP($B100,'Data Vlaue (Cr)'!$C:$FB,67)</f>
        <v>0</v>
      </c>
      <c r="O100" s="5">
        <f>VLOOKUP($B100,'Data Vlaue (Cr)'!$C:$FB,68)</f>
        <v>0</v>
      </c>
      <c r="P100" s="5" t="e">
        <f t="shared" si="35"/>
        <v>#DIV/0!</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Infrastructure</v>
      </c>
      <c r="B101" s="79" t="str">
        <f>'Data shares'!C96</f>
        <v>INDIGO</v>
      </c>
      <c r="C101" s="4">
        <f>VLOOKUP($B101,'Data shares'!$C:$FB,7)</f>
        <v>5881</v>
      </c>
      <c r="D101" s="82">
        <f>VLOOKUP($B101,'Data shares'!$C:$FB,98)</f>
        <v>11534850</v>
      </c>
      <c r="E101" s="165">
        <f>VLOOKUP(B101,'Snapshot (Volume)'!$A$7:$G$168,7,0)</f>
        <v>11308650</v>
      </c>
      <c r="F101" s="165">
        <f t="shared" si="32"/>
        <v>226200</v>
      </c>
      <c r="G101" s="166">
        <f t="shared" si="33"/>
        <v>2.0002387552890927E-2</v>
      </c>
      <c r="H101" s="165">
        <f>VLOOKUP($B101,'Data shares'!$C:$FB,66)</f>
        <v>5476050</v>
      </c>
      <c r="I101" s="165">
        <f>VLOOKUP($B101,'Data shares'!$C:$FB,67)</f>
        <v>8673450</v>
      </c>
      <c r="J101" s="81">
        <f t="shared" si="34"/>
        <v>-36.864223578852709</v>
      </c>
      <c r="K101" s="5">
        <f>VLOOKUP($B101,'Data Vlaue (Cr)'!$C:$FB,99)</f>
        <v>6798</v>
      </c>
      <c r="L101" s="81">
        <f>VLOOKUP(B101,'OI(Value)'!$A$7:$C$209,3,0)</f>
        <v>133</v>
      </c>
      <c r="M101" s="33">
        <f t="shared" si="31"/>
        <v>1.9564577817005002</v>
      </c>
      <c r="N101" s="5">
        <f>VLOOKUP($B101,'Data Vlaue (Cr)'!$C:$FB,67)</f>
        <v>3227</v>
      </c>
      <c r="O101" s="5">
        <f>VLOOKUP($B101,'Data Vlaue (Cr)'!$C:$FB,68)</f>
        <v>5112</v>
      </c>
      <c r="P101" s="5">
        <f t="shared" si="35"/>
        <v>-58.413387046792685</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Banking</v>
      </c>
      <c r="B102" s="79" t="str">
        <f>'Data shares'!C97</f>
        <v>INDUSINDBK</v>
      </c>
      <c r="C102" s="4">
        <f>VLOOKUP($B102,'Data shares'!$C:$FB,7)</f>
        <v>739.5</v>
      </c>
      <c r="D102" s="82">
        <f>VLOOKUP($B102,'Data shares'!$C:$FB,98)</f>
        <v>81106900</v>
      </c>
      <c r="E102" s="165">
        <f>VLOOKUP(B102,'Snapshot (Volume)'!$A$7:$G$168,7,0)</f>
        <v>79291100</v>
      </c>
      <c r="F102" s="165">
        <f t="shared" si="32"/>
        <v>1815800</v>
      </c>
      <c r="G102" s="166">
        <f t="shared" si="33"/>
        <v>2.2900426403467729E-2</v>
      </c>
      <c r="H102" s="165">
        <f>VLOOKUP($B102,'Data shares'!$C:$FB,66)</f>
        <v>20890800</v>
      </c>
      <c r="I102" s="165">
        <f>VLOOKUP($B102,'Data shares'!$C:$FB,67)</f>
        <v>30954000</v>
      </c>
      <c r="J102" s="81">
        <f t="shared" si="34"/>
        <v>-32.510176390773402</v>
      </c>
      <c r="K102" s="5">
        <f>VLOOKUP($B102,'Data Vlaue (Cr)'!$C:$FB,99)</f>
        <v>5999</v>
      </c>
      <c r="L102" s="81">
        <f>VLOOKUP(B102,'OI(Value)'!$A$7:$C$209,3,0)</f>
        <v>134</v>
      </c>
      <c r="M102" s="33">
        <f t="shared" si="31"/>
        <v>2.2337056176029337</v>
      </c>
      <c r="N102" s="5">
        <f>VLOOKUP($B102,'Data Vlaue (Cr)'!$C:$FB,67)</f>
        <v>1545</v>
      </c>
      <c r="O102" s="5">
        <f>VLOOKUP($B102,'Data Vlaue (Cr)'!$C:$FB,68)</f>
        <v>2290</v>
      </c>
      <c r="P102" s="5">
        <f t="shared" si="35"/>
        <v>-48.220064724919091</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INDUSTOWER</v>
      </c>
      <c r="C103" s="4">
        <f>VLOOKUP($B103,'Data shares'!$C:$FB,7)</f>
        <v>343.95</v>
      </c>
      <c r="D103" s="82">
        <f>VLOOKUP($B103,'Data shares'!$C:$FB,98)</f>
        <v>124999300</v>
      </c>
      <c r="E103" s="165">
        <f>VLOOKUP(B103,'Snapshot (Volume)'!$A$7:$G$168,7,0)</f>
        <v>124127200</v>
      </c>
      <c r="F103" s="165">
        <f t="shared" si="32"/>
        <v>872100</v>
      </c>
      <c r="G103" s="166">
        <f t="shared" si="33"/>
        <v>7.02585734633505E-3</v>
      </c>
      <c r="H103" s="165">
        <f>VLOOKUP($B103,'Data shares'!$C:$FB,66)</f>
        <v>17445400</v>
      </c>
      <c r="I103" s="165">
        <f>VLOOKUP($B103,'Data shares'!$C:$FB,67)</f>
        <v>34289000</v>
      </c>
      <c r="J103" s="81">
        <f t="shared" si="34"/>
        <v>-49.122459097669804</v>
      </c>
      <c r="K103" s="5">
        <f>VLOOKUP($B103,'Data Vlaue (Cr)'!$C:$FB,99)</f>
        <v>4317</v>
      </c>
      <c r="L103" s="81">
        <f>VLOOKUP(B103,'OI(Value)'!$A$7:$C$209,3,0)</f>
        <v>30</v>
      </c>
      <c r="M103" s="33">
        <f t="shared" si="31"/>
        <v>0.69492703266157052</v>
      </c>
      <c r="N103" s="5">
        <f>VLOOKUP($B103,'Data Vlaue (Cr)'!$C:$FB,67)</f>
        <v>603</v>
      </c>
      <c r="O103" s="5">
        <f>VLOOKUP($B103,'Data Vlaue (Cr)'!$C:$FB,68)</f>
        <v>1184</v>
      </c>
      <c r="P103" s="5">
        <f t="shared" si="35"/>
        <v>-96.35157545605307</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Technology</v>
      </c>
      <c r="B104" s="79" t="str">
        <f>'Data shares'!C99</f>
        <v>INFY</v>
      </c>
      <c r="C104" s="4">
        <f>VLOOKUP($B104,'Data shares'!$C:$FB,7)</f>
        <v>1471.5</v>
      </c>
      <c r="D104" s="82">
        <f>VLOOKUP($B104,'Data shares'!$C:$FB,98)</f>
        <v>146981600</v>
      </c>
      <c r="E104" s="165">
        <f>VLOOKUP(B104,'Snapshot (Volume)'!$A$7:$G$168,7,0)</f>
        <v>129865600</v>
      </c>
      <c r="F104" s="165">
        <f t="shared" si="32"/>
        <v>17116000</v>
      </c>
      <c r="G104" s="166">
        <f t="shared" si="33"/>
        <v>0.13179779710716311</v>
      </c>
      <c r="H104" s="165">
        <f>VLOOKUP($B104,'Data shares'!$C:$FB,66)</f>
        <v>109897200</v>
      </c>
      <c r="I104" s="165">
        <f>VLOOKUP($B104,'Data shares'!$C:$FB,67)</f>
        <v>65181600</v>
      </c>
      <c r="J104" s="81">
        <f t="shared" si="34"/>
        <v>68.601568540815194</v>
      </c>
      <c r="K104" s="5">
        <f>VLOOKUP($B104,'Data Vlaue (Cr)'!$C:$FB,99)</f>
        <v>21414</v>
      </c>
      <c r="L104" s="81">
        <f>VLOOKUP(B104,'OI(Value)'!$A$7:$C$209,3,0)</f>
        <v>2494</v>
      </c>
      <c r="M104" s="33">
        <f t="shared" si="31"/>
        <v>11.646586345381527</v>
      </c>
      <c r="N104" s="5">
        <f>VLOOKUP($B104,'Data Vlaue (Cr)'!$C:$FB,67)</f>
        <v>16011</v>
      </c>
      <c r="O104" s="5">
        <f>VLOOKUP($B104,'Data Vlaue (Cr)'!$C:$FB,68)</f>
        <v>9496</v>
      </c>
      <c r="P104" s="5">
        <f t="shared" si="35"/>
        <v>40.690775092124163</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INOXWIND</v>
      </c>
      <c r="C105" s="4">
        <f>VLOOKUP($B105,'Data shares'!$C:$FB,7)</f>
        <v>146.84</v>
      </c>
      <c r="D105" s="82">
        <f>VLOOKUP($B105,'Data shares'!$C:$FB,98)</f>
        <v>78770128</v>
      </c>
      <c r="E105" s="165">
        <f>VLOOKUP(B105,'Snapshot (Volume)'!$A$7:$G$168,7,0)</f>
        <v>77755808</v>
      </c>
      <c r="F105" s="165">
        <f t="shared" si="32"/>
        <v>1014320</v>
      </c>
      <c r="G105" s="166">
        <f t="shared" si="33"/>
        <v>1.3044941928968188E-2</v>
      </c>
      <c r="H105" s="165">
        <f>VLOOKUP($B105,'Data shares'!$C:$FB,66)</f>
        <v>14982488</v>
      </c>
      <c r="I105" s="165">
        <f>VLOOKUP($B105,'Data shares'!$C:$FB,67)</f>
        <v>21709720</v>
      </c>
      <c r="J105" s="81">
        <f t="shared" si="34"/>
        <v>-30.987189148455162</v>
      </c>
      <c r="K105" s="5">
        <f>VLOOKUP($B105,'Data Vlaue (Cr)'!$C:$FB,99)</f>
        <v>1160</v>
      </c>
      <c r="L105" s="81">
        <f>VLOOKUP(B105,'OI(Value)'!$A$7:$C$209,3,0)</f>
        <v>15</v>
      </c>
      <c r="M105" s="33">
        <f t="shared" si="31"/>
        <v>1.2931034482758621</v>
      </c>
      <c r="N105" s="5">
        <f>VLOOKUP($B105,'Data Vlaue (Cr)'!$C:$FB,67)</f>
        <v>221</v>
      </c>
      <c r="O105" s="5">
        <f>VLOOKUP($B105,'Data Vlaue (Cr)'!$C:$FB,68)</f>
        <v>320</v>
      </c>
      <c r="P105" s="5">
        <f t="shared" si="35"/>
        <v>-44.796380090497742</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IOC</v>
      </c>
      <c r="C106" s="79">
        <f>VLOOKUP($B106,'Data shares'!$C:$FB,7)</f>
        <v>153.66999999999999</v>
      </c>
      <c r="D106" s="80">
        <f>VLOOKUP($B106,'Data shares'!$C:$FB,98)</f>
        <v>194585625</v>
      </c>
      <c r="E106" s="165">
        <f>VLOOKUP(B106,'Snapshot (Volume)'!$A$7:$G$168,7,0)</f>
        <v>189510750</v>
      </c>
      <c r="F106" s="165">
        <f t="shared" ref="F106:F114" si="36">D106-E106</f>
        <v>5074875</v>
      </c>
      <c r="G106" s="166">
        <f t="shared" ref="G106:G114" si="37">F106/E106</f>
        <v>2.6778823892576013E-2</v>
      </c>
      <c r="H106" s="165">
        <f>VLOOKUP($B106,'Data shares'!$C:$FB,66)</f>
        <v>114855000</v>
      </c>
      <c r="I106" s="165">
        <f>VLOOKUP($B106,'Data shares'!$C:$FB,67)</f>
        <v>85990125</v>
      </c>
      <c r="J106" s="81">
        <f t="shared" ref="J106:J114" si="38">(H106-I106)/I106*100</f>
        <v>33.567662565905096</v>
      </c>
      <c r="K106" s="81">
        <f>VLOOKUP($B106,'Data Vlaue (Cr)'!$C:$FB,99)</f>
        <v>2995</v>
      </c>
      <c r="L106" s="81">
        <f>VLOOKUP(B106,'OI(Value)'!$A$7:$C$209,3,0)</f>
        <v>78</v>
      </c>
      <c r="M106" s="81">
        <f t="shared" si="31"/>
        <v>2.6043405676126881</v>
      </c>
      <c r="N106" s="81">
        <f>VLOOKUP($B106,'Data Vlaue (Cr)'!$C:$FB,67)</f>
        <v>1768</v>
      </c>
      <c r="O106" s="81">
        <f>VLOOKUP($B106,'Data Vlaue (Cr)'!$C:$FB,68)</f>
        <v>1324</v>
      </c>
      <c r="P106" s="81">
        <f t="shared" ref="P106:P114" si="39">(N106-O106)/N106*100</f>
        <v>25.113122171945701</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Infrastructure</v>
      </c>
      <c r="B107" s="79" t="str">
        <f>'Data shares'!C102</f>
        <v>IRCTC</v>
      </c>
      <c r="C107" s="79">
        <f>VLOOKUP($B107,'Data shares'!$C:$FB,7)</f>
        <v>718.9</v>
      </c>
      <c r="D107" s="80">
        <f>VLOOKUP($B107,'Data shares'!$C:$FB,98)</f>
        <v>31258500</v>
      </c>
      <c r="E107" s="165">
        <f>VLOOKUP(B107,'Snapshot (Volume)'!$A$7:$G$168,7,0)</f>
        <v>31621625</v>
      </c>
      <c r="F107" s="165">
        <f t="shared" si="36"/>
        <v>-363125</v>
      </c>
      <c r="G107" s="166">
        <f t="shared" si="37"/>
        <v>-1.1483438944077036E-2</v>
      </c>
      <c r="H107" s="165">
        <f>VLOOKUP($B107,'Data shares'!$C:$FB,66)</f>
        <v>11939375</v>
      </c>
      <c r="I107" s="165">
        <f>VLOOKUP($B107,'Data shares'!$C:$FB,67)</f>
        <v>19043500</v>
      </c>
      <c r="J107" s="81">
        <f t="shared" si="38"/>
        <v>-37.304723396434483</v>
      </c>
      <c r="K107" s="81">
        <f>VLOOKUP($B107,'Data Vlaue (Cr)'!$C:$FB,99)</f>
        <v>2254</v>
      </c>
      <c r="L107" s="81">
        <f>VLOOKUP(B107,'OI(Value)'!$A$7:$C$209,3,0)</f>
        <v>-26</v>
      </c>
      <c r="M107" s="81">
        <f t="shared" si="31"/>
        <v>-1.1535048802129548</v>
      </c>
      <c r="N107" s="81">
        <f>VLOOKUP($B107,'Data Vlaue (Cr)'!$C:$FB,67)</f>
        <v>861</v>
      </c>
      <c r="O107" s="81">
        <f>VLOOKUP($B107,'Data Vlaue (Cr)'!$C:$FB,68)</f>
        <v>1373</v>
      </c>
      <c r="P107" s="81">
        <f t="shared" si="39"/>
        <v>-59.465737514518004</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IREDA</v>
      </c>
      <c r="C108" s="4">
        <f>VLOOKUP($B108,'Data shares'!$C:$FB,7)</f>
        <v>153.13</v>
      </c>
      <c r="D108" s="82">
        <f>VLOOKUP($B108,'Data shares'!$C:$FB,98)</f>
        <v>119928900</v>
      </c>
      <c r="E108" s="165">
        <f>VLOOKUP(B108,'Snapshot (Volume)'!$A$7:$G$168,7,0)</f>
        <v>113439450</v>
      </c>
      <c r="F108" s="165">
        <f t="shared" si="36"/>
        <v>6489450</v>
      </c>
      <c r="G108" s="166">
        <f t="shared" si="37"/>
        <v>5.7206289346431072E-2</v>
      </c>
      <c r="H108" s="165">
        <f>VLOOKUP($B108,'Data shares'!$C:$FB,66)</f>
        <v>71487450</v>
      </c>
      <c r="I108" s="165">
        <f>VLOOKUP($B108,'Data shares'!$C:$FB,67)</f>
        <v>267130050</v>
      </c>
      <c r="J108" s="81">
        <f t="shared" si="38"/>
        <v>-73.238709010835734</v>
      </c>
      <c r="K108" s="5">
        <f>VLOOKUP($B108,'Data Vlaue (Cr)'!$C:$FB,99)</f>
        <v>1837</v>
      </c>
      <c r="L108" s="81">
        <f>VLOOKUP(B108,'OI(Value)'!$A$7:$C$209,3,0)</f>
        <v>99</v>
      </c>
      <c r="M108" s="33">
        <f t="shared" si="31"/>
        <v>5.3892215568862278</v>
      </c>
      <c r="N108" s="5">
        <f>VLOOKUP($B108,'Data Vlaue (Cr)'!$C:$FB,67)</f>
        <v>1095</v>
      </c>
      <c r="O108" s="5">
        <f>VLOOKUP($B108,'Data Vlaue (Cr)'!$C:$FB,68)</f>
        <v>4092</v>
      </c>
      <c r="P108" s="5">
        <f t="shared" si="39"/>
        <v>-273.69863013698631</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Infrastructure</v>
      </c>
      <c r="B109" s="79" t="str">
        <f>'Data shares'!C104</f>
        <v>IRFC</v>
      </c>
      <c r="C109" s="4">
        <f>VLOOKUP($B109,'Data shares'!$C:$FB,7)</f>
        <v>124.72</v>
      </c>
      <c r="D109" s="82">
        <f>VLOOKUP($B109,'Data shares'!$C:$FB,98)</f>
        <v>112799250</v>
      </c>
      <c r="E109" s="165">
        <f>VLOOKUP(B109,'Snapshot (Volume)'!$A$7:$G$168,7,0)</f>
        <v>108829750</v>
      </c>
      <c r="F109" s="165">
        <f t="shared" si="36"/>
        <v>3969500</v>
      </c>
      <c r="G109" s="166">
        <f t="shared" si="37"/>
        <v>3.647440153083141E-2</v>
      </c>
      <c r="H109" s="165">
        <f>VLOOKUP($B109,'Data shares'!$C:$FB,66)</f>
        <v>58790250</v>
      </c>
      <c r="I109" s="165">
        <f>VLOOKUP($B109,'Data shares'!$C:$FB,67)</f>
        <v>172061250</v>
      </c>
      <c r="J109" s="81">
        <f t="shared" si="38"/>
        <v>-65.831789551685802</v>
      </c>
      <c r="K109" s="5">
        <f>VLOOKUP($B109,'Data Vlaue (Cr)'!$C:$FB,99)</f>
        <v>1397</v>
      </c>
      <c r="L109" s="81">
        <f>VLOOKUP(B109,'OI(Value)'!$A$7:$C$209,3,0)</f>
        <v>49</v>
      </c>
      <c r="M109" s="33">
        <f t="shared" si="31"/>
        <v>3.5075161059413031</v>
      </c>
      <c r="N109" s="5">
        <f>VLOOKUP($B109,'Data Vlaue (Cr)'!$C:$FB,67)</f>
        <v>728</v>
      </c>
      <c r="O109" s="5">
        <f>VLOOKUP($B109,'Data Vlaue (Cr)'!$C:$FB,68)</f>
        <v>2131</v>
      </c>
      <c r="P109" s="5">
        <f t="shared" si="39"/>
        <v>-192.71978021978023</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FMCG</v>
      </c>
      <c r="B110" s="79" t="str">
        <f>'Data shares'!C105</f>
        <v>ITC</v>
      </c>
      <c r="C110" s="4">
        <f>VLOOKUP($B110,'Data shares'!$C:$FB,7)</f>
        <v>405.15</v>
      </c>
      <c r="D110" s="82">
        <f>VLOOKUP($B110,'Data shares'!$C:$FB,98)</f>
        <v>221566400</v>
      </c>
      <c r="E110" s="165">
        <f>VLOOKUP(B110,'Snapshot (Volume)'!$A$7:$G$168,7,0)</f>
        <v>224787200</v>
      </c>
      <c r="F110" s="165">
        <f t="shared" si="36"/>
        <v>-3220800</v>
      </c>
      <c r="G110" s="166">
        <f t="shared" si="37"/>
        <v>-1.4328217976824303E-2</v>
      </c>
      <c r="H110" s="165">
        <f>VLOOKUP($B110,'Data shares'!$C:$FB,66)</f>
        <v>141676800</v>
      </c>
      <c r="I110" s="165">
        <f>VLOOKUP($B110,'Data shares'!$C:$FB,67)</f>
        <v>80102400</v>
      </c>
      <c r="J110" s="81">
        <f t="shared" si="38"/>
        <v>76.869606903163941</v>
      </c>
      <c r="K110" s="5">
        <f>VLOOKUP($B110,'Data Vlaue (Cr)'!$C:$FB,99)</f>
        <v>9012</v>
      </c>
      <c r="L110" s="81">
        <f>VLOOKUP(B110,'OI(Value)'!$A$7:$C$209,3,0)</f>
        <v>-131</v>
      </c>
      <c r="M110" s="33">
        <f t="shared" si="31"/>
        <v>-1.4536173990235242</v>
      </c>
      <c r="N110" s="5">
        <f>VLOOKUP($B110,'Data Vlaue (Cr)'!$C:$FB,67)</f>
        <v>5763</v>
      </c>
      <c r="O110" s="5">
        <f>VLOOKUP($B110,'Data Vlaue (Cr)'!$C:$FB,68)</f>
        <v>3258</v>
      </c>
      <c r="P110" s="5">
        <f t="shared" si="39"/>
        <v>43.466944299843831</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Metals</v>
      </c>
      <c r="B111" s="79" t="str">
        <f>'Data shares'!C106</f>
        <v>JINDALSTEL</v>
      </c>
      <c r="C111" s="4">
        <f>VLOOKUP($B111,'Data shares'!$C:$FB,7)</f>
        <v>1022.8</v>
      </c>
      <c r="D111" s="82">
        <f>VLOOKUP($B111,'Data shares'!$C:$FB,98)</f>
        <v>26727500</v>
      </c>
      <c r="E111" s="165">
        <f>VLOOKUP(B111,'Snapshot (Volume)'!$A$7:$G$168,7,0)</f>
        <v>28091875</v>
      </c>
      <c r="F111" s="165">
        <f t="shared" si="36"/>
        <v>-1364375</v>
      </c>
      <c r="G111" s="166">
        <f t="shared" si="37"/>
        <v>-4.8568313791799232E-2</v>
      </c>
      <c r="H111" s="165">
        <f>VLOOKUP($B111,'Data shares'!$C:$FB,66)</f>
        <v>17321875</v>
      </c>
      <c r="I111" s="165">
        <f>VLOOKUP($B111,'Data shares'!$C:$FB,67)</f>
        <v>11690000</v>
      </c>
      <c r="J111" s="81">
        <f t="shared" si="38"/>
        <v>48.17686056458512</v>
      </c>
      <c r="K111" s="5">
        <f>VLOOKUP($B111,'Data Vlaue (Cr)'!$C:$FB,99)</f>
        <v>2739</v>
      </c>
      <c r="L111" s="81">
        <f>VLOOKUP(B111,'OI(Value)'!$A$7:$C$209,3,0)</f>
        <v>-140</v>
      </c>
      <c r="M111" s="33">
        <f t="shared" si="31"/>
        <v>-5.1113545089448698</v>
      </c>
      <c r="N111" s="5">
        <f>VLOOKUP($B111,'Data Vlaue (Cr)'!$C:$FB,67)</f>
        <v>1775</v>
      </c>
      <c r="O111" s="5">
        <f>VLOOKUP($B111,'Data Vlaue (Cr)'!$C:$FB,68)</f>
        <v>1198</v>
      </c>
      <c r="P111" s="5">
        <f t="shared" si="39"/>
        <v>32.507042253521128</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Finance</v>
      </c>
      <c r="B112" s="79" t="str">
        <f>'Data shares'!C107</f>
        <v>JIOFIN</v>
      </c>
      <c r="C112" s="4">
        <f>VLOOKUP($B112,'Data shares'!$C:$FB,7)</f>
        <v>312.10000000000002</v>
      </c>
      <c r="D112" s="82">
        <f>VLOOKUP($B112,'Data shares'!$C:$FB,98)</f>
        <v>257980650</v>
      </c>
      <c r="E112" s="165">
        <f>VLOOKUP(B112,'Snapshot (Volume)'!$A$7:$G$168,7,0)</f>
        <v>240595350</v>
      </c>
      <c r="F112" s="165">
        <f t="shared" si="36"/>
        <v>17385300</v>
      </c>
      <c r="G112" s="166">
        <f t="shared" si="37"/>
        <v>7.225950127465057E-2</v>
      </c>
      <c r="H112" s="165">
        <f>VLOOKUP($B112,'Data shares'!$C:$FB,66)</f>
        <v>131835000</v>
      </c>
      <c r="I112" s="165">
        <f>VLOOKUP($B112,'Data shares'!$C:$FB,67)</f>
        <v>181488150</v>
      </c>
      <c r="J112" s="81">
        <f t="shared" si="38"/>
        <v>-27.358893679835294</v>
      </c>
      <c r="K112" s="5">
        <f>VLOOKUP($B112,'Data Vlaue (Cr)'!$C:$FB,99)</f>
        <v>8083</v>
      </c>
      <c r="L112" s="81">
        <f>VLOOKUP(B112,'OI(Value)'!$A$7:$C$209,3,0)</f>
        <v>545</v>
      </c>
      <c r="M112" s="33">
        <f t="shared" si="31"/>
        <v>6.7425460843746139</v>
      </c>
      <c r="N112" s="5">
        <f>VLOOKUP($B112,'Data Vlaue (Cr)'!$C:$FB,67)</f>
        <v>4130</v>
      </c>
      <c r="O112" s="5">
        <f>VLOOKUP($B112,'Data Vlaue (Cr)'!$C:$FB,68)</f>
        <v>5686</v>
      </c>
      <c r="P112" s="5">
        <f t="shared" si="39"/>
        <v>-37.675544794188866</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Power</v>
      </c>
      <c r="B113" s="79" t="str">
        <f>'Data shares'!C108</f>
        <v>JSWENERGY</v>
      </c>
      <c r="C113" s="4">
        <f>VLOOKUP($B113,'Data shares'!$C:$FB,7)</f>
        <v>548.6</v>
      </c>
      <c r="D113" s="82">
        <f>VLOOKUP($B113,'Data shares'!$C:$FB,98)</f>
        <v>50654000</v>
      </c>
      <c r="E113" s="165">
        <f>VLOOKUP(B113,'Snapshot (Volume)'!$A$7:$G$168,7,0)</f>
        <v>50362000</v>
      </c>
      <c r="F113" s="165">
        <f t="shared" si="36"/>
        <v>292000</v>
      </c>
      <c r="G113" s="166">
        <f t="shared" si="37"/>
        <v>5.7980223184146773E-3</v>
      </c>
      <c r="H113" s="165">
        <f>VLOOKUP($B113,'Data shares'!$C:$FB,66)</f>
        <v>18941000</v>
      </c>
      <c r="I113" s="165">
        <f>VLOOKUP($B113,'Data shares'!$C:$FB,67)</f>
        <v>10857000</v>
      </c>
      <c r="J113" s="81">
        <f t="shared" si="38"/>
        <v>74.458874458874462</v>
      </c>
      <c r="K113" s="5">
        <f>VLOOKUP($B113,'Data Vlaue (Cr)'!$C:$FB,99)</f>
        <v>2783</v>
      </c>
      <c r="L113" s="81">
        <f>VLOOKUP(B113,'OI(Value)'!$A$7:$C$209,3,0)</f>
        <v>16</v>
      </c>
      <c r="M113" s="33">
        <f t="shared" si="31"/>
        <v>0.57491915199425081</v>
      </c>
      <c r="N113" s="5">
        <f>VLOOKUP($B113,'Data Vlaue (Cr)'!$C:$FB,67)</f>
        <v>1041</v>
      </c>
      <c r="O113" s="5">
        <f>VLOOKUP($B113,'Data Vlaue (Cr)'!$C:$FB,68)</f>
        <v>596</v>
      </c>
      <c r="P113" s="5">
        <f t="shared" si="39"/>
        <v>42.74735830931796</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Metals</v>
      </c>
      <c r="B114" s="79" t="str">
        <f>'Data shares'!C109</f>
        <v>JSWSTEEL</v>
      </c>
      <c r="C114" s="4">
        <f>VLOOKUP($B114,'Data shares'!$C:$FB,7)</f>
        <v>1172.0999999999999</v>
      </c>
      <c r="D114" s="82">
        <f>VLOOKUP($B114,'Data shares'!$C:$FB,98)</f>
        <v>55602450</v>
      </c>
      <c r="E114" s="165">
        <f>VLOOKUP(B114,'Snapshot (Volume)'!$A$7:$G$168,7,0)</f>
        <v>55354725</v>
      </c>
      <c r="F114" s="165">
        <f t="shared" si="36"/>
        <v>247725</v>
      </c>
      <c r="G114" s="166">
        <f t="shared" si="37"/>
        <v>4.4752277244625455E-3</v>
      </c>
      <c r="H114" s="165">
        <f>VLOOKUP($B114,'Data shares'!$C:$FB,66)</f>
        <v>9640350</v>
      </c>
      <c r="I114" s="165">
        <f>VLOOKUP($B114,'Data shares'!$C:$FB,67)</f>
        <v>8061525</v>
      </c>
      <c r="J114" s="81">
        <f t="shared" si="38"/>
        <v>19.584693962990873</v>
      </c>
      <c r="K114" s="5">
        <f>VLOOKUP($B114,'Data Vlaue (Cr)'!$C:$FB,99)</f>
        <v>6526</v>
      </c>
      <c r="L114" s="81">
        <f>VLOOKUP(B114,'OI(Value)'!$A$7:$C$209,3,0)</f>
        <v>29</v>
      </c>
      <c r="M114" s="33">
        <f t="shared" si="31"/>
        <v>0.44437634079068339</v>
      </c>
      <c r="N114" s="5">
        <f>VLOOKUP($B114,'Data Vlaue (Cr)'!$C:$FB,67)</f>
        <v>1131</v>
      </c>
      <c r="O114" s="5">
        <f>VLOOKUP($B114,'Data Vlaue (Cr)'!$C:$FB,68)</f>
        <v>946</v>
      </c>
      <c r="P114" s="5">
        <f t="shared" si="39"/>
        <v>16.357206012378427</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JUBLFOOD</v>
      </c>
      <c r="C115" s="79">
        <f>VLOOKUP($B115,'Data shares'!$C:$FB,7)</f>
        <v>595.29999999999995</v>
      </c>
      <c r="D115" s="80">
        <f>VLOOKUP($B115,'Data shares'!$C:$FB,98)</f>
        <v>38955000</v>
      </c>
      <c r="E115" s="165">
        <f>VLOOKUP(B115,'Snapshot (Volume)'!$A$7:$G$168,7,0)</f>
        <v>40815000</v>
      </c>
      <c r="F115" s="165">
        <f t="shared" ref="F115:F126" si="40">D115-E115</f>
        <v>-1860000</v>
      </c>
      <c r="G115" s="166">
        <f t="shared" ref="G115:G126" si="41">F115/E115</f>
        <v>-4.5571481073134877E-2</v>
      </c>
      <c r="H115" s="165">
        <f>VLOOKUP($B115,'Data shares'!$C:$FB,66)</f>
        <v>17542500</v>
      </c>
      <c r="I115" s="165">
        <f>VLOOKUP($B115,'Data shares'!$C:$FB,67)</f>
        <v>13681250</v>
      </c>
      <c r="J115" s="81">
        <f t="shared" ref="J115:J126" si="42">(H115-I115)/I115*100</f>
        <v>28.222932846048426</v>
      </c>
      <c r="K115" s="81">
        <f>VLOOKUP($B115,'Data Vlaue (Cr)'!$C:$FB,99)</f>
        <v>2324</v>
      </c>
      <c r="L115" s="81">
        <f>VLOOKUP(B115,'OI(Value)'!$A$7:$C$209,3,0)</f>
        <v>-111</v>
      </c>
      <c r="M115" s="81">
        <f t="shared" si="31"/>
        <v>-4.7762478485370057</v>
      </c>
      <c r="N115" s="81">
        <f>VLOOKUP($B115,'Data Vlaue (Cr)'!$C:$FB,67)</f>
        <v>1046</v>
      </c>
      <c r="O115" s="81">
        <f>VLOOKUP($B115,'Data Vlaue (Cr)'!$C:$FB,68)</f>
        <v>816</v>
      </c>
      <c r="P115" s="81">
        <f t="shared" ref="P115:P126" si="43">(N115-O115)/N115*100</f>
        <v>21.988527724665392</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KALYANKJIL</v>
      </c>
      <c r="C116" s="4">
        <f>VLOOKUP($B116,'Data shares'!$C:$FB,7)</f>
        <v>487.15</v>
      </c>
      <c r="D116" s="82">
        <f>VLOOKUP($B116,'Data shares'!$C:$FB,98)</f>
        <v>54926550</v>
      </c>
      <c r="E116" s="165">
        <f>VLOOKUP(B116,'Snapshot (Volume)'!$A$7:$G$168,7,0)</f>
        <v>56588000</v>
      </c>
      <c r="F116" s="165">
        <f t="shared" si="40"/>
        <v>-1661450</v>
      </c>
      <c r="G116" s="166">
        <f t="shared" si="41"/>
        <v>-2.9360465116279068E-2</v>
      </c>
      <c r="H116" s="165">
        <f>VLOOKUP($B116,'Data shares'!$C:$FB,66)</f>
        <v>47358375</v>
      </c>
      <c r="I116" s="165">
        <f>VLOOKUP($B116,'Data shares'!$C:$FB,67)</f>
        <v>19348725</v>
      </c>
      <c r="J116" s="81">
        <f t="shared" si="42"/>
        <v>144.76225177627984</v>
      </c>
      <c r="K116" s="5">
        <f>VLOOKUP($B116,'Data Vlaue (Cr)'!$C:$FB,99)</f>
        <v>2683</v>
      </c>
      <c r="L116" s="81">
        <f>VLOOKUP(B116,'OI(Value)'!$A$7:$C$209,3,0)</f>
        <v>-81</v>
      </c>
      <c r="M116" s="33">
        <f t="shared" si="31"/>
        <v>-3.0190085724934774</v>
      </c>
      <c r="N116" s="5">
        <f>VLOOKUP($B116,'Data Vlaue (Cr)'!$C:$FB,67)</f>
        <v>2313</v>
      </c>
      <c r="O116" s="5">
        <f>VLOOKUP($B116,'Data Vlaue (Cr)'!$C:$FB,68)</f>
        <v>945</v>
      </c>
      <c r="P116" s="5">
        <f t="shared" si="43"/>
        <v>59.143968871595334</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Capital_Goods</v>
      </c>
      <c r="B117" s="79" t="str">
        <f>'Data shares'!C112</f>
        <v>KAYNES</v>
      </c>
      <c r="C117" s="4">
        <f>VLOOKUP($B117,'Data shares'!$C:$FB,7)</f>
        <v>6991.5</v>
      </c>
      <c r="D117" s="82">
        <f>VLOOKUP($B117,'Data shares'!$C:$FB,98)</f>
        <v>4805600</v>
      </c>
      <c r="E117" s="165">
        <f>VLOOKUP(B117,'Snapshot (Volume)'!$A$7:$G$168,7,0)</f>
        <v>4619000</v>
      </c>
      <c r="F117" s="165">
        <f t="shared" si="40"/>
        <v>186600</v>
      </c>
      <c r="G117" s="166">
        <f t="shared" si="41"/>
        <v>4.0398354622212598E-2</v>
      </c>
      <c r="H117" s="165">
        <f>VLOOKUP($B117,'Data shares'!$C:$FB,66)</f>
        <v>5323100</v>
      </c>
      <c r="I117" s="165">
        <f>VLOOKUP($B117,'Data shares'!$C:$FB,67)</f>
        <v>2879000</v>
      </c>
      <c r="J117" s="81">
        <f t="shared" si="42"/>
        <v>84.894060437651959</v>
      </c>
      <c r="K117" s="5">
        <f>VLOOKUP($B117,'Data Vlaue (Cr)'!$C:$FB,99)</f>
        <v>3363</v>
      </c>
      <c r="L117" s="81">
        <f>VLOOKUP(B117,'OI(Value)'!$A$7:$C$209,3,0)</f>
        <v>131</v>
      </c>
      <c r="M117" s="33">
        <f t="shared" si="31"/>
        <v>3.8953315492120133</v>
      </c>
      <c r="N117" s="5">
        <f>VLOOKUP($B117,'Data Vlaue (Cr)'!$C:$FB,67)</f>
        <v>3726</v>
      </c>
      <c r="O117" s="5">
        <f>VLOOKUP($B117,'Data Vlaue (Cr)'!$C:$FB,68)</f>
        <v>2015</v>
      </c>
      <c r="P117" s="5">
        <f t="shared" si="43"/>
        <v>45.920558239398815</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Power</v>
      </c>
      <c r="B118" s="79" t="str">
        <f>'Data shares'!C113</f>
        <v>KEI</v>
      </c>
      <c r="C118" s="4">
        <f>VLOOKUP($B118,'Data shares'!$C:$FB,7)</f>
        <v>4172.6000000000004</v>
      </c>
      <c r="D118" s="82">
        <f>VLOOKUP($B118,'Data shares'!$C:$FB,98)</f>
        <v>4257750</v>
      </c>
      <c r="E118" s="165">
        <f>VLOOKUP(B118,'Snapshot (Volume)'!$A$7:$G$168,7,0)</f>
        <v>2650200</v>
      </c>
      <c r="F118" s="165">
        <f t="shared" si="40"/>
        <v>1607550</v>
      </c>
      <c r="G118" s="166">
        <f t="shared" si="41"/>
        <v>0.60657686212361328</v>
      </c>
      <c r="H118" s="165">
        <f>VLOOKUP($B118,'Data shares'!$C:$FB,66)</f>
        <v>19894175</v>
      </c>
      <c r="I118" s="165">
        <f>VLOOKUP($B118,'Data shares'!$C:$FB,67)</f>
        <v>5420100</v>
      </c>
      <c r="J118" s="81">
        <f t="shared" si="42"/>
        <v>267.04442722458992</v>
      </c>
      <c r="K118" s="5">
        <f>VLOOKUP($B118,'Data Vlaue (Cr)'!$C:$FB,99)</f>
        <v>1776</v>
      </c>
      <c r="L118" s="81">
        <f>VLOOKUP(B118,'OI(Value)'!$A$7:$C$209,3,0)</f>
        <v>671</v>
      </c>
      <c r="M118" s="33">
        <f t="shared" si="31"/>
        <v>37.781531531531535</v>
      </c>
      <c r="N118" s="5">
        <f>VLOOKUP($B118,'Data Vlaue (Cr)'!$C:$FB,67)</f>
        <v>8299</v>
      </c>
      <c r="O118" s="5">
        <f>VLOOKUP($B118,'Data Vlaue (Cr)'!$C:$FB,68)</f>
        <v>2261</v>
      </c>
      <c r="P118" s="5">
        <f t="shared" si="43"/>
        <v>72.75575370526569</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KFINTECH</v>
      </c>
      <c r="C119" s="4">
        <f>VLOOKUP($B119,'Data shares'!$C:$FB,7)</f>
        <v>1123.9000000000001</v>
      </c>
      <c r="D119" s="82">
        <f>VLOOKUP($B119,'Data shares'!$C:$FB,98)</f>
        <v>5338350</v>
      </c>
      <c r="E119" s="165">
        <f>VLOOKUP(B119,'Snapshot (Volume)'!$A$7:$G$168,7,0)</f>
        <v>5298750</v>
      </c>
      <c r="F119" s="165">
        <f t="shared" si="40"/>
        <v>39600</v>
      </c>
      <c r="G119" s="166">
        <f t="shared" si="41"/>
        <v>7.4734607218683649E-3</v>
      </c>
      <c r="H119" s="165">
        <f>VLOOKUP($B119,'Data shares'!$C:$FB,66)</f>
        <v>2688300</v>
      </c>
      <c r="I119" s="165">
        <f>VLOOKUP($B119,'Data shares'!$C:$FB,67)</f>
        <v>4181850</v>
      </c>
      <c r="J119" s="81">
        <f t="shared" si="42"/>
        <v>-35.715054341977833</v>
      </c>
      <c r="K119" s="5">
        <f>VLOOKUP($B119,'Data Vlaue (Cr)'!$C:$FB,99)</f>
        <v>602</v>
      </c>
      <c r="L119" s="81">
        <f>VLOOKUP(B119,'OI(Value)'!$A$7:$C$209,3,0)</f>
        <v>4</v>
      </c>
      <c r="M119" s="33">
        <f t="shared" si="31"/>
        <v>0.66445182724252494</v>
      </c>
      <c r="N119" s="5">
        <f>VLOOKUP($B119,'Data Vlaue (Cr)'!$C:$FB,67)</f>
        <v>303</v>
      </c>
      <c r="O119" s="5">
        <f>VLOOKUP($B119,'Data Vlaue (Cr)'!$C:$FB,68)</f>
        <v>472</v>
      </c>
      <c r="P119" s="5">
        <f t="shared" si="43"/>
        <v>-55.775577557755774</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Banking</v>
      </c>
      <c r="B120" s="79" t="str">
        <f>'Data shares'!C115</f>
        <v>KOTAKBANK</v>
      </c>
      <c r="C120" s="4">
        <f>VLOOKUP($B120,'Data shares'!$C:$FB,7)</f>
        <v>2205.4</v>
      </c>
      <c r="D120" s="82">
        <f>VLOOKUP($B120,'Data shares'!$C:$FB,98)</f>
        <v>52005200</v>
      </c>
      <c r="E120" s="165">
        <f>VLOOKUP(B120,'Snapshot (Volume)'!$A$7:$G$168,7,0)</f>
        <v>50637600</v>
      </c>
      <c r="F120" s="165">
        <f t="shared" si="40"/>
        <v>1367600</v>
      </c>
      <c r="G120" s="166">
        <f t="shared" si="41"/>
        <v>2.7007599096323682E-2</v>
      </c>
      <c r="H120" s="165">
        <f>VLOOKUP($B120,'Data shares'!$C:$FB,66)</f>
        <v>55751600</v>
      </c>
      <c r="I120" s="165">
        <f>VLOOKUP($B120,'Data shares'!$C:$FB,67)</f>
        <v>14695200</v>
      </c>
      <c r="J120" s="81">
        <f t="shared" si="42"/>
        <v>279.38646632914146</v>
      </c>
      <c r="K120" s="5">
        <f>VLOOKUP($B120,'Data Vlaue (Cr)'!$C:$FB,99)</f>
        <v>11483</v>
      </c>
      <c r="L120" s="81">
        <f>VLOOKUP(B120,'OI(Value)'!$A$7:$C$209,3,0)</f>
        <v>302</v>
      </c>
      <c r="M120" s="33">
        <f t="shared" si="31"/>
        <v>2.6299747452756246</v>
      </c>
      <c r="N120" s="5">
        <f>VLOOKUP($B120,'Data Vlaue (Cr)'!$C:$FB,67)</f>
        <v>12310</v>
      </c>
      <c r="O120" s="5">
        <f>VLOOKUP($B120,'Data Vlaue (Cr)'!$C:$FB,68)</f>
        <v>3245</v>
      </c>
      <c r="P120" s="5">
        <f t="shared" si="43"/>
        <v>73.639317627944763</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Technology</v>
      </c>
      <c r="B121" s="79" t="str">
        <f>'Data shares'!C116</f>
        <v>KPITTECH</v>
      </c>
      <c r="C121" s="4">
        <f>VLOOKUP($B121,'Data shares'!$C:$FB,7)</f>
        <v>1161.9000000000001</v>
      </c>
      <c r="D121" s="82">
        <f>VLOOKUP($B121,'Data shares'!$C:$FB,98)</f>
        <v>10530800</v>
      </c>
      <c r="E121" s="165">
        <f>VLOOKUP(B121,'Snapshot (Volume)'!$A$7:$G$168,7,0)</f>
        <v>10855200</v>
      </c>
      <c r="F121" s="165">
        <f t="shared" si="40"/>
        <v>-324400</v>
      </c>
      <c r="G121" s="166">
        <f t="shared" si="41"/>
        <v>-2.9884295084383523E-2</v>
      </c>
      <c r="H121" s="165">
        <f>VLOOKUP($B121,'Data shares'!$C:$FB,66)</f>
        <v>2867200</v>
      </c>
      <c r="I121" s="165">
        <f>VLOOKUP($B121,'Data shares'!$C:$FB,67)</f>
        <v>3153600</v>
      </c>
      <c r="J121" s="81">
        <f t="shared" si="42"/>
        <v>-9.0816844241501773</v>
      </c>
      <c r="K121" s="5">
        <f>VLOOKUP($B121,'Data Vlaue (Cr)'!$C:$FB,99)</f>
        <v>1225</v>
      </c>
      <c r="L121" s="81">
        <f>VLOOKUP(B121,'OI(Value)'!$A$7:$C$209,3,0)</f>
        <v>-38</v>
      </c>
      <c r="M121" s="33">
        <f t="shared" si="31"/>
        <v>-3.1020408163265305</v>
      </c>
      <c r="N121" s="5">
        <f>VLOOKUP($B121,'Data Vlaue (Cr)'!$C:$FB,67)</f>
        <v>333</v>
      </c>
      <c r="O121" s="5">
        <f>VLOOKUP($B121,'Data Vlaue (Cr)'!$C:$FB,68)</f>
        <v>367</v>
      </c>
      <c r="P121" s="5">
        <f t="shared" si="43"/>
        <v>-10.21021021021021</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Pharma</v>
      </c>
      <c r="B122" s="79" t="str">
        <f>'Data shares'!C117</f>
        <v>LAURUSLABS</v>
      </c>
      <c r="C122" s="4">
        <f>VLOOKUP($B122,'Data shares'!$C:$FB,7)</f>
        <v>872.85</v>
      </c>
      <c r="D122" s="82">
        <f>VLOOKUP($B122,'Data shares'!$C:$FB,98)</f>
        <v>48742400</v>
      </c>
      <c r="E122" s="165">
        <f>VLOOKUP(B122,'Snapshot (Volume)'!$A$7:$G$168,7,0)</f>
        <v>47377300</v>
      </c>
      <c r="F122" s="165">
        <f t="shared" si="40"/>
        <v>1365100</v>
      </c>
      <c r="G122" s="166">
        <f t="shared" si="41"/>
        <v>2.8813376870357746E-2</v>
      </c>
      <c r="H122" s="165">
        <f>VLOOKUP($B122,'Data shares'!$C:$FB,66)</f>
        <v>17353600</v>
      </c>
      <c r="I122" s="165">
        <f>VLOOKUP($B122,'Data shares'!$C:$FB,67)</f>
        <v>13130800</v>
      </c>
      <c r="J122" s="81">
        <f t="shared" si="42"/>
        <v>32.159502848265149</v>
      </c>
      <c r="K122" s="5">
        <f>VLOOKUP($B122,'Data Vlaue (Cr)'!$C:$FB,99)</f>
        <v>4273</v>
      </c>
      <c r="L122" s="81">
        <f>VLOOKUP(B122,'OI(Value)'!$A$7:$C$209,3,0)</f>
        <v>120</v>
      </c>
      <c r="M122" s="33">
        <f t="shared" si="31"/>
        <v>2.808331383103206</v>
      </c>
      <c r="N122" s="5">
        <f>VLOOKUP($B122,'Data Vlaue (Cr)'!$C:$FB,67)</f>
        <v>1521</v>
      </c>
      <c r="O122" s="5">
        <f>VLOOKUP($B122,'Data Vlaue (Cr)'!$C:$FB,68)</f>
        <v>1151</v>
      </c>
      <c r="P122" s="5">
        <f t="shared" si="43"/>
        <v>24.326101249178173</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LICHSGFIN</v>
      </c>
      <c r="C123" s="4">
        <f>VLOOKUP($B123,'Data shares'!$C:$FB,7)</f>
        <v>569.29999999999995</v>
      </c>
      <c r="D123" s="82">
        <f>VLOOKUP($B123,'Data shares'!$C:$FB,98)</f>
        <v>49000000</v>
      </c>
      <c r="E123" s="165">
        <f>VLOOKUP(B123,'Snapshot (Volume)'!$A$7:$G$168,7,0)</f>
        <v>48223000</v>
      </c>
      <c r="F123" s="165">
        <f t="shared" si="40"/>
        <v>777000</v>
      </c>
      <c r="G123" s="166">
        <f t="shared" si="41"/>
        <v>1.6112643344462187E-2</v>
      </c>
      <c r="H123" s="165">
        <f>VLOOKUP($B123,'Data shares'!$C:$FB,66)</f>
        <v>8904000</v>
      </c>
      <c r="I123" s="165">
        <f>VLOOKUP($B123,'Data shares'!$C:$FB,67)</f>
        <v>8964000</v>
      </c>
      <c r="J123" s="81">
        <f t="shared" si="42"/>
        <v>-0.66934404283801874</v>
      </c>
      <c r="K123" s="5">
        <f>VLOOKUP($B123,'Data Vlaue (Cr)'!$C:$FB,99)</f>
        <v>2794</v>
      </c>
      <c r="L123" s="81">
        <f>VLOOKUP(B123,'OI(Value)'!$A$7:$C$209,3,0)</f>
        <v>44</v>
      </c>
      <c r="M123" s="33">
        <f t="shared" ref="M123:M144" si="44">L123/K123*100</f>
        <v>1.5748031496062991</v>
      </c>
      <c r="N123" s="5">
        <f>VLOOKUP($B123,'Data Vlaue (Cr)'!$C:$FB,67)</f>
        <v>508</v>
      </c>
      <c r="O123" s="5">
        <f>VLOOKUP($B123,'Data Vlaue (Cr)'!$C:$FB,68)</f>
        <v>511</v>
      </c>
      <c r="P123" s="5">
        <f t="shared" si="43"/>
        <v>-0.59055118110236215</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LICI</v>
      </c>
      <c r="C124" s="4">
        <f>VLOOKUP($B124,'Data shares'!$C:$FB,7)</f>
        <v>894.15</v>
      </c>
      <c r="D124" s="82">
        <f>VLOOKUP($B124,'Data shares'!$C:$FB,98)</f>
        <v>15865500</v>
      </c>
      <c r="E124" s="165">
        <f>VLOOKUP(B124,'Snapshot (Volume)'!$A$7:$G$168,7,0)</f>
        <v>15349600</v>
      </c>
      <c r="F124" s="165">
        <f t="shared" si="40"/>
        <v>515900</v>
      </c>
      <c r="G124" s="166">
        <f t="shared" si="41"/>
        <v>3.360999635169646E-2</v>
      </c>
      <c r="H124" s="165">
        <f>VLOOKUP($B124,'Data shares'!$C:$FB,66)</f>
        <v>8654800</v>
      </c>
      <c r="I124" s="165">
        <f>VLOOKUP($B124,'Data shares'!$C:$FB,67)</f>
        <v>5215000</v>
      </c>
      <c r="J124" s="81">
        <f t="shared" si="42"/>
        <v>65.959731543624159</v>
      </c>
      <c r="K124" s="5">
        <f>VLOOKUP($B124,'Data Vlaue (Cr)'!$C:$FB,99)</f>
        <v>1420</v>
      </c>
      <c r="L124" s="81">
        <f>VLOOKUP(B124,'OI(Value)'!$A$7:$C$209,3,0)</f>
        <v>46</v>
      </c>
      <c r="M124" s="33">
        <f t="shared" si="44"/>
        <v>3.2394366197183095</v>
      </c>
      <c r="N124" s="5">
        <f>VLOOKUP($B124,'Data Vlaue (Cr)'!$C:$FB,67)</f>
        <v>774</v>
      </c>
      <c r="O124" s="5">
        <f>VLOOKUP($B124,'Data Vlaue (Cr)'!$C:$FB,68)</f>
        <v>467</v>
      </c>
      <c r="P124" s="5">
        <f t="shared" si="43"/>
        <v>39.664082687338507</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Realty</v>
      </c>
      <c r="B125" s="79" t="str">
        <f>'Data shares'!C120</f>
        <v>LODHA</v>
      </c>
      <c r="C125" s="4">
        <f>VLOOKUP($B125,'Data shares'!$C:$FB,7)</f>
        <v>1194.8</v>
      </c>
      <c r="D125" s="82">
        <f>VLOOKUP($B125,'Data shares'!$C:$FB,98)</f>
        <v>16718400</v>
      </c>
      <c r="E125" s="165">
        <f>VLOOKUP(B125,'Snapshot (Volume)'!$A$7:$G$168,7,0)</f>
        <v>18186300</v>
      </c>
      <c r="F125" s="165">
        <f t="shared" si="40"/>
        <v>-1467900</v>
      </c>
      <c r="G125" s="166">
        <f t="shared" si="41"/>
        <v>-8.0714603850150932E-2</v>
      </c>
      <c r="H125" s="165">
        <f>VLOOKUP($B125,'Data shares'!$C:$FB,66)</f>
        <v>14914350</v>
      </c>
      <c r="I125" s="165">
        <f>VLOOKUP($B125,'Data shares'!$C:$FB,67)</f>
        <v>18982800</v>
      </c>
      <c r="J125" s="81">
        <f t="shared" si="42"/>
        <v>-21.432296605348</v>
      </c>
      <c r="K125" s="5">
        <f>VLOOKUP($B125,'Data Vlaue (Cr)'!$C:$FB,99)</f>
        <v>2000</v>
      </c>
      <c r="L125" s="81">
        <f>VLOOKUP(B125,'OI(Value)'!$A$7:$C$209,3,0)</f>
        <v>-176</v>
      </c>
      <c r="M125" s="33">
        <f t="shared" si="44"/>
        <v>-8.7999999999999989</v>
      </c>
      <c r="N125" s="5">
        <f>VLOOKUP($B125,'Data Vlaue (Cr)'!$C:$FB,67)</f>
        <v>1784</v>
      </c>
      <c r="O125" s="5">
        <f>VLOOKUP($B125,'Data Vlaue (Cr)'!$C:$FB,68)</f>
        <v>2270</v>
      </c>
      <c r="P125" s="5">
        <f t="shared" si="43"/>
        <v>-27.242152466367713</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Capital_Goods</v>
      </c>
      <c r="B126" s="79" t="str">
        <f>'Data shares'!C121</f>
        <v>LT</v>
      </c>
      <c r="C126" s="4">
        <f>VLOOKUP($B126,'Data shares'!$C:$FB,7)</f>
        <v>3861.8</v>
      </c>
      <c r="D126" s="82">
        <f>VLOOKUP($B126,'Data shares'!$C:$FB,98)</f>
        <v>28471625</v>
      </c>
      <c r="E126" s="165">
        <f>VLOOKUP(B126,'Snapshot (Volume)'!$A$7:$G$168,7,0)</f>
        <v>27896400</v>
      </c>
      <c r="F126" s="165">
        <f t="shared" si="40"/>
        <v>575225</v>
      </c>
      <c r="G126" s="166">
        <f t="shared" si="41"/>
        <v>2.0620044163404596E-2</v>
      </c>
      <c r="H126" s="165">
        <f>VLOOKUP($B126,'Data shares'!$C:$FB,66)</f>
        <v>22309875</v>
      </c>
      <c r="I126" s="165">
        <f>VLOOKUP($B126,'Data shares'!$C:$FB,67)</f>
        <v>29716750</v>
      </c>
      <c r="J126" s="81">
        <f t="shared" si="42"/>
        <v>-24.924916082680642</v>
      </c>
      <c r="K126" s="5">
        <f>VLOOKUP($B126,'Data Vlaue (Cr)'!$C:$FB,99)</f>
        <v>11009</v>
      </c>
      <c r="L126" s="81">
        <f>VLOOKUP(B126,'OI(Value)'!$A$7:$C$209,3,0)</f>
        <v>222</v>
      </c>
      <c r="M126" s="33">
        <f t="shared" si="44"/>
        <v>2.0165319284222001</v>
      </c>
      <c r="N126" s="5">
        <f>VLOOKUP($B126,'Data Vlaue (Cr)'!$C:$FB,67)</f>
        <v>8627</v>
      </c>
      <c r="O126" s="5">
        <f>VLOOKUP($B126,'Data Vlaue (Cr)'!$C:$FB,68)</f>
        <v>11491</v>
      </c>
      <c r="P126" s="5">
        <f t="shared" si="43"/>
        <v>-33.198098991538195</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LTF</v>
      </c>
      <c r="C127" s="4">
        <f>VLOOKUP($B127,'Data shares'!$C:$FB,7)</f>
        <v>269.19</v>
      </c>
      <c r="D127" s="82">
        <f>VLOOKUP($B127,'Data shares'!$C:$FB,98)</f>
        <v>121250388</v>
      </c>
      <c r="E127" s="165">
        <f>VLOOKUP(B127,'Snapshot (Volume)'!$A$7:$G$168,7,0)</f>
        <v>117908350</v>
      </c>
      <c r="F127" s="165">
        <f>D127-E127</f>
        <v>3342038</v>
      </c>
      <c r="G127" s="166">
        <f>F127/E127</f>
        <v>2.8344370860927153E-2</v>
      </c>
      <c r="H127" s="165">
        <f>VLOOKUP($B127,'Data shares'!$C:$FB,66)</f>
        <v>285434140</v>
      </c>
      <c r="I127" s="165">
        <f>VLOOKUP($B127,'Data shares'!$C:$FB,67)</f>
        <v>151641070</v>
      </c>
      <c r="J127" s="81">
        <f>(H127-I127)/I127*100</f>
        <v>88.230101515374429</v>
      </c>
      <c r="K127" s="5">
        <f>VLOOKUP($B127,'Data Vlaue (Cr)'!$C:$FB,99)</f>
        <v>3269</v>
      </c>
      <c r="L127" s="81">
        <f>VLOOKUP(B127,'OI(Value)'!$A$7:$C$209,3,0)</f>
        <v>90</v>
      </c>
      <c r="M127" s="33">
        <f t="shared" si="44"/>
        <v>2.7531355154481494</v>
      </c>
      <c r="N127" s="5">
        <f>VLOOKUP($B127,'Data Vlaue (Cr)'!$C:$FB,67)</f>
        <v>7694</v>
      </c>
      <c r="O127" s="5">
        <f>VLOOKUP($B127,'Data Vlaue (Cr)'!$C:$FB,68)</f>
        <v>4088</v>
      </c>
      <c r="P127" s="5">
        <f>(N127-O127)/N127*100</f>
        <v>46.867689108396156</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Technology</v>
      </c>
      <c r="B128" s="79" t="str">
        <f>'Data shares'!C123</f>
        <v>LTIM</v>
      </c>
      <c r="C128" s="4">
        <f>VLOOKUP($B128,'Data shares'!$C:$FB,7)</f>
        <v>5622.5</v>
      </c>
      <c r="D128" s="82">
        <f>VLOOKUP($B128,'Data shares'!$C:$FB,98)</f>
        <v>5420100</v>
      </c>
      <c r="E128" s="165">
        <f>VLOOKUP(B128,'Snapshot (Volume)'!$A$7:$G$168,7,0)</f>
        <v>4908450</v>
      </c>
      <c r="F128" s="165">
        <f>D128-E128</f>
        <v>511650</v>
      </c>
      <c r="G128" s="166">
        <f>F128/E128</f>
        <v>0.10423860892949913</v>
      </c>
      <c r="H128" s="165">
        <f>VLOOKUP($B128,'Data shares'!$C:$FB,66)</f>
        <v>5543250</v>
      </c>
      <c r="I128" s="165">
        <f>VLOOKUP($B128,'Data shares'!$C:$FB,67)</f>
        <v>6659400</v>
      </c>
      <c r="J128" s="81">
        <f>(H128-I128)/I128*100</f>
        <v>-16.760518965672581</v>
      </c>
      <c r="K128" s="5">
        <f>VLOOKUP($B128,'Data Vlaue (Cr)'!$C:$FB,99)</f>
        <v>3046</v>
      </c>
      <c r="L128" s="81">
        <f>VLOOKUP(B128,'OI(Value)'!$A$7:$C$209,3,0)</f>
        <v>287</v>
      </c>
      <c r="M128" s="33">
        <f t="shared" si="44"/>
        <v>9.4221930400525267</v>
      </c>
      <c r="N128" s="5">
        <f>VLOOKUP($B128,'Data Vlaue (Cr)'!$C:$FB,67)</f>
        <v>3115</v>
      </c>
      <c r="O128" s="5">
        <f>VLOOKUP($B128,'Data Vlaue (Cr)'!$C:$FB,68)</f>
        <v>3742</v>
      </c>
      <c r="P128" s="5">
        <f>(N128-O128)/N128*100</f>
        <v>-20.12841091492777</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Pharma</v>
      </c>
      <c r="B129" s="79" t="str">
        <f>'Data shares'!C124</f>
        <v>LUPIN</v>
      </c>
      <c r="C129" s="4">
        <f>VLOOKUP($B129,'Data shares'!$C:$FB,7)</f>
        <v>1951.2</v>
      </c>
      <c r="D129" s="82">
        <f>VLOOKUP($B129,'Data shares'!$C:$FB,98)</f>
        <v>17473875</v>
      </c>
      <c r="E129" s="165">
        <f>VLOOKUP(B129,'Snapshot (Volume)'!$A$7:$G$168,7,0)</f>
        <v>17447100</v>
      </c>
      <c r="F129" s="165">
        <f>D129-E129</f>
        <v>26775</v>
      </c>
      <c r="G129" s="166">
        <f>F129/E129</f>
        <v>1.5346389944460683E-3</v>
      </c>
      <c r="H129" s="165">
        <f>VLOOKUP($B129,'Data shares'!$C:$FB,66)</f>
        <v>3664350</v>
      </c>
      <c r="I129" s="165">
        <f>VLOOKUP($B129,'Data shares'!$C:$FB,67)</f>
        <v>4503725</v>
      </c>
      <c r="J129" s="81">
        <f>(H129-I129)/I129*100</f>
        <v>-18.637350193450978</v>
      </c>
      <c r="K129" s="5">
        <f>VLOOKUP($B129,'Data Vlaue (Cr)'!$C:$FB,99)</f>
        <v>3423</v>
      </c>
      <c r="L129" s="81">
        <f>VLOOKUP(B129,'OI(Value)'!$A$7:$C$209,3,0)</f>
        <v>5</v>
      </c>
      <c r="M129" s="33">
        <f t="shared" si="44"/>
        <v>0.1460706982179375</v>
      </c>
      <c r="N129" s="5">
        <f>VLOOKUP($B129,'Data Vlaue (Cr)'!$C:$FB,67)</f>
        <v>718</v>
      </c>
      <c r="O129" s="5">
        <f>VLOOKUP($B129,'Data Vlaue (Cr)'!$C:$FB,68)</f>
        <v>882</v>
      </c>
      <c r="P129" s="5">
        <f>(N129-O129)/N129*100</f>
        <v>-22.841225626740947</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M&amp;M</v>
      </c>
      <c r="C130" s="4">
        <f>VLOOKUP($B130,'Data shares'!$C:$FB,7)</f>
        <v>3560.8</v>
      </c>
      <c r="D130" s="82">
        <f>VLOOKUP($B130,'Data shares'!$C:$FB,98)</f>
        <v>28671800</v>
      </c>
      <c r="E130" s="165">
        <f>VLOOKUP(B130,'Snapshot (Volume)'!$A$7:$G$168,7,0)</f>
        <v>29017600</v>
      </c>
      <c r="F130" s="165">
        <f>D130-E130</f>
        <v>-345800</v>
      </c>
      <c r="G130" s="166">
        <f>F130/E130</f>
        <v>-1.1916905602117335E-2</v>
      </c>
      <c r="H130" s="165">
        <f>VLOOKUP($B130,'Data shares'!$C:$FB,66)</f>
        <v>23290400</v>
      </c>
      <c r="I130" s="165">
        <f>VLOOKUP($B130,'Data shares'!$C:$FB,67)</f>
        <v>10731200</v>
      </c>
      <c r="J130" s="81">
        <f>(H130-I130)/I130*100</f>
        <v>117.03444162814969</v>
      </c>
      <c r="K130" s="5">
        <f>VLOOKUP($B130,'Data Vlaue (Cr)'!$C:$FB,99)</f>
        <v>10228</v>
      </c>
      <c r="L130" s="81">
        <f>VLOOKUP(B130,'OI(Value)'!$A$7:$C$209,3,0)</f>
        <v>-123</v>
      </c>
      <c r="M130" s="33">
        <f t="shared" si="44"/>
        <v>-1.2025811497849042</v>
      </c>
      <c r="N130" s="5">
        <f>VLOOKUP($B130,'Data Vlaue (Cr)'!$C:$FB,67)</f>
        <v>8308</v>
      </c>
      <c r="O130" s="5">
        <f>VLOOKUP($B130,'Data Vlaue (Cr)'!$C:$FB,68)</f>
        <v>3828</v>
      </c>
      <c r="P130" s="5">
        <f>(N130-O130)/N130*100</f>
        <v>53.923928743379875</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MANAPPURAM</v>
      </c>
      <c r="C131" s="4">
        <f>VLOOKUP($B131,'Data shares'!$C:$FB,7)</f>
        <v>286.8</v>
      </c>
      <c r="D131" s="82">
        <f>VLOOKUP($B131,'Data shares'!$C:$FB,98)</f>
        <v>54957000</v>
      </c>
      <c r="E131" s="165">
        <f>VLOOKUP(B131,'Snapshot (Volume)'!$A$7:$G$168,7,0)</f>
        <v>53250000</v>
      </c>
      <c r="F131" s="165">
        <f>D131-E131</f>
        <v>1707000</v>
      </c>
      <c r="G131" s="166">
        <f>F131/E131</f>
        <v>3.2056338028169012E-2</v>
      </c>
      <c r="H131" s="165">
        <f>VLOOKUP($B131,'Data shares'!$C:$FB,66)</f>
        <v>21528000</v>
      </c>
      <c r="I131" s="165">
        <f>VLOOKUP($B131,'Data shares'!$C:$FB,67)</f>
        <v>20247000</v>
      </c>
      <c r="J131" s="81">
        <f>(H131-I131)/I131*100</f>
        <v>6.3268632389983708</v>
      </c>
      <c r="K131" s="5">
        <f>VLOOKUP($B131,'Data Vlaue (Cr)'!$C:$FB,99)</f>
        <v>1579</v>
      </c>
      <c r="L131" s="81">
        <f>VLOOKUP(B131,'OI(Value)'!$A$7:$C$209,3,0)</f>
        <v>49</v>
      </c>
      <c r="M131" s="33">
        <f t="shared" si="44"/>
        <v>3.1032298923369219</v>
      </c>
      <c r="N131" s="5">
        <f>VLOOKUP($B131,'Data Vlaue (Cr)'!$C:$FB,67)</f>
        <v>618</v>
      </c>
      <c r="O131" s="5">
        <f>VLOOKUP($B131,'Data Vlaue (Cr)'!$C:$FB,68)</f>
        <v>582</v>
      </c>
      <c r="P131" s="5">
        <f>(N131-O131)/N131*100</f>
        <v>5.825242718446602</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Pharma</v>
      </c>
      <c r="B132" s="79" t="str">
        <f>'Data shares'!C127</f>
        <v>MANKIND</v>
      </c>
      <c r="C132" s="79">
        <f>VLOOKUP($B132,'Data shares'!$C:$FB,7)</f>
        <v>2455.3000000000002</v>
      </c>
      <c r="D132" s="165">
        <f>VLOOKUP($B132,'Data shares'!$C:$FB,98)</f>
        <v>3110175</v>
      </c>
      <c r="E132" s="165">
        <f>VLOOKUP(B132,'Snapshot (Volume)'!$A$7:$G$168,7,0)</f>
        <v>3135375</v>
      </c>
      <c r="F132" s="165">
        <f t="shared" ref="F132:F139" si="45">D132-E132</f>
        <v>-25200</v>
      </c>
      <c r="G132" s="166">
        <f t="shared" ref="G132:G139" si="46">F132/E132</f>
        <v>-8.0373161105130961E-3</v>
      </c>
      <c r="H132" s="165">
        <f>VLOOKUP($B132,'Data shares'!$C:$FB,66)</f>
        <v>1083600</v>
      </c>
      <c r="I132" s="165">
        <f>VLOOKUP($B132,'Data shares'!$C:$FB,67)</f>
        <v>1357425</v>
      </c>
      <c r="J132" s="81">
        <f t="shared" ref="J132:J139" si="47">(H132-I132)/I132*100</f>
        <v>-20.172385214652742</v>
      </c>
      <c r="K132" s="81">
        <f>VLOOKUP($B132,'Data Vlaue (Cr)'!$C:$FB,99)</f>
        <v>766</v>
      </c>
      <c r="L132" s="81">
        <f>VLOOKUP(B132,'OI(Value)'!$A$7:$C$209,3,0)</f>
        <v>-6</v>
      </c>
      <c r="M132" s="81">
        <f t="shared" si="44"/>
        <v>-0.7832898172323759</v>
      </c>
      <c r="N132" s="81">
        <f>VLOOKUP($B132,'Data Vlaue (Cr)'!$C:$FB,67)</f>
        <v>267</v>
      </c>
      <c r="O132" s="81">
        <f>VLOOKUP($B132,'Data Vlaue (Cr)'!$C:$FB,68)</f>
        <v>334</v>
      </c>
      <c r="P132" s="81">
        <f t="shared" ref="P132:P139" si="48">(N132-O132)/N132*100</f>
        <v>-25.0936329588015</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FMCG</v>
      </c>
      <c r="B133" s="79" t="str">
        <f>'Data shares'!C128</f>
        <v>MARICO</v>
      </c>
      <c r="C133" s="79">
        <f>VLOOKUP($B133,'Data shares'!$C:$FB,7)</f>
        <v>725.7</v>
      </c>
      <c r="D133" s="165">
        <f>VLOOKUP($B133,'Data shares'!$C:$FB,98)</f>
        <v>33674400</v>
      </c>
      <c r="E133" s="165">
        <f>VLOOKUP(B133,'Snapshot (Volume)'!$A$7:$G$168,7,0)</f>
        <v>33886800</v>
      </c>
      <c r="F133" s="165">
        <f t="shared" si="45"/>
        <v>-212400</v>
      </c>
      <c r="G133" s="166">
        <f t="shared" si="46"/>
        <v>-6.2679273345373418E-3</v>
      </c>
      <c r="H133" s="165">
        <f>VLOOKUP($B133,'Data shares'!$C:$FB,66)</f>
        <v>13602000</v>
      </c>
      <c r="I133" s="165">
        <f>VLOOKUP($B133,'Data shares'!$C:$FB,67)</f>
        <v>6430800</v>
      </c>
      <c r="J133" s="81">
        <f t="shared" si="47"/>
        <v>111.51334204142564</v>
      </c>
      <c r="K133" s="81">
        <f>VLOOKUP($B133,'Data Vlaue (Cr)'!$C:$FB,99)</f>
        <v>2447</v>
      </c>
      <c r="L133" s="81">
        <f>VLOOKUP(B133,'OI(Value)'!$A$7:$C$209,3,0)</f>
        <v>-15</v>
      </c>
      <c r="M133" s="81">
        <f t="shared" si="44"/>
        <v>-0.61299550469963215</v>
      </c>
      <c r="N133" s="81">
        <f>VLOOKUP($B133,'Data Vlaue (Cr)'!$C:$FB,67)</f>
        <v>988</v>
      </c>
      <c r="O133" s="81">
        <f>VLOOKUP($B133,'Data Vlaue (Cr)'!$C:$FB,68)</f>
        <v>467</v>
      </c>
      <c r="P133" s="81">
        <f t="shared" si="48"/>
        <v>52.732793522267208</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Automobile</v>
      </c>
      <c r="B134" s="79" t="str">
        <f>'Data shares'!C129</f>
        <v>MARUTI</v>
      </c>
      <c r="C134" s="4">
        <f>VLOOKUP($B134,'Data shares'!$C:$FB,7)</f>
        <v>16298</v>
      </c>
      <c r="D134" s="82">
        <f>VLOOKUP($B134,'Data shares'!$C:$FB,98)</f>
        <v>7660200</v>
      </c>
      <c r="E134" s="165">
        <f>VLOOKUP(B134,'Snapshot (Volume)'!$A$7:$G$168,7,0)</f>
        <v>7749200</v>
      </c>
      <c r="F134" s="165">
        <f t="shared" si="45"/>
        <v>-89000</v>
      </c>
      <c r="G134" s="166">
        <f t="shared" si="46"/>
        <v>-1.1485056521963558E-2</v>
      </c>
      <c r="H134" s="165">
        <f>VLOOKUP($B134,'Data shares'!$C:$FB,66)</f>
        <v>4389350</v>
      </c>
      <c r="I134" s="165">
        <f>VLOOKUP($B134,'Data shares'!$C:$FB,67)</f>
        <v>5526950</v>
      </c>
      <c r="J134" s="81">
        <f t="shared" si="47"/>
        <v>-20.582780738020066</v>
      </c>
      <c r="K134" s="5">
        <f>VLOOKUP($B134,'Data Vlaue (Cr)'!$C:$FB,99)</f>
        <v>12527</v>
      </c>
      <c r="L134" s="81">
        <f>VLOOKUP(B134,'OI(Value)'!$A$7:$C$209,3,0)</f>
        <v>-146</v>
      </c>
      <c r="M134" s="33">
        <f t="shared" si="44"/>
        <v>-1.1654825576754211</v>
      </c>
      <c r="N134" s="5">
        <f>VLOOKUP($B134,'Data Vlaue (Cr)'!$C:$FB,67)</f>
        <v>7178</v>
      </c>
      <c r="O134" s="5">
        <f>VLOOKUP($B134,'Data Vlaue (Cr)'!$C:$FB,68)</f>
        <v>9039</v>
      </c>
      <c r="P134" s="5">
        <f t="shared" si="48"/>
        <v>-25.926441905823349</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Pharma</v>
      </c>
      <c r="B135" s="79" t="str">
        <f>'Data shares'!C130</f>
        <v>MAXHEALTH</v>
      </c>
      <c r="C135" s="4">
        <f>VLOOKUP($B135,'Data shares'!$C:$FB,7)</f>
        <v>1175.3</v>
      </c>
      <c r="D135" s="82">
        <f>VLOOKUP($B135,'Data shares'!$C:$FB,98)</f>
        <v>23508450</v>
      </c>
      <c r="E135" s="165">
        <f>VLOOKUP(B135,'Snapshot (Volume)'!$A$7:$G$168,7,0)</f>
        <v>23245950</v>
      </c>
      <c r="F135" s="165">
        <f t="shared" si="45"/>
        <v>262500</v>
      </c>
      <c r="G135" s="166">
        <f t="shared" si="46"/>
        <v>1.1292289624644293E-2</v>
      </c>
      <c r="H135" s="165">
        <f>VLOOKUP($B135,'Data shares'!$C:$FB,66)</f>
        <v>10033800</v>
      </c>
      <c r="I135" s="165">
        <f>VLOOKUP($B135,'Data shares'!$C:$FB,67)</f>
        <v>8422575</v>
      </c>
      <c r="J135" s="81">
        <f t="shared" si="47"/>
        <v>19.129838558873029</v>
      </c>
      <c r="K135" s="5">
        <f>VLOOKUP($B135,'Data Vlaue (Cr)'!$C:$FB,99)</f>
        <v>2771</v>
      </c>
      <c r="L135" s="81">
        <f>VLOOKUP(B135,'OI(Value)'!$A$7:$C$209,3,0)</f>
        <v>31</v>
      </c>
      <c r="M135" s="33">
        <f t="shared" si="44"/>
        <v>1.1187297004691448</v>
      </c>
      <c r="N135" s="5">
        <f>VLOOKUP($B135,'Data Vlaue (Cr)'!$C:$FB,67)</f>
        <v>1183</v>
      </c>
      <c r="O135" s="5">
        <f>VLOOKUP($B135,'Data Vlaue (Cr)'!$C:$FB,68)</f>
        <v>993</v>
      </c>
      <c r="P135" s="5">
        <f t="shared" si="48"/>
        <v>16.060862214708369</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Infrastructure</v>
      </c>
      <c r="B136" s="79" t="str">
        <f>'Data shares'!C131</f>
        <v>MAZDOCK</v>
      </c>
      <c r="C136" s="4">
        <f>VLOOKUP($B136,'Data shares'!$C:$FB,7)</f>
        <v>2831.9</v>
      </c>
      <c r="D136" s="82">
        <f>VLOOKUP($B136,'Data shares'!$C:$FB,98)</f>
        <v>8094450</v>
      </c>
      <c r="E136" s="165">
        <f>VLOOKUP(B136,'Snapshot (Volume)'!$A$7:$G$168,7,0)</f>
        <v>8034250</v>
      </c>
      <c r="F136" s="165">
        <f t="shared" si="45"/>
        <v>60200</v>
      </c>
      <c r="G136" s="166">
        <f t="shared" si="46"/>
        <v>7.4929209322587668E-3</v>
      </c>
      <c r="H136" s="165">
        <f>VLOOKUP($B136,'Data shares'!$C:$FB,66)</f>
        <v>3650150</v>
      </c>
      <c r="I136" s="165">
        <f>VLOOKUP($B136,'Data shares'!$C:$FB,67)</f>
        <v>6306300</v>
      </c>
      <c r="J136" s="81">
        <f t="shared" si="47"/>
        <v>-42.118992118992118</v>
      </c>
      <c r="K136" s="5">
        <f>VLOOKUP($B136,'Data Vlaue (Cr)'!$C:$FB,99)</f>
        <v>2302</v>
      </c>
      <c r="L136" s="81">
        <f>VLOOKUP(B136,'OI(Value)'!$A$7:$C$209,3,0)</f>
        <v>17</v>
      </c>
      <c r="M136" s="33">
        <f t="shared" si="44"/>
        <v>0.7384882710686359</v>
      </c>
      <c r="N136" s="5">
        <f>VLOOKUP($B136,'Data Vlaue (Cr)'!$C:$FB,67)</f>
        <v>1038</v>
      </c>
      <c r="O136" s="5">
        <f>VLOOKUP($B136,'Data Vlaue (Cr)'!$C:$FB,68)</f>
        <v>1794</v>
      </c>
      <c r="P136" s="5">
        <f t="shared" si="48"/>
        <v>-72.832369942196522</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MCX</v>
      </c>
      <c r="C137" s="4">
        <f>VLOOKUP($B137,'Data shares'!$C:$FB,7)</f>
        <v>9330.5</v>
      </c>
      <c r="D137" s="82">
        <f>VLOOKUP($B137,'Data shares'!$C:$FB,98)</f>
        <v>8882750</v>
      </c>
      <c r="E137" s="165">
        <f>VLOOKUP(B137,'Snapshot (Volume)'!$A$7:$G$168,7,0)</f>
        <v>8804375</v>
      </c>
      <c r="F137" s="165">
        <f t="shared" si="45"/>
        <v>78375</v>
      </c>
      <c r="G137" s="166">
        <f t="shared" si="46"/>
        <v>8.9018243770852563E-3</v>
      </c>
      <c r="H137" s="165">
        <f>VLOOKUP($B137,'Data shares'!$C:$FB,66)</f>
        <v>15393625</v>
      </c>
      <c r="I137" s="165">
        <f>VLOOKUP($B137,'Data shares'!$C:$FB,67)</f>
        <v>17129875</v>
      </c>
      <c r="J137" s="81">
        <f t="shared" si="47"/>
        <v>-10.13580075744861</v>
      </c>
      <c r="K137" s="5">
        <f>VLOOKUP($B137,'Data Vlaue (Cr)'!$C:$FB,99)</f>
        <v>8315</v>
      </c>
      <c r="L137" s="81">
        <f>VLOOKUP(B137,'OI(Value)'!$A$7:$C$209,3,0)</f>
        <v>73</v>
      </c>
      <c r="M137" s="33">
        <f t="shared" si="44"/>
        <v>0.87793144918821409</v>
      </c>
      <c r="N137" s="5">
        <f>VLOOKUP($B137,'Data Vlaue (Cr)'!$C:$FB,67)</f>
        <v>14409</v>
      </c>
      <c r="O137" s="5">
        <f>VLOOKUP($B137,'Data Vlaue (Cr)'!$C:$FB,68)</f>
        <v>16034</v>
      </c>
      <c r="P137" s="5">
        <f t="shared" si="48"/>
        <v>-11.277673676174613</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MFSL</v>
      </c>
      <c r="C138" s="4">
        <f>VLOOKUP($B138,'Data shares'!$C:$FB,7)</f>
        <v>1552.4</v>
      </c>
      <c r="D138" s="82">
        <f>VLOOKUP($B138,'Data shares'!$C:$FB,98)</f>
        <v>9168000</v>
      </c>
      <c r="E138" s="165">
        <f>VLOOKUP(B138,'Snapshot (Volume)'!$A$7:$G$168,7,0)</f>
        <v>8133600</v>
      </c>
      <c r="F138" s="165">
        <f t="shared" si="45"/>
        <v>1034400</v>
      </c>
      <c r="G138" s="166">
        <f t="shared" si="46"/>
        <v>0.12717615815874889</v>
      </c>
      <c r="H138" s="165">
        <f>VLOOKUP($B138,'Data shares'!$C:$FB,66)</f>
        <v>9823200</v>
      </c>
      <c r="I138" s="165">
        <f>VLOOKUP($B138,'Data shares'!$C:$FB,67)</f>
        <v>3206400</v>
      </c>
      <c r="J138" s="81">
        <f t="shared" si="47"/>
        <v>206.36227544910182</v>
      </c>
      <c r="K138" s="5">
        <f>VLOOKUP($B138,'Data Vlaue (Cr)'!$C:$FB,99)</f>
        <v>1427</v>
      </c>
      <c r="L138" s="81">
        <f>VLOOKUP(B138,'OI(Value)'!$A$7:$C$209,3,0)</f>
        <v>161</v>
      </c>
      <c r="M138" s="33">
        <f t="shared" si="44"/>
        <v>11.282410651716889</v>
      </c>
      <c r="N138" s="5">
        <f>VLOOKUP($B138,'Data Vlaue (Cr)'!$C:$FB,67)</f>
        <v>1529</v>
      </c>
      <c r="O138" s="5">
        <f>VLOOKUP($B138,'Data Vlaue (Cr)'!$C:$FB,68)</f>
        <v>499</v>
      </c>
      <c r="P138" s="5">
        <f t="shared" si="48"/>
        <v>67.364290385873119</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Index</v>
      </c>
      <c r="B139" s="79" t="str">
        <f>'Data shares'!C134</f>
        <v>MIDCPNIFTY</v>
      </c>
      <c r="C139" s="4">
        <f>VLOOKUP($B139,'Data shares'!$C:$FB,7)</f>
        <v>13260.85</v>
      </c>
      <c r="D139" s="82">
        <f>VLOOKUP($B139,'Data shares'!$C:$FB,98)</f>
        <v>19398260</v>
      </c>
      <c r="E139" s="165">
        <f>VLOOKUP(B139,'Snapshot (Volume)'!$A$7:$G$168,7,0)</f>
        <v>18100180</v>
      </c>
      <c r="F139" s="165">
        <f t="shared" si="45"/>
        <v>1298080</v>
      </c>
      <c r="G139" s="166">
        <f t="shared" si="46"/>
        <v>7.1716413869917311E-2</v>
      </c>
      <c r="H139" s="165">
        <f>VLOOKUP($B139,'Data shares'!$C:$FB,66)</f>
        <v>41244700</v>
      </c>
      <c r="I139" s="165">
        <f>VLOOKUP($B139,'Data shares'!$C:$FB,67)</f>
        <v>36434440</v>
      </c>
      <c r="J139" s="81">
        <f t="shared" si="47"/>
        <v>13.202508395902338</v>
      </c>
      <c r="K139" s="5">
        <f>VLOOKUP($B139,'Data Vlaue (Cr)'!$C:$FB,99)</f>
        <v>25842</v>
      </c>
      <c r="L139" s="81">
        <f>VLOOKUP(B139,'OI(Value)'!$A$7:$C$209,3,0)</f>
        <v>1729</v>
      </c>
      <c r="M139" s="33">
        <f t="shared" si="44"/>
        <v>6.6906586177540444</v>
      </c>
      <c r="N139" s="5">
        <f>VLOOKUP($B139,'Data Vlaue (Cr)'!$C:$FB,67)</f>
        <v>54945</v>
      </c>
      <c r="O139" s="5">
        <f>VLOOKUP($B139,'Data Vlaue (Cr)'!$C:$FB,68)</f>
        <v>48537</v>
      </c>
      <c r="P139" s="5">
        <f t="shared" si="48"/>
        <v>11.662571662571661</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Automobile</v>
      </c>
      <c r="B140" s="79" t="str">
        <f>'Data shares'!C135</f>
        <v>MOTHERSON</v>
      </c>
      <c r="C140" s="79">
        <f>VLOOKUP($B140,'Data shares'!$C:$FB,7)</f>
        <v>107.27</v>
      </c>
      <c r="D140" s="165">
        <f>VLOOKUP($B140,'Data shares'!$C:$FB,98)</f>
        <v>270378600</v>
      </c>
      <c r="E140" s="165">
        <f>VLOOKUP(B140,'Snapshot (Volume)'!$A$7:$G$168,7,0)</f>
        <v>267445050</v>
      </c>
      <c r="F140" s="165">
        <f>D140-E140</f>
        <v>2933550</v>
      </c>
      <c r="G140" s="166">
        <f>F140/E140</f>
        <v>1.0968795272150297E-2</v>
      </c>
      <c r="H140" s="165">
        <f>VLOOKUP($B140,'Data shares'!$C:$FB,66)</f>
        <v>239112000</v>
      </c>
      <c r="I140" s="165">
        <f>VLOOKUP($B140,'Data shares'!$C:$FB,67)</f>
        <v>100134300</v>
      </c>
      <c r="J140" s="81">
        <f>(H140-I140)/I140*100</f>
        <v>138.79130327969537</v>
      </c>
      <c r="K140" s="81">
        <f>VLOOKUP($B140,'Data Vlaue (Cr)'!$C:$FB,99)</f>
        <v>2911</v>
      </c>
      <c r="L140" s="81">
        <f>VLOOKUP(B140,'OI(Value)'!$A$7:$C$209,3,0)</f>
        <v>32</v>
      </c>
      <c r="M140" s="81">
        <f t="shared" si="44"/>
        <v>1.099278598419787</v>
      </c>
      <c r="N140" s="81">
        <f>VLOOKUP($B140,'Data Vlaue (Cr)'!$C:$FB,67)</f>
        <v>2574</v>
      </c>
      <c r="O140" s="81">
        <f>VLOOKUP($B140,'Data Vlaue (Cr)'!$C:$FB,68)</f>
        <v>1078</v>
      </c>
      <c r="P140" s="81">
        <f>(N140-O140)/N140*100</f>
        <v>58.119658119658126</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Technology</v>
      </c>
      <c r="B141" s="79" t="str">
        <f>'Data shares'!C136</f>
        <v>MPHASIS</v>
      </c>
      <c r="C141" s="4">
        <f>VLOOKUP($B141,'Data shares'!$C:$FB,7)</f>
        <v>2783.6</v>
      </c>
      <c r="D141" s="82">
        <f>VLOOKUP($B141,'Data shares'!$C:$FB,98)</f>
        <v>5946875</v>
      </c>
      <c r="E141" s="165">
        <f>VLOOKUP(B141,'Snapshot (Volume)'!$A$7:$G$168,7,0)</f>
        <v>6003525</v>
      </c>
      <c r="F141" s="165">
        <f>D141-E141</f>
        <v>-56650</v>
      </c>
      <c r="G141" s="166">
        <f>F141/E141</f>
        <v>-9.4361229444368099E-3</v>
      </c>
      <c r="H141" s="165">
        <f>VLOOKUP($B141,'Data shares'!$C:$FB,66)</f>
        <v>1726450</v>
      </c>
      <c r="I141" s="165">
        <f>VLOOKUP($B141,'Data shares'!$C:$FB,67)</f>
        <v>3169925</v>
      </c>
      <c r="J141" s="81">
        <f>(H141-I141)/I141*100</f>
        <v>-45.53656632254706</v>
      </c>
      <c r="K141" s="5">
        <f>VLOOKUP($B141,'Data Vlaue (Cr)'!$C:$FB,99)</f>
        <v>1661</v>
      </c>
      <c r="L141" s="81">
        <f>VLOOKUP(B141,'OI(Value)'!$A$7:$C$209,3,0)</f>
        <v>-16</v>
      </c>
      <c r="M141" s="33">
        <f t="shared" si="44"/>
        <v>-0.96327513546056598</v>
      </c>
      <c r="N141" s="5">
        <f>VLOOKUP($B141,'Data Vlaue (Cr)'!$C:$FB,67)</f>
        <v>482</v>
      </c>
      <c r="O141" s="5">
        <f>VLOOKUP($B141,'Data Vlaue (Cr)'!$C:$FB,68)</f>
        <v>885</v>
      </c>
      <c r="P141" s="5">
        <f>(N141-O141)/N141*100</f>
        <v>-83.609958506224075</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Finance</v>
      </c>
      <c r="B142" s="79" t="str">
        <f>'Data shares'!C137</f>
        <v>MUTHOOTFIN</v>
      </c>
      <c r="C142" s="4">
        <f>VLOOKUP($B142,'Data shares'!$C:$FB,7)</f>
        <v>3268.5</v>
      </c>
      <c r="D142" s="82">
        <f>VLOOKUP($B142,'Data shares'!$C:$FB,98)</f>
        <v>7006725</v>
      </c>
      <c r="E142" s="165">
        <f>VLOOKUP(B142,'Snapshot (Volume)'!$A$7:$G$168,7,0)</f>
        <v>6692675</v>
      </c>
      <c r="F142" s="165">
        <f>D142-E142</f>
        <v>314050</v>
      </c>
      <c r="G142" s="166">
        <f>F142/E142</f>
        <v>4.6924436043883799E-2</v>
      </c>
      <c r="H142" s="165">
        <f>VLOOKUP($B142,'Data shares'!$C:$FB,66)</f>
        <v>5319600</v>
      </c>
      <c r="I142" s="165">
        <f>VLOOKUP($B142,'Data shares'!$C:$FB,67)</f>
        <v>7443975</v>
      </c>
      <c r="J142" s="81">
        <f>(H142-I142)/I142*100</f>
        <v>-28.538180206139863</v>
      </c>
      <c r="K142" s="5">
        <f>VLOOKUP($B142,'Data Vlaue (Cr)'!$C:$FB,99)</f>
        <v>2295</v>
      </c>
      <c r="L142" s="81">
        <f>VLOOKUP(B142,'OI(Value)'!$A$7:$C$209,3,0)</f>
        <v>103</v>
      </c>
      <c r="M142" s="33">
        <f t="shared" si="44"/>
        <v>4.4880174291938992</v>
      </c>
      <c r="N142" s="5">
        <f>VLOOKUP($B142,'Data Vlaue (Cr)'!$C:$FB,67)</f>
        <v>1742</v>
      </c>
      <c r="O142" s="5">
        <f>VLOOKUP($B142,'Data Vlaue (Cr)'!$C:$FB,68)</f>
        <v>2438</v>
      </c>
      <c r="P142" s="5">
        <f>(N142-O142)/N142*100</f>
        <v>-39.954075774971301</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Metals</v>
      </c>
      <c r="B143" s="79" t="str">
        <f>'Data shares'!C138</f>
        <v>NATIONALUM</v>
      </c>
      <c r="C143" s="4">
        <f>VLOOKUP($B143,'Data shares'!$C:$FB,7)</f>
        <v>226.84</v>
      </c>
      <c r="D143" s="82">
        <f>VLOOKUP($B143,'Data shares'!$C:$FB,98)</f>
        <v>142788750</v>
      </c>
      <c r="E143" s="165">
        <f>VLOOKUP(B143,'Snapshot (Volume)'!$A$7:$G$168,7,0)</f>
        <v>142511250</v>
      </c>
      <c r="F143" s="165">
        <f>D143-E143</f>
        <v>277500</v>
      </c>
      <c r="G143" s="166">
        <f>F143/E143</f>
        <v>1.947214693576823E-3</v>
      </c>
      <c r="H143" s="165">
        <f>VLOOKUP($B143,'Data shares'!$C:$FB,66)</f>
        <v>60780000</v>
      </c>
      <c r="I143" s="165">
        <f>VLOOKUP($B143,'Data shares'!$C:$FB,67)</f>
        <v>58020000</v>
      </c>
      <c r="J143" s="81">
        <f>(H143-I143)/I143*100</f>
        <v>4.7569803516028957</v>
      </c>
      <c r="K143" s="5">
        <f>VLOOKUP($B143,'Data Vlaue (Cr)'!$C:$FB,99)</f>
        <v>3243</v>
      </c>
      <c r="L143" s="81">
        <f>VLOOKUP(B143,'OI(Value)'!$A$7:$C$209,3,0)</f>
        <v>6</v>
      </c>
      <c r="M143" s="33">
        <f t="shared" si="44"/>
        <v>0.18501387604070307</v>
      </c>
      <c r="N143" s="5">
        <f>VLOOKUP($B143,'Data Vlaue (Cr)'!$C:$FB,67)</f>
        <v>1381</v>
      </c>
      <c r="O143" s="5">
        <f>VLOOKUP($B143,'Data Vlaue (Cr)'!$C:$FB,68)</f>
        <v>1318</v>
      </c>
      <c r="P143" s="5">
        <f>(N143-O143)/N143*100</f>
        <v>4.5619116582186825</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New_Age</v>
      </c>
      <c r="B144" s="79" t="str">
        <f>'Data shares'!C139</f>
        <v>NAUKRI</v>
      </c>
      <c r="C144" s="4">
        <f>VLOOKUP($B144,'Data shares'!$C:$FB,7)</f>
        <v>1348.5</v>
      </c>
      <c r="D144" s="82">
        <f>VLOOKUP($B144,'Data shares'!$C:$FB,98)</f>
        <v>13154250</v>
      </c>
      <c r="E144" s="165">
        <f>VLOOKUP(B144,'Snapshot (Volume)'!$A$7:$G$168,7,0)</f>
        <v>13638000</v>
      </c>
      <c r="F144" s="165">
        <f>D144-E144</f>
        <v>-483750</v>
      </c>
      <c r="G144" s="166">
        <f>F144/E144</f>
        <v>-3.547074351077871E-2</v>
      </c>
      <c r="H144" s="165">
        <f>VLOOKUP($B144,'Data shares'!$C:$FB,66)</f>
        <v>3828000</v>
      </c>
      <c r="I144" s="165">
        <f>VLOOKUP($B144,'Data shares'!$C:$FB,67)</f>
        <v>2613750</v>
      </c>
      <c r="J144" s="81">
        <f>(H144-I144)/I144*100</f>
        <v>46.456241032998562</v>
      </c>
      <c r="K144" s="5">
        <f>VLOOKUP($B144,'Data Vlaue (Cr)'!$C:$FB,99)</f>
        <v>1775</v>
      </c>
      <c r="L144" s="81">
        <f>VLOOKUP(B144,'OI(Value)'!$A$7:$C$209,3,0)</f>
        <v>-65</v>
      </c>
      <c r="M144" s="33">
        <f t="shared" si="44"/>
        <v>-3.6619718309859155</v>
      </c>
      <c r="N144" s="5">
        <f>VLOOKUP($B144,'Data Vlaue (Cr)'!$C:$FB,67)</f>
        <v>517</v>
      </c>
      <c r="O144" s="5">
        <f>VLOOKUP($B144,'Data Vlaue (Cr)'!$C:$FB,68)</f>
        <v>353</v>
      </c>
      <c r="P144" s="5">
        <f>(N144-O144)/N144*100</f>
        <v>31.721470019342355</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Realty</v>
      </c>
      <c r="B145" s="79" t="str">
        <f>'Data shares'!C140</f>
        <v>NBCC</v>
      </c>
      <c r="C145" s="4">
        <f>VLOOKUP($B145,'Data shares'!$C:$FB,7)</f>
        <v>112.36</v>
      </c>
      <c r="D145" s="82">
        <f>VLOOKUP($B145,'Data shares'!$C:$FB,98)</f>
        <v>112437000</v>
      </c>
      <c r="E145" s="165">
        <f>VLOOKUP(B145,'Snapshot (Volume)'!$A$7:$G$168,7,0)</f>
        <v>114237500</v>
      </c>
      <c r="F145" s="165">
        <f t="shared" ref="F145:F152" si="49">D145-E145</f>
        <v>-1800500</v>
      </c>
      <c r="G145" s="166">
        <f t="shared" ref="G145:G153" si="50">F145/E145</f>
        <v>-1.5761024182076814E-2</v>
      </c>
      <c r="H145" s="165">
        <f>VLOOKUP($B145,'Data shares'!$C:$FB,66)</f>
        <v>59494500</v>
      </c>
      <c r="I145" s="165">
        <f>VLOOKUP($B145,'Data shares'!$C:$FB,67)</f>
        <v>52149500</v>
      </c>
      <c r="J145" s="81">
        <f t="shared" ref="J145:J153" si="51">(H145-I145)/I145*100</f>
        <v>14.084507042253522</v>
      </c>
      <c r="K145" s="5">
        <f>VLOOKUP($B145,'Data Vlaue (Cr)'!$C:$FB,99)</f>
        <v>1268</v>
      </c>
      <c r="L145" s="81">
        <f>VLOOKUP(B145,'OI(Value)'!$A$7:$C$209,3,0)</f>
        <v>-20</v>
      </c>
      <c r="M145" s="33">
        <f t="shared" ref="M145:M153" si="52">L145/K145*100</f>
        <v>-1.5772870662460567</v>
      </c>
      <c r="N145" s="5">
        <f>VLOOKUP($B145,'Data Vlaue (Cr)'!$C:$FB,67)</f>
        <v>671</v>
      </c>
      <c r="O145" s="5">
        <f>VLOOKUP($B145,'Data Vlaue (Cr)'!$C:$FB,68)</f>
        <v>588</v>
      </c>
      <c r="P145" s="5">
        <f t="shared" ref="P145:P152" si="53">(N145-O145)/N145*100</f>
        <v>12.369597615499254</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Infrastructure</v>
      </c>
      <c r="B146" s="79" t="str">
        <f>'Data shares'!C141</f>
        <v>NCC</v>
      </c>
      <c r="C146" s="4">
        <f>VLOOKUP($B146,'Data shares'!$C:$FB,7)</f>
        <v>209.78</v>
      </c>
      <c r="D146" s="82">
        <f>VLOOKUP($B146,'Data shares'!$C:$FB,98)</f>
        <v>31617000</v>
      </c>
      <c r="E146" s="165">
        <f>VLOOKUP(B146,'Snapshot (Volume)'!$A$7:$G$168,7,0)</f>
        <v>31622400</v>
      </c>
      <c r="F146" s="165">
        <f t="shared" si="49"/>
        <v>-5400</v>
      </c>
      <c r="G146" s="166">
        <f t="shared" si="50"/>
        <v>-1.7076502732240437E-4</v>
      </c>
      <c r="H146" s="165">
        <f>VLOOKUP($B146,'Data shares'!$C:$FB,66)</f>
        <v>7333200</v>
      </c>
      <c r="I146" s="165">
        <f>VLOOKUP($B146,'Data shares'!$C:$FB,67)</f>
        <v>44936100</v>
      </c>
      <c r="J146" s="81">
        <f t="shared" si="51"/>
        <v>-83.68082677401911</v>
      </c>
      <c r="K146" s="5">
        <f>VLOOKUP($B146,'Data Vlaue (Cr)'!$C:$FB,99)</f>
        <v>666</v>
      </c>
      <c r="L146" s="81">
        <f>VLOOKUP(B146,'OI(Value)'!$A$7:$C$209,3,0)</f>
        <v>0</v>
      </c>
      <c r="M146" s="33">
        <f t="shared" si="52"/>
        <v>0</v>
      </c>
      <c r="N146" s="5">
        <f>VLOOKUP($B146,'Data Vlaue (Cr)'!$C:$FB,67)</f>
        <v>154</v>
      </c>
      <c r="O146" s="5">
        <f>VLOOKUP($B146,'Data Vlaue (Cr)'!$C:$FB,68)</f>
        <v>946</v>
      </c>
      <c r="P146" s="5">
        <f t="shared" si="53"/>
        <v>-514.28571428571433</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FMCG</v>
      </c>
      <c r="B147" s="79" t="str">
        <f>'Data shares'!C142</f>
        <v>NESTLEIND</v>
      </c>
      <c r="C147" s="4">
        <f>VLOOKUP($B147,'Data shares'!$C:$FB,7)</f>
        <v>1276.5999999999999</v>
      </c>
      <c r="D147" s="82">
        <f>VLOOKUP($B147,'Data shares'!$C:$FB,98)</f>
        <v>38442500</v>
      </c>
      <c r="E147" s="165">
        <f>VLOOKUP(B147,'Snapshot (Volume)'!$A$7:$G$168,7,0)</f>
        <v>28973500</v>
      </c>
      <c r="F147" s="165">
        <f t="shared" si="49"/>
        <v>9469000</v>
      </c>
      <c r="G147" s="166">
        <f t="shared" si="50"/>
        <v>0.32681588347973151</v>
      </c>
      <c r="H147" s="165">
        <f>VLOOKUP($B147,'Data shares'!$C:$FB,66)</f>
        <v>136611500</v>
      </c>
      <c r="I147" s="165">
        <f>VLOOKUP($B147,'Data shares'!$C:$FB,67)</f>
        <v>34293000</v>
      </c>
      <c r="J147" s="81">
        <f t="shared" si="51"/>
        <v>298.36555565275711</v>
      </c>
      <c r="K147" s="5">
        <f>VLOOKUP($B147,'Data Vlaue (Cr)'!$C:$FB,99)</f>
        <v>4928</v>
      </c>
      <c r="L147" s="81">
        <f>VLOOKUP(B147,'OI(Value)'!$A$7:$C$209,3,0)</f>
        <v>1214</v>
      </c>
      <c r="M147" s="33">
        <f t="shared" si="52"/>
        <v>24.634740259740258</v>
      </c>
      <c r="N147" s="5">
        <f>VLOOKUP($B147,'Data Vlaue (Cr)'!$C:$FB,67)</f>
        <v>17514</v>
      </c>
      <c r="O147" s="5">
        <f>VLOOKUP($B147,'Data Vlaue (Cr)'!$C:$FB,68)</f>
        <v>4396</v>
      </c>
      <c r="P147" s="5">
        <f t="shared" si="53"/>
        <v>74.900079936051156</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Power</v>
      </c>
      <c r="B148" s="79" t="str">
        <f>'Data shares'!C143</f>
        <v>NHPC</v>
      </c>
      <c r="C148" s="4">
        <f>VLOOKUP($B148,'Data shares'!$C:$FB,7)</f>
        <v>86.95</v>
      </c>
      <c r="D148" s="82">
        <f>VLOOKUP($B148,'Data shares'!$C:$FB,98)</f>
        <v>76038400</v>
      </c>
      <c r="E148" s="165">
        <f>VLOOKUP(B148,'Snapshot (Volume)'!$A$7:$G$168,7,0)</f>
        <v>75302400</v>
      </c>
      <c r="F148" s="165">
        <f t="shared" si="49"/>
        <v>736000</v>
      </c>
      <c r="G148" s="166">
        <f t="shared" si="50"/>
        <v>9.7739248682644914E-3</v>
      </c>
      <c r="H148" s="165">
        <f>VLOOKUP($B148,'Data shares'!$C:$FB,66)</f>
        <v>53939200</v>
      </c>
      <c r="I148" s="165">
        <f>VLOOKUP($B148,'Data shares'!$C:$FB,67)</f>
        <v>38118400</v>
      </c>
      <c r="J148" s="81">
        <f t="shared" si="51"/>
        <v>41.504365345869708</v>
      </c>
      <c r="K148" s="5">
        <f>VLOOKUP($B148,'Data Vlaue (Cr)'!$C:$FB,99)</f>
        <v>663</v>
      </c>
      <c r="L148" s="81">
        <f>VLOOKUP(B148,'OI(Value)'!$A$7:$C$209,3,0)</f>
        <v>6</v>
      </c>
      <c r="M148" s="33">
        <f t="shared" si="52"/>
        <v>0.90497737556561098</v>
      </c>
      <c r="N148" s="5">
        <f>VLOOKUP($B148,'Data Vlaue (Cr)'!$C:$FB,67)</f>
        <v>470</v>
      </c>
      <c r="O148" s="5">
        <f>VLOOKUP($B148,'Data Vlaue (Cr)'!$C:$FB,68)</f>
        <v>332</v>
      </c>
      <c r="P148" s="5">
        <f t="shared" si="53"/>
        <v>29.361702127659573</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Index</v>
      </c>
      <c r="B149" s="79" t="str">
        <f>'Data shares'!C144</f>
        <v>NIFTY</v>
      </c>
      <c r="C149" s="4">
        <f>VLOOKUP($B149,'Data shares'!$C:$FB,7)</f>
        <v>25585.3</v>
      </c>
      <c r="D149" s="82">
        <f>VLOOKUP($B149,'Data shares'!$C:$FB,98)</f>
        <v>524672650</v>
      </c>
      <c r="E149" s="165">
        <f>VLOOKUP(B149,'Snapshot (Volume)'!$A$7:$G$168,7,0)</f>
        <v>457628100</v>
      </c>
      <c r="F149" s="165">
        <f t="shared" si="49"/>
        <v>67044550</v>
      </c>
      <c r="G149" s="166">
        <f t="shared" si="50"/>
        <v>0.14650444323676803</v>
      </c>
      <c r="H149" s="165">
        <f>VLOOKUP($B149,'Data shares'!$C:$FB,66)</f>
        <v>4995517875</v>
      </c>
      <c r="I149" s="165">
        <f>VLOOKUP($B149,'Data shares'!$C:$FB,67)</f>
        <v>4594274025</v>
      </c>
      <c r="J149" s="81">
        <f t="shared" si="51"/>
        <v>8.7335637320849617</v>
      </c>
      <c r="K149" s="5">
        <f>VLOOKUP($B149,'Data Vlaue (Cr)'!$C:$FB,99)</f>
        <v>1346105</v>
      </c>
      <c r="L149" s="81">
        <f>VLOOKUP(B149,'OI(Value)'!$A$7:$C$209,3,0)</f>
        <v>172010</v>
      </c>
      <c r="M149" s="33">
        <f t="shared" si="52"/>
        <v>12.778349385820571</v>
      </c>
      <c r="N149" s="5">
        <f>VLOOKUP($B149,'Data Vlaue (Cr)'!$C:$FB,67)</f>
        <v>12816551</v>
      </c>
      <c r="O149" s="5">
        <f>VLOOKUP($B149,'Data Vlaue (Cr)'!$C:$FB,68)</f>
        <v>11787115</v>
      </c>
      <c r="P149" s="5">
        <f t="shared" si="53"/>
        <v>8.0320828903189323</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Index</v>
      </c>
      <c r="B150" s="79" t="str">
        <f>'Data shares'!C145</f>
        <v>NIFTYNXT50</v>
      </c>
      <c r="C150" s="4">
        <f>VLOOKUP($B150,'Data shares'!$C:$FB,7)</f>
        <v>69453.2</v>
      </c>
      <c r="D150" s="82">
        <f>VLOOKUP($B150,'Data shares'!$C:$FB,98)</f>
        <v>38400</v>
      </c>
      <c r="E150" s="165">
        <f>VLOOKUP(B150,'Snapshot (Volume)'!$A$7:$G$168,7,0)</f>
        <v>36600</v>
      </c>
      <c r="F150" s="165">
        <f t="shared" si="49"/>
        <v>1800</v>
      </c>
      <c r="G150" s="166">
        <f t="shared" si="50"/>
        <v>4.9180327868852458E-2</v>
      </c>
      <c r="H150" s="165">
        <f>VLOOKUP($B150,'Data shares'!$C:$FB,66)</f>
        <v>21425</v>
      </c>
      <c r="I150" s="165">
        <f>VLOOKUP($B150,'Data shares'!$C:$FB,67)</f>
        <v>30725</v>
      </c>
      <c r="J150" s="81">
        <f t="shared" si="51"/>
        <v>-30.268510984540274</v>
      </c>
      <c r="K150" s="5">
        <f>VLOOKUP($B150,'Data Vlaue (Cr)'!$C:$FB,99)</f>
        <v>267</v>
      </c>
      <c r="L150" s="81">
        <f>VLOOKUP(B150,'OI(Value)'!$A$7:$C$209,3,0)</f>
        <v>13</v>
      </c>
      <c r="M150" s="33">
        <f t="shared" si="52"/>
        <v>4.868913857677903</v>
      </c>
      <c r="N150" s="5">
        <f>VLOOKUP($B150,'Data Vlaue (Cr)'!$C:$FB,67)</f>
        <v>149</v>
      </c>
      <c r="O150" s="5">
        <f>VLOOKUP($B150,'Data Vlaue (Cr)'!$C:$FB,68)</f>
        <v>214</v>
      </c>
      <c r="P150" s="5">
        <f t="shared" si="53"/>
        <v>-43.624161073825505</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Metals</v>
      </c>
      <c r="B151" s="79" t="str">
        <f>'Data shares'!C146</f>
        <v>NMDC</v>
      </c>
      <c r="C151" s="4">
        <f>VLOOKUP($B151,'Data shares'!$C:$FB,7)</f>
        <v>75.88</v>
      </c>
      <c r="D151" s="82">
        <f>VLOOKUP($B151,'Data shares'!$C:$FB,98)</f>
        <v>547614000</v>
      </c>
      <c r="E151" s="165">
        <f>VLOOKUP(B151,'Snapshot (Volume)'!$A$7:$G$168,7,0)</f>
        <v>532224000</v>
      </c>
      <c r="F151" s="165">
        <f t="shared" si="49"/>
        <v>15390000</v>
      </c>
      <c r="G151" s="166">
        <f t="shared" si="50"/>
        <v>2.8916396103896104E-2</v>
      </c>
      <c r="H151" s="165">
        <f>VLOOKUP($B151,'Data shares'!$C:$FB,66)</f>
        <v>128034000</v>
      </c>
      <c r="I151" s="165">
        <f>VLOOKUP($B151,'Data shares'!$C:$FB,67)</f>
        <v>201042000</v>
      </c>
      <c r="J151" s="81">
        <f t="shared" si="51"/>
        <v>-36.314799892559762</v>
      </c>
      <c r="K151" s="5">
        <f>VLOOKUP($B151,'Data Vlaue (Cr)'!$C:$FB,99)</f>
        <v>4164</v>
      </c>
      <c r="L151" s="81">
        <f>VLOOKUP(B151,'OI(Value)'!$A$7:$C$209,3,0)</f>
        <v>117</v>
      </c>
      <c r="M151" s="33">
        <f t="shared" si="52"/>
        <v>2.809798270893372</v>
      </c>
      <c r="N151" s="5">
        <f>VLOOKUP($B151,'Data Vlaue (Cr)'!$C:$FB,67)</f>
        <v>973</v>
      </c>
      <c r="O151" s="5">
        <f>VLOOKUP($B151,'Data Vlaue (Cr)'!$C:$FB,68)</f>
        <v>1529</v>
      </c>
      <c r="P151" s="5">
        <f t="shared" si="53"/>
        <v>-57.142857142857139</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Power</v>
      </c>
      <c r="B152" s="79" t="str">
        <f>'Data shares'!C147</f>
        <v>NTPC</v>
      </c>
      <c r="C152" s="4">
        <f>VLOOKUP($B152,'Data shares'!$C:$FB,7)</f>
        <v>341.5</v>
      </c>
      <c r="D152" s="82">
        <f>VLOOKUP($B152,'Data shares'!$C:$FB,98)</f>
        <v>161238000</v>
      </c>
      <c r="E152" s="165">
        <f>VLOOKUP(B152,'Snapshot (Volume)'!$A$7:$G$168,7,0)</f>
        <v>161067000</v>
      </c>
      <c r="F152" s="165">
        <f t="shared" si="49"/>
        <v>171000</v>
      </c>
      <c r="G152" s="166">
        <f t="shared" si="50"/>
        <v>1.0616699882657528E-3</v>
      </c>
      <c r="H152" s="165">
        <f>VLOOKUP($B152,'Data shares'!$C:$FB,66)</f>
        <v>57454500</v>
      </c>
      <c r="I152" s="165">
        <f>VLOOKUP($B152,'Data shares'!$C:$FB,67)</f>
        <v>84922500</v>
      </c>
      <c r="J152" s="81">
        <f t="shared" si="51"/>
        <v>-32.344784950984725</v>
      </c>
      <c r="K152" s="5">
        <f>VLOOKUP($B152,'Data Vlaue (Cr)'!$C:$FB,99)</f>
        <v>5522</v>
      </c>
      <c r="L152" s="81">
        <f>VLOOKUP(B152,'OI(Value)'!$A$7:$C$209,3,0)</f>
        <v>6</v>
      </c>
      <c r="M152" s="33">
        <f t="shared" si="52"/>
        <v>0.10865628395508872</v>
      </c>
      <c r="N152" s="5">
        <f>VLOOKUP($B152,'Data Vlaue (Cr)'!$C:$FB,67)</f>
        <v>1968</v>
      </c>
      <c r="O152" s="5">
        <f>VLOOKUP($B152,'Data Vlaue (Cr)'!$C:$FB,68)</f>
        <v>2909</v>
      </c>
      <c r="P152" s="5">
        <f t="shared" si="53"/>
        <v>-47.815040650406502</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Finance</v>
      </c>
      <c r="B153" s="79" t="str">
        <f>'Data shares'!C148</f>
        <v>NUVAMA</v>
      </c>
      <c r="C153" s="4">
        <f>VLOOKUP($B153,'Data shares'!$C:$FB,7)</f>
        <v>7225.5</v>
      </c>
      <c r="D153" s="82">
        <f>VLOOKUP($B153,'Data shares'!$C:$FB,98)</f>
        <v>847125</v>
      </c>
      <c r="E153" s="165">
        <f>VLOOKUP(B153,'Snapshot (Volume)'!$A$7:$G$168,7,0)</f>
        <v>874350</v>
      </c>
      <c r="F153" s="165">
        <f>D153-E153</f>
        <v>-27225</v>
      </c>
      <c r="G153" s="166">
        <f t="shared" si="50"/>
        <v>-3.1137416366443644E-2</v>
      </c>
      <c r="H153" s="165">
        <f>VLOOKUP($B153,'Data shares'!$C:$FB,66)</f>
        <v>258900</v>
      </c>
      <c r="I153" s="165">
        <f>VLOOKUP($B153,'Data shares'!$C:$FB,67)</f>
        <v>400575</v>
      </c>
      <c r="J153" s="81">
        <f t="shared" si="51"/>
        <v>-35.367908631342445</v>
      </c>
      <c r="K153" s="5">
        <f>VLOOKUP($B153,'Data Vlaue (Cr)'!$C:$FB,99)</f>
        <v>614</v>
      </c>
      <c r="L153" s="81">
        <f>VLOOKUP(B153,'OI(Value)'!$A$7:$C$209,3,0)</f>
        <v>-20</v>
      </c>
      <c r="M153" s="33">
        <f t="shared" si="52"/>
        <v>-3.2573289902280131</v>
      </c>
      <c r="N153" s="5">
        <f>VLOOKUP($B153,'Data Vlaue (Cr)'!$C:$FB,67)</f>
        <v>188</v>
      </c>
      <c r="O153" s="5">
        <f>VLOOKUP($B153,'Data Vlaue (Cr)'!$C:$FB,68)</f>
        <v>290</v>
      </c>
      <c r="P153" s="5">
        <f>(N153-O153)/N153*100</f>
        <v>-54.255319148936167</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New_Age</v>
      </c>
      <c r="B154" s="79" t="str">
        <f>'Data shares'!C149</f>
        <v>NYKAA</v>
      </c>
      <c r="C154" s="4">
        <f>VLOOKUP($B154,'Data shares'!$C:$FB,7)</f>
        <v>263.31</v>
      </c>
      <c r="D154" s="82">
        <f>VLOOKUP($B154,'Data shares'!$C:$FB,98)</f>
        <v>96446875</v>
      </c>
      <c r="E154" s="165">
        <f>VLOOKUP(B154,'Snapshot (Volume)'!$A$7:$G$168,7,0)</f>
        <v>92437500</v>
      </c>
      <c r="F154" s="165">
        <f t="shared" ref="F154:F166" si="54">D154-E154</f>
        <v>4009375</v>
      </c>
      <c r="G154" s="166">
        <f t="shared" ref="G154:G166" si="55">F154/E154</f>
        <v>4.3373901284651795E-2</v>
      </c>
      <c r="H154" s="165">
        <f>VLOOKUP($B154,'Data shares'!$C:$FB,66)</f>
        <v>48887500</v>
      </c>
      <c r="I154" s="165">
        <f>VLOOKUP($B154,'Data shares'!$C:$FB,67)</f>
        <v>48062500</v>
      </c>
      <c r="J154" s="81">
        <f t="shared" ref="J154:J166" si="56">(H154-I154)/I154*100</f>
        <v>1.7165149544863458</v>
      </c>
      <c r="K154" s="5">
        <f>VLOOKUP($B154,'Data Vlaue (Cr)'!$C:$FB,99)</f>
        <v>2537</v>
      </c>
      <c r="L154" s="81">
        <f>VLOOKUP(B154,'OI(Value)'!$A$7:$C$209,3,0)</f>
        <v>105</v>
      </c>
      <c r="M154" s="33">
        <f t="shared" ref="M154:M166" si="57">L154/K154*100</f>
        <v>4.1387465510445409</v>
      </c>
      <c r="N154" s="5">
        <f>VLOOKUP($B154,'Data Vlaue (Cr)'!$C:$FB,67)</f>
        <v>1286</v>
      </c>
      <c r="O154" s="5">
        <f>VLOOKUP($B154,'Data Vlaue (Cr)'!$C:$FB,68)</f>
        <v>1264</v>
      </c>
      <c r="P154" s="5">
        <f t="shared" ref="P154:P161" si="58">(N154-O154)/N154*100</f>
        <v>1.7107309486780715</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Realty</v>
      </c>
      <c r="B155" s="79" t="str">
        <f>'Data shares'!C150</f>
        <v>OBEROIRLTY</v>
      </c>
      <c r="C155" s="4">
        <f>VLOOKUP($B155,'Data shares'!$C:$FB,7)</f>
        <v>1687.1</v>
      </c>
      <c r="D155" s="82">
        <f>VLOOKUP($B155,'Data shares'!$C:$FB,98)</f>
        <v>9188200</v>
      </c>
      <c r="E155" s="165">
        <f>VLOOKUP(B155,'Snapshot (Volume)'!$A$7:$G$168,7,0)</f>
        <v>8151150</v>
      </c>
      <c r="F155" s="165">
        <f t="shared" si="54"/>
        <v>1037050</v>
      </c>
      <c r="G155" s="166">
        <f t="shared" si="55"/>
        <v>0.12722744643393877</v>
      </c>
      <c r="H155" s="165">
        <f>VLOOKUP($B155,'Data shares'!$C:$FB,66)</f>
        <v>41430550</v>
      </c>
      <c r="I155" s="165">
        <f>VLOOKUP($B155,'Data shares'!$C:$FB,67)</f>
        <v>7574350</v>
      </c>
      <c r="J155" s="81">
        <f t="shared" si="56"/>
        <v>446.98488979252346</v>
      </c>
      <c r="K155" s="5">
        <f>VLOOKUP($B155,'Data Vlaue (Cr)'!$C:$FB,99)</f>
        <v>1556</v>
      </c>
      <c r="L155" s="81">
        <f>VLOOKUP(B155,'OI(Value)'!$A$7:$C$209,3,0)</f>
        <v>176</v>
      </c>
      <c r="M155" s="33">
        <f t="shared" si="57"/>
        <v>11.311053984575835</v>
      </c>
      <c r="N155" s="5">
        <f>VLOOKUP($B155,'Data Vlaue (Cr)'!$C:$FB,67)</f>
        <v>7015</v>
      </c>
      <c r="O155" s="5">
        <f>VLOOKUP($B155,'Data Vlaue (Cr)'!$C:$FB,68)</f>
        <v>1282</v>
      </c>
      <c r="P155" s="5">
        <f t="shared" si="58"/>
        <v>81.724875267284389</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Technology</v>
      </c>
      <c r="B156" s="79" t="str">
        <f>'Data shares'!C151</f>
        <v>OFSS</v>
      </c>
      <c r="C156" s="4">
        <f>VLOOKUP($B156,'Data shares'!$C:$FB,7)</f>
        <v>8796.5</v>
      </c>
      <c r="D156" s="82">
        <f>VLOOKUP($B156,'Data shares'!$C:$FB,98)</f>
        <v>2432175</v>
      </c>
      <c r="E156" s="165">
        <f>VLOOKUP(B156,'Snapshot (Volume)'!$A$7:$G$168,7,0)</f>
        <v>2331600</v>
      </c>
      <c r="F156" s="165">
        <f t="shared" si="54"/>
        <v>100575</v>
      </c>
      <c r="G156" s="166">
        <f t="shared" si="55"/>
        <v>4.3135615028306741E-2</v>
      </c>
      <c r="H156" s="165">
        <f>VLOOKUP($B156,'Data shares'!$C:$FB,66)</f>
        <v>1636425</v>
      </c>
      <c r="I156" s="165">
        <f>VLOOKUP($B156,'Data shares'!$C:$FB,67)</f>
        <v>2733975</v>
      </c>
      <c r="J156" s="81">
        <f t="shared" si="56"/>
        <v>-40.144844045757551</v>
      </c>
      <c r="K156" s="5">
        <f>VLOOKUP($B156,'Data Vlaue (Cr)'!$C:$FB,99)</f>
        <v>2140</v>
      </c>
      <c r="L156" s="81">
        <f>VLOOKUP(B156,'OI(Value)'!$A$7:$C$209,3,0)</f>
        <v>88</v>
      </c>
      <c r="M156" s="33">
        <f t="shared" si="57"/>
        <v>4.1121495327102808</v>
      </c>
      <c r="N156" s="5">
        <f>VLOOKUP($B156,'Data Vlaue (Cr)'!$C:$FB,67)</f>
        <v>1440</v>
      </c>
      <c r="O156" s="5">
        <f>VLOOKUP($B156,'Data Vlaue (Cr)'!$C:$FB,68)</f>
        <v>2405</v>
      </c>
      <c r="P156" s="5">
        <f t="shared" si="58"/>
        <v>-67.013888888888886</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Oil_Gas</v>
      </c>
      <c r="B157" s="79" t="str">
        <f>'Data shares'!C152</f>
        <v>OIL</v>
      </c>
      <c r="C157" s="4">
        <f>VLOOKUP($B157,'Data shares'!$C:$FB,7)</f>
        <v>417.25</v>
      </c>
      <c r="D157" s="82">
        <f>VLOOKUP($B157,'Data shares'!$C:$FB,98)</f>
        <v>20503000</v>
      </c>
      <c r="E157" s="165">
        <f>VLOOKUP(B157,'Snapshot (Volume)'!$A$7:$G$168,7,0)</f>
        <v>20139000</v>
      </c>
      <c r="F157" s="165">
        <f t="shared" si="54"/>
        <v>364000</v>
      </c>
      <c r="G157" s="166">
        <f t="shared" si="55"/>
        <v>1.8074383037886686E-2</v>
      </c>
      <c r="H157" s="165">
        <f>VLOOKUP($B157,'Data shares'!$C:$FB,66)</f>
        <v>6372800</v>
      </c>
      <c r="I157" s="165">
        <f>VLOOKUP($B157,'Data shares'!$C:$FB,67)</f>
        <v>8310400</v>
      </c>
      <c r="J157" s="81">
        <f t="shared" si="56"/>
        <v>-23.31536388140162</v>
      </c>
      <c r="K157" s="5">
        <f>VLOOKUP($B157,'Data Vlaue (Cr)'!$C:$FB,99)</f>
        <v>854</v>
      </c>
      <c r="L157" s="81">
        <f>VLOOKUP(B157,'OI(Value)'!$A$7:$C$209,3,0)</f>
        <v>15</v>
      </c>
      <c r="M157" s="33">
        <f t="shared" si="57"/>
        <v>1.7564402810304449</v>
      </c>
      <c r="N157" s="5">
        <f>VLOOKUP($B157,'Data Vlaue (Cr)'!$C:$FB,67)</f>
        <v>265</v>
      </c>
      <c r="O157" s="5">
        <f>VLOOKUP($B157,'Data Vlaue (Cr)'!$C:$FB,68)</f>
        <v>346</v>
      </c>
      <c r="P157" s="5">
        <f t="shared" si="58"/>
        <v>-30.566037735849054</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ONGC</v>
      </c>
      <c r="C158" s="4">
        <f>VLOOKUP($B158,'Data shares'!$C:$FB,7)</f>
        <v>248.35</v>
      </c>
      <c r="D158" s="82">
        <f>VLOOKUP($B158,'Data shares'!$C:$FB,98)</f>
        <v>176170500</v>
      </c>
      <c r="E158" s="165">
        <f>VLOOKUP(B158,'Snapshot (Volume)'!$A$7:$G$168,7,0)</f>
        <v>174737250</v>
      </c>
      <c r="F158" s="165">
        <f t="shared" si="54"/>
        <v>1433250</v>
      </c>
      <c r="G158" s="166">
        <f t="shared" si="55"/>
        <v>8.2023151903786971E-3</v>
      </c>
      <c r="H158" s="165">
        <f>VLOOKUP($B158,'Data shares'!$C:$FB,66)</f>
        <v>54900000</v>
      </c>
      <c r="I158" s="165">
        <f>VLOOKUP($B158,'Data shares'!$C:$FB,67)</f>
        <v>65187000</v>
      </c>
      <c r="J158" s="81">
        <f t="shared" si="56"/>
        <v>-15.780753831285379</v>
      </c>
      <c r="K158" s="5">
        <f>VLOOKUP($B158,'Data Vlaue (Cr)'!$C:$FB,99)</f>
        <v>4379</v>
      </c>
      <c r="L158" s="81">
        <f>VLOOKUP(B158,'OI(Value)'!$A$7:$C$209,3,0)</f>
        <v>36</v>
      </c>
      <c r="M158" s="33">
        <f t="shared" si="57"/>
        <v>0.82210550353962097</v>
      </c>
      <c r="N158" s="5">
        <f>VLOOKUP($B158,'Data Vlaue (Cr)'!$C:$FB,67)</f>
        <v>1365</v>
      </c>
      <c r="O158" s="5">
        <f>VLOOKUP($B158,'Data Vlaue (Cr)'!$C:$FB,68)</f>
        <v>1620</v>
      </c>
      <c r="P158" s="5">
        <f t="shared" si="58"/>
        <v>-18.681318681318682</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Textile</v>
      </c>
      <c r="B159" s="79" t="str">
        <f>'Data shares'!C154</f>
        <v>PAGEIND</v>
      </c>
      <c r="C159" s="4">
        <f>VLOOKUP($B159,'Data shares'!$C:$FB,7)</f>
        <v>41020</v>
      </c>
      <c r="D159" s="82">
        <f>VLOOKUP($B159,'Data shares'!$C:$FB,98)</f>
        <v>412425</v>
      </c>
      <c r="E159" s="165">
        <f>VLOOKUP(B159,'Snapshot (Volume)'!$A$7:$G$168,7,0)</f>
        <v>398085</v>
      </c>
      <c r="F159" s="165">
        <f t="shared" si="54"/>
        <v>14340</v>
      </c>
      <c r="G159" s="166">
        <f t="shared" si="55"/>
        <v>3.602245751535476E-2</v>
      </c>
      <c r="H159" s="165">
        <f>VLOOKUP($B159,'Data shares'!$C:$FB,66)</f>
        <v>262665</v>
      </c>
      <c r="I159" s="165">
        <f>VLOOKUP($B159,'Data shares'!$C:$FB,67)</f>
        <v>206295</v>
      </c>
      <c r="J159" s="81">
        <f t="shared" si="56"/>
        <v>27.324947284228895</v>
      </c>
      <c r="K159" s="5">
        <f>VLOOKUP($B159,'Data Vlaue (Cr)'!$C:$FB,99)</f>
        <v>1698</v>
      </c>
      <c r="L159" s="81">
        <f>VLOOKUP(B159,'OI(Value)'!$A$7:$C$209,3,0)</f>
        <v>59</v>
      </c>
      <c r="M159" s="33">
        <f t="shared" si="57"/>
        <v>3.4746760895170787</v>
      </c>
      <c r="N159" s="5">
        <f>VLOOKUP($B159,'Data Vlaue (Cr)'!$C:$FB,67)</f>
        <v>1082</v>
      </c>
      <c r="O159" s="5">
        <f>VLOOKUP($B159,'Data Vlaue (Cr)'!$C:$FB,68)</f>
        <v>850</v>
      </c>
      <c r="P159" s="5">
        <f t="shared" si="58"/>
        <v>21.441774491682068</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FMCG</v>
      </c>
      <c r="B160" s="79" t="str">
        <f>'Data shares'!C155</f>
        <v>PATANJALI</v>
      </c>
      <c r="C160" s="4">
        <f>VLOOKUP($B160,'Data shares'!$C:$FB,7)</f>
        <v>589.85</v>
      </c>
      <c r="D160" s="82">
        <f>VLOOKUP($B160,'Data shares'!$C:$FB,98)</f>
        <v>42374700</v>
      </c>
      <c r="E160" s="165">
        <f>VLOOKUP(B160,'Snapshot (Volume)'!$A$7:$G$168,7,0)</f>
        <v>42462900</v>
      </c>
      <c r="F160" s="165">
        <f t="shared" si="54"/>
        <v>-88200</v>
      </c>
      <c r="G160" s="166">
        <f t="shared" si="55"/>
        <v>-2.0771073101460333E-3</v>
      </c>
      <c r="H160" s="165">
        <f>VLOOKUP($B160,'Data shares'!$C:$FB,66)</f>
        <v>8871300</v>
      </c>
      <c r="I160" s="165">
        <f>VLOOKUP($B160,'Data shares'!$C:$FB,67)</f>
        <v>5492700</v>
      </c>
      <c r="J160" s="81">
        <f t="shared" si="56"/>
        <v>61.510732426675411</v>
      </c>
      <c r="K160" s="5">
        <f>VLOOKUP($B160,'Data Vlaue (Cr)'!$C:$FB,99)</f>
        <v>2508</v>
      </c>
      <c r="L160" s="81">
        <f>VLOOKUP(B160,'OI(Value)'!$A$7:$C$209,3,0)</f>
        <v>-5</v>
      </c>
      <c r="M160" s="33">
        <f t="shared" si="57"/>
        <v>-0.1993620414673046</v>
      </c>
      <c r="N160" s="5">
        <f>VLOOKUP($B160,'Data Vlaue (Cr)'!$C:$FB,67)</f>
        <v>525</v>
      </c>
      <c r="O160" s="5">
        <f>VLOOKUP($B160,'Data Vlaue (Cr)'!$C:$FB,68)</f>
        <v>325</v>
      </c>
      <c r="P160" s="5">
        <f t="shared" si="58"/>
        <v>38.095238095238095</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New_Age</v>
      </c>
      <c r="B161" s="79" t="str">
        <f>'Data shares'!C156</f>
        <v>PAYTM</v>
      </c>
      <c r="C161" s="4">
        <f>VLOOKUP($B161,'Data shares'!$C:$FB,7)</f>
        <v>1274</v>
      </c>
      <c r="D161" s="82">
        <f>VLOOKUP($B161,'Data shares'!$C:$FB,98)</f>
        <v>37367950</v>
      </c>
      <c r="E161" s="165">
        <f>VLOOKUP(B161,'Snapshot (Volume)'!$A$7:$G$168,7,0)</f>
        <v>37815275</v>
      </c>
      <c r="F161" s="165">
        <f t="shared" si="54"/>
        <v>-447325</v>
      </c>
      <c r="G161" s="166">
        <f t="shared" si="55"/>
        <v>-1.1829214517149486E-2</v>
      </c>
      <c r="H161" s="165">
        <f>VLOOKUP($B161,'Data shares'!$C:$FB,66)</f>
        <v>45493025</v>
      </c>
      <c r="I161" s="165">
        <f>VLOOKUP($B161,'Data shares'!$C:$FB,67)</f>
        <v>56033075</v>
      </c>
      <c r="J161" s="81">
        <f t="shared" si="56"/>
        <v>-18.810407959941518</v>
      </c>
      <c r="K161" s="5">
        <f>VLOOKUP($B161,'Data Vlaue (Cr)'!$C:$FB,99)</f>
        <v>4764</v>
      </c>
      <c r="L161" s="81">
        <f>VLOOKUP(B161,'OI(Value)'!$A$7:$C$209,3,0)</f>
        <v>-57</v>
      </c>
      <c r="M161" s="33">
        <f t="shared" si="57"/>
        <v>-1.1964735516372795</v>
      </c>
      <c r="N161" s="5">
        <f>VLOOKUP($B161,'Data Vlaue (Cr)'!$C:$FB,67)</f>
        <v>5800</v>
      </c>
      <c r="O161" s="5">
        <f>VLOOKUP($B161,'Data Vlaue (Cr)'!$C:$FB,68)</f>
        <v>7144</v>
      </c>
      <c r="P161" s="5">
        <f t="shared" si="58"/>
        <v>-23.172413793103448</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Technology</v>
      </c>
      <c r="B162" s="79" t="str">
        <f>'Data shares'!C157</f>
        <v>PERSISTENT</v>
      </c>
      <c r="C162" s="4">
        <f>VLOOKUP($B162,'Data shares'!$C:$FB,7)</f>
        <v>5841.5</v>
      </c>
      <c r="D162" s="82">
        <f>VLOOKUP($B162,'Data shares'!$C:$FB,98)</f>
        <v>6573300</v>
      </c>
      <c r="E162" s="165">
        <f>VLOOKUP(B162,'Snapshot (Volume)'!$A$7:$G$168,7,0)</f>
        <v>6862700</v>
      </c>
      <c r="F162" s="165">
        <f t="shared" si="54"/>
        <v>-289400</v>
      </c>
      <c r="G162" s="166">
        <f t="shared" si="55"/>
        <v>-4.2169991402800644E-2</v>
      </c>
      <c r="H162" s="165">
        <f>VLOOKUP($B162,'Data shares'!$C:$FB,66)</f>
        <v>11328400</v>
      </c>
      <c r="I162" s="165">
        <f>VLOOKUP($B162,'Data shares'!$C:$FB,67)</f>
        <v>38784900</v>
      </c>
      <c r="J162" s="81">
        <f t="shared" si="56"/>
        <v>-70.791725645805457</v>
      </c>
      <c r="K162" s="5">
        <f>VLOOKUP($B162,'Data Vlaue (Cr)'!$C:$FB,99)</f>
        <v>3842</v>
      </c>
      <c r="L162" s="81">
        <f>VLOOKUP(B162,'OI(Value)'!$A$7:$C$209,3,0)</f>
        <v>-169</v>
      </c>
      <c r="M162" s="33">
        <f t="shared" si="57"/>
        <v>-4.3987506507027589</v>
      </c>
      <c r="N162" s="5">
        <f>VLOOKUP($B162,'Data Vlaue (Cr)'!$C:$FB,67)</f>
        <v>6622</v>
      </c>
      <c r="O162" s="5">
        <f>VLOOKUP($B162,'Data Vlaue (Cr)'!$C:$FB,68)</f>
        <v>22671</v>
      </c>
      <c r="P162" s="5">
        <f>(N162-O162)/N162*100</f>
        <v>-242.35880398671097</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Oil_Gas</v>
      </c>
      <c r="B163" s="79" t="str">
        <f>'Data shares'!C158</f>
        <v>PETRONET</v>
      </c>
      <c r="C163" s="4">
        <f>VLOOKUP($B163,'Data shares'!$C:$FB,7)</f>
        <v>278.75</v>
      </c>
      <c r="D163" s="82">
        <f>VLOOKUP($B163,'Data shares'!$C:$FB,98)</f>
        <v>77736600</v>
      </c>
      <c r="E163" s="165">
        <f>VLOOKUP(B163,'Snapshot (Volume)'!$A$7:$G$168,7,0)</f>
        <v>76266000</v>
      </c>
      <c r="F163" s="165">
        <f t="shared" si="54"/>
        <v>1470600</v>
      </c>
      <c r="G163" s="166">
        <f t="shared" si="55"/>
        <v>1.9282511210762333E-2</v>
      </c>
      <c r="H163" s="165">
        <f>VLOOKUP($B163,'Data shares'!$C:$FB,66)</f>
        <v>16583400</v>
      </c>
      <c r="I163" s="165">
        <f>VLOOKUP($B163,'Data shares'!$C:$FB,67)</f>
        <v>16981200</v>
      </c>
      <c r="J163" s="81">
        <f t="shared" si="56"/>
        <v>-2.3425906296374812</v>
      </c>
      <c r="K163" s="5">
        <f>VLOOKUP($B163,'Data Vlaue (Cr)'!$C:$FB,99)</f>
        <v>2172</v>
      </c>
      <c r="L163" s="81">
        <f>VLOOKUP(B163,'OI(Value)'!$A$7:$C$209,3,0)</f>
        <v>41</v>
      </c>
      <c r="M163" s="33">
        <f t="shared" si="57"/>
        <v>1.8876611418047882</v>
      </c>
      <c r="N163" s="5">
        <f>VLOOKUP($B163,'Data Vlaue (Cr)'!$C:$FB,67)</f>
        <v>463</v>
      </c>
      <c r="O163" s="5">
        <f>VLOOKUP($B163,'Data Vlaue (Cr)'!$C:$FB,68)</f>
        <v>475</v>
      </c>
      <c r="P163" s="5">
        <f>(N163-O163)/N163*100</f>
        <v>-2.5917926565874732</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Finance</v>
      </c>
      <c r="B164" s="79" t="str">
        <f>'Data shares'!C159</f>
        <v>PFC</v>
      </c>
      <c r="C164" s="4">
        <f>VLOOKUP($B164,'Data shares'!$C:$FB,7)</f>
        <v>401.55</v>
      </c>
      <c r="D164" s="82">
        <f>VLOOKUP($B164,'Data shares'!$C:$FB,98)</f>
        <v>104273000</v>
      </c>
      <c r="E164" s="165">
        <f>VLOOKUP(B164,'Snapshot (Volume)'!$A$7:$G$168,7,0)</f>
        <v>99911500</v>
      </c>
      <c r="F164" s="165">
        <f t="shared" si="54"/>
        <v>4361500</v>
      </c>
      <c r="G164" s="166">
        <f t="shared" si="55"/>
        <v>4.365363346561707E-2</v>
      </c>
      <c r="H164" s="165">
        <f>VLOOKUP($B164,'Data shares'!$C:$FB,66)</f>
        <v>42201900</v>
      </c>
      <c r="I164" s="165">
        <f>VLOOKUP($B164,'Data shares'!$C:$FB,67)</f>
        <v>50276200</v>
      </c>
      <c r="J164" s="81">
        <f t="shared" si="56"/>
        <v>-16.059885194187309</v>
      </c>
      <c r="K164" s="5">
        <f>VLOOKUP($B164,'Data Vlaue (Cr)'!$C:$FB,99)</f>
        <v>4195</v>
      </c>
      <c r="L164" s="81">
        <f>VLOOKUP(B164,'OI(Value)'!$A$7:$C$209,3,0)</f>
        <v>175</v>
      </c>
      <c r="M164" s="33">
        <f t="shared" si="57"/>
        <v>4.171632896305125</v>
      </c>
      <c r="N164" s="5">
        <f>VLOOKUP($B164,'Data Vlaue (Cr)'!$C:$FB,67)</f>
        <v>1698</v>
      </c>
      <c r="O164" s="5">
        <f>VLOOKUP($B164,'Data Vlaue (Cr)'!$C:$FB,68)</f>
        <v>2023</v>
      </c>
      <c r="P164" s="5">
        <f>(N164-O164)/N164*100</f>
        <v>-19.140164899882215</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shares'!B216</f>
        <v>Pharma</v>
      </c>
      <c r="B166" s="79" t="str">
        <f>'Data shares'!C216</f>
        <v>ZYDUSLIFE</v>
      </c>
      <c r="C166" s="4">
        <f>VLOOKUP($B166,'Data shares'!$C:$FB,7)</f>
        <v>984.6</v>
      </c>
      <c r="D166" s="82">
        <f>VLOOKUP($B166,'Data shares'!$C:$FB,98)</f>
        <v>14436000</v>
      </c>
      <c r="E166" s="165" t="e">
        <f>VLOOKUP(B166,'Snapshot (Volume)'!$A$7:$G$168,7,0)</f>
        <v>#N/A</v>
      </c>
      <c r="F166" s="165" t="e">
        <f t="shared" si="54"/>
        <v>#N/A</v>
      </c>
      <c r="G166" s="166" t="e">
        <f t="shared" si="55"/>
        <v>#N/A</v>
      </c>
      <c r="H166" s="165">
        <f>VLOOKUP($B166,'Data shares'!$C:$FB,66)</f>
        <v>4965300</v>
      </c>
      <c r="I166" s="165">
        <f>VLOOKUP($B166,'Data shares'!$C:$FB,67)</f>
        <v>4188600</v>
      </c>
      <c r="J166" s="81">
        <f t="shared" si="56"/>
        <v>18.543188654920499</v>
      </c>
      <c r="K166" s="5">
        <f>VLOOKUP($B166,'Data Vlaue (Cr)'!$C:$FB,99)</f>
        <v>1423</v>
      </c>
      <c r="L166" s="81">
        <f>VLOOKUP(B166,'OI(Value)'!$A$7:$C$209,3,0)</f>
        <v>-39</v>
      </c>
      <c r="M166" s="33">
        <f t="shared" si="57"/>
        <v>-2.7406886858749124</v>
      </c>
      <c r="N166" s="5">
        <f>VLOOKUP($B166,'Data Vlaue (Cr)'!$C:$FB,67)</f>
        <v>489</v>
      </c>
      <c r="O166" s="5">
        <f>VLOOKUP($B166,'Data Vlaue (Cr)'!$C:$FB,68)</f>
        <v>413</v>
      </c>
      <c r="P166" s="5">
        <f>(N166-O166)/N166*100</f>
        <v>15.541922290388548</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48" activePane="bottomLeft" state="frozen"/>
      <selection pane="bottomLeft" activeCell="A149" sqref="A149"/>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45946</v>
      </c>
      <c r="C6" s="71" t="s">
        <v>333</v>
      </c>
      <c r="D6" s="71" t="s">
        <v>328</v>
      </c>
      <c r="E6" s="66">
        <f>B6</f>
        <v>45946</v>
      </c>
      <c r="F6" s="71" t="s">
        <v>333</v>
      </c>
      <c r="G6" s="71" t="s">
        <v>328</v>
      </c>
      <c r="H6" s="66">
        <f>B6</f>
        <v>45946</v>
      </c>
      <c r="I6" s="71" t="s">
        <v>333</v>
      </c>
      <c r="J6" s="71" t="s">
        <v>328</v>
      </c>
      <c r="K6" s="66">
        <f>B6</f>
        <v>45946</v>
      </c>
      <c r="L6" s="71" t="s">
        <v>333</v>
      </c>
      <c r="M6" s="71" t="s">
        <v>328</v>
      </c>
      <c r="N6" s="71" t="s">
        <v>339</v>
      </c>
      <c r="O6" s="71" t="s">
        <v>328</v>
      </c>
    </row>
    <row r="7" spans="1:15" x14ac:dyDescent="0.25">
      <c r="A7" s="100" t="str">
        <f>'OI(Value)'!A7</f>
        <v>360ONE</v>
      </c>
      <c r="B7" s="82">
        <f>VLOOKUP(A7,'Data shares'!$C$2:$CV$216,98,0)</f>
        <v>6614500</v>
      </c>
      <c r="C7" s="82">
        <f>VLOOKUP(A7,'Data shares'!$C$2:$CX$216,100,0)</f>
        <v>352500</v>
      </c>
      <c r="D7" s="141">
        <f>VLOOKUP(A7,'Data shares'!$C$2:$CY$539,101,0)</f>
        <v>5.6300000000000003E-2</v>
      </c>
      <c r="E7" s="86">
        <f>VLOOKUP($A7,'Data shares'!$C:$FA,74)</f>
        <v>3631000</v>
      </c>
      <c r="F7" s="86">
        <f>VLOOKUP($A7,'Data shares'!$C:$FA,76)</f>
        <v>117500</v>
      </c>
      <c r="G7" s="87">
        <f>VLOOKUP(A7,'Data shares'!$C$2:$CA$216,77,0)</f>
        <v>3.3399999999999999E-2</v>
      </c>
      <c r="H7" s="86">
        <f>VLOOKUP($A7,'Data shares'!$C:$FA,90)</f>
        <v>1885500</v>
      </c>
      <c r="I7" s="86">
        <f>VLOOKUP($A7,'Data shares'!$C:$FA,92)</f>
        <v>174500</v>
      </c>
      <c r="J7" s="87">
        <f>VLOOKUP($A7,'Data shares'!$C:$FA,93)</f>
        <v>0.10199999999999999</v>
      </c>
      <c r="K7" s="86">
        <f>VLOOKUP($A7,'Data shares'!$C:$FA,94)</f>
        <v>1098000</v>
      </c>
      <c r="L7" s="86">
        <f>VLOOKUP($A7,'Data shares'!$C:$FA,96)</f>
        <v>60500</v>
      </c>
      <c r="M7" s="87">
        <f>VLOOKUP($A7,'Data shares'!$C:$FA,97)</f>
        <v>5.8299999999999998E-2</v>
      </c>
      <c r="N7" s="86">
        <f>VLOOKUP($A7,'Data shares'!$C:$FA,78)</f>
        <v>3438000</v>
      </c>
      <c r="O7" s="87">
        <f>VLOOKUP($A7,'Data shares'!$C:$FA,81)</f>
        <v>1.55E-2</v>
      </c>
    </row>
    <row r="8" spans="1:15" x14ac:dyDescent="0.25">
      <c r="A8" s="100" t="str">
        <f>'OI(Value)'!A8</f>
        <v>ABB</v>
      </c>
      <c r="B8" s="82">
        <f>VLOOKUP(A8,'Data shares'!$C$2:$CV$216,98,0)</f>
        <v>4708875</v>
      </c>
      <c r="C8" s="82">
        <f>VLOOKUP(A8,'Data shares'!$C$2:$CX$216,100,0)</f>
        <v>64000</v>
      </c>
      <c r="D8" s="141">
        <f>VLOOKUP(A8,'Data shares'!$C$2:$CY$539,101,0)</f>
        <v>1.38E-2</v>
      </c>
      <c r="E8" s="86">
        <f>VLOOKUP($A8,'Data shares'!$C:$FA,74)</f>
        <v>2483875</v>
      </c>
      <c r="F8" s="86">
        <f>VLOOKUP($A8,'Data shares'!$C:$FA,76)</f>
        <v>1875</v>
      </c>
      <c r="G8" s="87">
        <f>VLOOKUP(A8,'Data shares'!$C$2:$CA$216,77,0)</f>
        <v>8.0000000000000004E-4</v>
      </c>
      <c r="H8" s="86">
        <f>VLOOKUP($A8,'Data shares'!$C:$FA,90)</f>
        <v>1320125</v>
      </c>
      <c r="I8" s="86">
        <f>VLOOKUP($A8,'Data shares'!$C:$FA,92)</f>
        <v>-18500</v>
      </c>
      <c r="J8" s="87">
        <f>VLOOKUP($A8,'Data shares'!$C:$FA,93)</f>
        <v>-1.38E-2</v>
      </c>
      <c r="K8" s="86">
        <f>VLOOKUP($A8,'Data shares'!$C:$FA,94)</f>
        <v>904875</v>
      </c>
      <c r="L8" s="86">
        <f>VLOOKUP($A8,'Data shares'!$C:$FA,96)</f>
        <v>80625</v>
      </c>
      <c r="M8" s="87">
        <f>VLOOKUP($A8,'Data shares'!$C:$FA,97)</f>
        <v>9.7799999999999998E-2</v>
      </c>
      <c r="N8" s="86">
        <f>VLOOKUP($A8,'Data shares'!$C:$FA,78)</f>
        <v>2285625</v>
      </c>
      <c r="O8" s="87">
        <f>VLOOKUP($A8,'Data shares'!$C:$FA,81)</f>
        <v>-2.1499999999999998E-2</v>
      </c>
    </row>
    <row r="9" spans="1:15" x14ac:dyDescent="0.25">
      <c r="A9" s="100" t="str">
        <f>'OI(Value)'!A9</f>
        <v>ABCAPITAL</v>
      </c>
      <c r="B9" s="82">
        <f>VLOOKUP(A9,'Data shares'!$C$2:$CV$216,98,0)</f>
        <v>115955500</v>
      </c>
      <c r="C9" s="82">
        <f>VLOOKUP(A9,'Data shares'!$C$2:$CX$216,100,0)</f>
        <v>1404300</v>
      </c>
      <c r="D9" s="141">
        <f>VLOOKUP(A9,'Data shares'!$C$2:$CY$539,101,0)</f>
        <v>1.23E-2</v>
      </c>
      <c r="E9" s="86">
        <f>VLOOKUP($A9,'Data shares'!$C:$FA,74)</f>
        <v>77562000</v>
      </c>
      <c r="F9" s="86">
        <f>VLOOKUP($A9,'Data shares'!$C:$FA,76)</f>
        <v>406100</v>
      </c>
      <c r="G9" s="87">
        <f>VLOOKUP(A9,'Data shares'!$C$2:$CA$216,77,0)</f>
        <v>5.3E-3</v>
      </c>
      <c r="H9" s="86">
        <f>VLOOKUP($A9,'Data shares'!$C:$FA,90)</f>
        <v>24542700</v>
      </c>
      <c r="I9" s="86">
        <f>VLOOKUP($A9,'Data shares'!$C:$FA,92)</f>
        <v>685100</v>
      </c>
      <c r="J9" s="87">
        <f>VLOOKUP($A9,'Data shares'!$C:$FA,93)</f>
        <v>2.87E-2</v>
      </c>
      <c r="K9" s="86">
        <f>VLOOKUP($A9,'Data shares'!$C:$FA,94)</f>
        <v>13850800</v>
      </c>
      <c r="L9" s="86">
        <f>VLOOKUP($A9,'Data shares'!$C:$FA,96)</f>
        <v>313100</v>
      </c>
      <c r="M9" s="87">
        <f>VLOOKUP($A9,'Data shares'!$C:$FA,97)</f>
        <v>2.3099999999999999E-2</v>
      </c>
      <c r="N9" s="86">
        <f>VLOOKUP($A9,'Data shares'!$C:$FA,78)</f>
        <v>74542600</v>
      </c>
      <c r="O9" s="87">
        <f>VLOOKUP($A9,'Data shares'!$C:$FA,81)</f>
        <v>2.0999999999999999E-3</v>
      </c>
    </row>
    <row r="10" spans="1:15" x14ac:dyDescent="0.25">
      <c r="A10" s="100" t="str">
        <f>'OI(Value)'!A10</f>
        <v>ADANIENSOL</v>
      </c>
      <c r="B10" s="82">
        <f>VLOOKUP(A10,'Data shares'!$C$2:$CV$216,98,0)</f>
        <v>24052275</v>
      </c>
      <c r="C10" s="82">
        <f>VLOOKUP(A10,'Data shares'!$C$2:$CX$216,100,0)</f>
        <v>-151200</v>
      </c>
      <c r="D10" s="141">
        <f>VLOOKUP(A10,'Data shares'!$C$2:$CY$539,101,0)</f>
        <v>-6.1999999999999998E-3</v>
      </c>
      <c r="E10" s="86">
        <f>VLOOKUP($A10,'Data shares'!$C:$FA,74)</f>
        <v>18204750</v>
      </c>
      <c r="F10" s="86">
        <f>VLOOKUP($A10,'Data shares'!$C:$FA,76)</f>
        <v>-177525</v>
      </c>
      <c r="G10" s="87">
        <f>VLOOKUP(A10,'Data shares'!$C$2:$CA$216,77,0)</f>
        <v>-9.7000000000000003E-3</v>
      </c>
      <c r="H10" s="86">
        <f>VLOOKUP($A10,'Data shares'!$C:$FA,90)</f>
        <v>3569400</v>
      </c>
      <c r="I10" s="86">
        <f>VLOOKUP($A10,'Data shares'!$C:$FA,92)</f>
        <v>-7425</v>
      </c>
      <c r="J10" s="87">
        <f>VLOOKUP($A10,'Data shares'!$C:$FA,93)</f>
        <v>-2.0999999999999999E-3</v>
      </c>
      <c r="K10" s="86">
        <f>VLOOKUP($A10,'Data shares'!$C:$FA,94)</f>
        <v>2278125</v>
      </c>
      <c r="L10" s="86">
        <f>VLOOKUP($A10,'Data shares'!$C:$FA,96)</f>
        <v>33750</v>
      </c>
      <c r="M10" s="87">
        <f>VLOOKUP($A10,'Data shares'!$C:$FA,97)</f>
        <v>1.4999999999999999E-2</v>
      </c>
      <c r="N10" s="86">
        <f>VLOOKUP($A10,'Data shares'!$C:$FA,78)</f>
        <v>17847675</v>
      </c>
      <c r="O10" s="87">
        <f>VLOOKUP($A10,'Data shares'!$C:$FA,81)</f>
        <v>-1.2200000000000001E-2</v>
      </c>
    </row>
    <row r="11" spans="1:15" x14ac:dyDescent="0.25">
      <c r="A11" s="100" t="str">
        <f>'OI(Value)'!A11</f>
        <v>ADANIENT</v>
      </c>
      <c r="B11" s="82">
        <f>VLOOKUP(A11,'Data shares'!$C$2:$CV$216,98,0)</f>
        <v>27604800</v>
      </c>
      <c r="C11" s="82">
        <f>VLOOKUP(A11,'Data shares'!$C$2:$CX$216,100,0)</f>
        <v>120600</v>
      </c>
      <c r="D11" s="141">
        <f>VLOOKUP(A11,'Data shares'!$C$2:$CY$539,101,0)</f>
        <v>4.4000000000000003E-3</v>
      </c>
      <c r="E11" s="86">
        <f>VLOOKUP($A11,'Data shares'!$C:$FA,74)</f>
        <v>14263500</v>
      </c>
      <c r="F11" s="86">
        <f>VLOOKUP($A11,'Data shares'!$C:$FA,76)</f>
        <v>138000</v>
      </c>
      <c r="G11" s="87">
        <f>VLOOKUP(A11,'Data shares'!$C$2:$CA$216,77,0)</f>
        <v>9.7999999999999997E-3</v>
      </c>
      <c r="H11" s="86">
        <f>VLOOKUP($A11,'Data shares'!$C:$FA,90)</f>
        <v>8590800</v>
      </c>
      <c r="I11" s="86">
        <f>VLOOKUP($A11,'Data shares'!$C:$FA,92)</f>
        <v>6600</v>
      </c>
      <c r="J11" s="87">
        <f>VLOOKUP($A11,'Data shares'!$C:$FA,93)</f>
        <v>8.0000000000000004E-4</v>
      </c>
      <c r="K11" s="86">
        <f>VLOOKUP($A11,'Data shares'!$C:$FA,94)</f>
        <v>4750500</v>
      </c>
      <c r="L11" s="86">
        <f>VLOOKUP($A11,'Data shares'!$C:$FA,96)</f>
        <v>-24000</v>
      </c>
      <c r="M11" s="87">
        <f>VLOOKUP($A11,'Data shares'!$C:$FA,97)</f>
        <v>-5.0000000000000001E-3</v>
      </c>
      <c r="N11" s="86">
        <f>VLOOKUP($A11,'Data shares'!$C:$FA,78)</f>
        <v>13535400</v>
      </c>
      <c r="O11" s="87">
        <f>VLOOKUP($A11,'Data shares'!$C:$FA,81)</f>
        <v>-4.5999999999999999E-3</v>
      </c>
    </row>
    <row r="12" spans="1:15" x14ac:dyDescent="0.25">
      <c r="A12" s="100" t="str">
        <f>'OI(Value)'!A12</f>
        <v>ADANIGREEN</v>
      </c>
      <c r="B12" s="82">
        <f>VLOOKUP(A12,'Data shares'!$C$2:$CV$216,98,0)</f>
        <v>37174200</v>
      </c>
      <c r="C12" s="82">
        <f>VLOOKUP(A12,'Data shares'!$C$2:$CX$216,100,0)</f>
        <v>336000</v>
      </c>
      <c r="D12" s="141">
        <f>VLOOKUP(A12,'Data shares'!$C$2:$CY$539,101,0)</f>
        <v>9.1000000000000004E-3</v>
      </c>
      <c r="E12" s="86">
        <f>VLOOKUP($A12,'Data shares'!$C:$FA,74)</f>
        <v>20565600</v>
      </c>
      <c r="F12" s="86">
        <f>VLOOKUP($A12,'Data shares'!$C:$FA,76)</f>
        <v>242400</v>
      </c>
      <c r="G12" s="87">
        <f>VLOOKUP(A12,'Data shares'!$C$2:$CA$216,77,0)</f>
        <v>1.1900000000000001E-2</v>
      </c>
      <c r="H12" s="86">
        <f>VLOOKUP($A12,'Data shares'!$C:$FA,90)</f>
        <v>11103600</v>
      </c>
      <c r="I12" s="86">
        <f>VLOOKUP($A12,'Data shares'!$C:$FA,92)</f>
        <v>-144600</v>
      </c>
      <c r="J12" s="87">
        <f>VLOOKUP($A12,'Data shares'!$C:$FA,93)</f>
        <v>-1.29E-2</v>
      </c>
      <c r="K12" s="86">
        <f>VLOOKUP($A12,'Data shares'!$C:$FA,94)</f>
        <v>5505000</v>
      </c>
      <c r="L12" s="86">
        <f>VLOOKUP($A12,'Data shares'!$C:$FA,96)</f>
        <v>238200</v>
      </c>
      <c r="M12" s="87">
        <f>VLOOKUP($A12,'Data shares'!$C:$FA,97)</f>
        <v>4.5199999999999997E-2</v>
      </c>
      <c r="N12" s="86">
        <f>VLOOKUP($A12,'Data shares'!$C:$FA,78)</f>
        <v>19457400</v>
      </c>
      <c r="O12" s="87">
        <f>VLOOKUP($A12,'Data shares'!$C:$FA,81)</f>
        <v>3.5999999999999999E-3</v>
      </c>
    </row>
    <row r="13" spans="1:15" x14ac:dyDescent="0.25">
      <c r="A13" s="100" t="str">
        <f>'OI(Value)'!A13</f>
        <v>ADANIPORTS</v>
      </c>
      <c r="B13" s="82">
        <f>VLOOKUP(A13,'Data shares'!$C$2:$CV$216,98,0)</f>
        <v>35252125</v>
      </c>
      <c r="C13" s="82">
        <f>VLOOKUP(A13,'Data shares'!$C$2:$CX$216,100,0)</f>
        <v>410875</v>
      </c>
      <c r="D13" s="141">
        <f>VLOOKUP(A13,'Data shares'!$C$2:$CY$539,101,0)</f>
        <v>1.18E-2</v>
      </c>
      <c r="E13" s="86">
        <f>VLOOKUP($A13,'Data shares'!$C:$FA,74)</f>
        <v>23011375</v>
      </c>
      <c r="F13" s="86">
        <f>VLOOKUP($A13,'Data shares'!$C:$FA,76)</f>
        <v>449825</v>
      </c>
      <c r="G13" s="87">
        <f>VLOOKUP(A13,'Data shares'!$C$2:$CA$216,77,0)</f>
        <v>1.9900000000000001E-2</v>
      </c>
      <c r="H13" s="86">
        <f>VLOOKUP($A13,'Data shares'!$C:$FA,90)</f>
        <v>7066575</v>
      </c>
      <c r="I13" s="86">
        <f>VLOOKUP($A13,'Data shares'!$C:$FA,92)</f>
        <v>-232750</v>
      </c>
      <c r="J13" s="87">
        <f>VLOOKUP($A13,'Data shares'!$C:$FA,93)</f>
        <v>-3.1899999999999998E-2</v>
      </c>
      <c r="K13" s="86">
        <f>VLOOKUP($A13,'Data shares'!$C:$FA,94)</f>
        <v>5174175</v>
      </c>
      <c r="L13" s="86">
        <f>VLOOKUP($A13,'Data shares'!$C:$FA,96)</f>
        <v>193800</v>
      </c>
      <c r="M13" s="87">
        <f>VLOOKUP($A13,'Data shares'!$C:$FA,97)</f>
        <v>3.8899999999999997E-2</v>
      </c>
      <c r="N13" s="86">
        <f>VLOOKUP($A13,'Data shares'!$C:$FA,78)</f>
        <v>21939775</v>
      </c>
      <c r="O13" s="87">
        <f>VLOOKUP($A13,'Data shares'!$C:$FA,81)</f>
        <v>1.23E-2</v>
      </c>
    </row>
    <row r="14" spans="1:15" x14ac:dyDescent="0.25">
      <c r="A14" s="100" t="str">
        <f>'OI(Value)'!A14</f>
        <v>ALKEM</v>
      </c>
      <c r="B14" s="82">
        <f>VLOOKUP(A14,'Data shares'!$C$2:$CV$216,98,0)</f>
        <v>2018250</v>
      </c>
      <c r="C14" s="82">
        <f>VLOOKUP(A14,'Data shares'!$C$2:$CX$216,100,0)</f>
        <v>18000</v>
      </c>
      <c r="D14" s="141">
        <f>VLOOKUP(A14,'Data shares'!$C$2:$CY$539,101,0)</f>
        <v>8.9999999999999993E-3</v>
      </c>
      <c r="E14" s="86">
        <f>VLOOKUP($A14,'Data shares'!$C:$FA,74)</f>
        <v>1581750</v>
      </c>
      <c r="F14" s="86">
        <f>VLOOKUP($A14,'Data shares'!$C:$FA,76)</f>
        <v>10500</v>
      </c>
      <c r="G14" s="87">
        <f>VLOOKUP(A14,'Data shares'!$C$2:$CA$216,77,0)</f>
        <v>6.7000000000000002E-3</v>
      </c>
      <c r="H14" s="86">
        <f>VLOOKUP($A14,'Data shares'!$C:$FA,90)</f>
        <v>266000</v>
      </c>
      <c r="I14" s="86">
        <f>VLOOKUP($A14,'Data shares'!$C:$FA,92)</f>
        <v>3875</v>
      </c>
      <c r="J14" s="87">
        <f>VLOOKUP($A14,'Data shares'!$C:$FA,93)</f>
        <v>1.4800000000000001E-2</v>
      </c>
      <c r="K14" s="86">
        <f>VLOOKUP($A14,'Data shares'!$C:$FA,94)</f>
        <v>170500</v>
      </c>
      <c r="L14" s="86">
        <f>VLOOKUP($A14,'Data shares'!$C:$FA,96)</f>
        <v>3625</v>
      </c>
      <c r="M14" s="87">
        <f>VLOOKUP($A14,'Data shares'!$C:$FA,97)</f>
        <v>2.1700000000000001E-2</v>
      </c>
      <c r="N14" s="86">
        <f>VLOOKUP($A14,'Data shares'!$C:$FA,78)</f>
        <v>1564125</v>
      </c>
      <c r="O14" s="87">
        <f>VLOOKUP($A14,'Data shares'!$C:$FA,81)</f>
        <v>5.8999999999999999E-3</v>
      </c>
    </row>
    <row r="15" spans="1:15" x14ac:dyDescent="0.25">
      <c r="A15" s="100" t="str">
        <f>'OI(Value)'!A15</f>
        <v>AMBER</v>
      </c>
      <c r="B15" s="82">
        <f>VLOOKUP(A15,'Data shares'!$C$2:$CV$216,98,0)</f>
        <v>1848300</v>
      </c>
      <c r="C15" s="82">
        <f>VLOOKUP(A15,'Data shares'!$C$2:$CX$216,100,0)</f>
        <v>133700</v>
      </c>
      <c r="D15" s="141">
        <f>VLOOKUP(A15,'Data shares'!$C$2:$CY$539,101,0)</f>
        <v>7.8E-2</v>
      </c>
      <c r="E15" s="86">
        <f>VLOOKUP($A15,'Data shares'!$C:$FA,74)</f>
        <v>801300</v>
      </c>
      <c r="F15" s="86">
        <f>VLOOKUP($A15,'Data shares'!$C:$FA,76)</f>
        <v>92700</v>
      </c>
      <c r="G15" s="87">
        <f>VLOOKUP(A15,'Data shares'!$C$2:$CA$216,77,0)</f>
        <v>0.1308</v>
      </c>
      <c r="H15" s="86">
        <f>VLOOKUP($A15,'Data shares'!$C:$FA,90)</f>
        <v>691900</v>
      </c>
      <c r="I15" s="86">
        <f>VLOOKUP($A15,'Data shares'!$C:$FA,92)</f>
        <v>24200</v>
      </c>
      <c r="J15" s="87">
        <f>VLOOKUP($A15,'Data shares'!$C:$FA,93)</f>
        <v>3.6200000000000003E-2</v>
      </c>
      <c r="K15" s="86">
        <f>VLOOKUP($A15,'Data shares'!$C:$FA,94)</f>
        <v>355100</v>
      </c>
      <c r="L15" s="86">
        <f>VLOOKUP($A15,'Data shares'!$C:$FA,96)</f>
        <v>16800</v>
      </c>
      <c r="M15" s="87">
        <f>VLOOKUP($A15,'Data shares'!$C:$FA,97)</f>
        <v>4.9700000000000001E-2</v>
      </c>
      <c r="N15" s="86">
        <f>VLOOKUP($A15,'Data shares'!$C:$FA,78)</f>
        <v>653800</v>
      </c>
      <c r="O15" s="87">
        <f>VLOOKUP($A15,'Data shares'!$C:$FA,81)</f>
        <v>6.93E-2</v>
      </c>
    </row>
    <row r="16" spans="1:15" x14ac:dyDescent="0.25">
      <c r="A16" s="100" t="str">
        <f>'OI(Value)'!A16</f>
        <v>AMBUJACEM</v>
      </c>
      <c r="B16" s="82">
        <f>VLOOKUP(A16,'Data shares'!$C$2:$CV$216,98,0)</f>
        <v>61345200</v>
      </c>
      <c r="C16" s="82">
        <f>VLOOKUP(A16,'Data shares'!$C$2:$CX$216,100,0)</f>
        <v>-379050</v>
      </c>
      <c r="D16" s="141">
        <f>VLOOKUP(A16,'Data shares'!$C$2:$CY$539,101,0)</f>
        <v>-6.1000000000000004E-3</v>
      </c>
      <c r="E16" s="86">
        <f>VLOOKUP($A16,'Data shares'!$C:$FA,74)</f>
        <v>40757850</v>
      </c>
      <c r="F16" s="86">
        <f>VLOOKUP($A16,'Data shares'!$C:$FA,76)</f>
        <v>-291900</v>
      </c>
      <c r="G16" s="87">
        <f>VLOOKUP(A16,'Data shares'!$C$2:$CA$216,77,0)</f>
        <v>-7.1000000000000004E-3</v>
      </c>
      <c r="H16" s="86">
        <f>VLOOKUP($A16,'Data shares'!$C:$FA,90)</f>
        <v>12698700</v>
      </c>
      <c r="I16" s="86">
        <f>VLOOKUP($A16,'Data shares'!$C:$FA,92)</f>
        <v>4200</v>
      </c>
      <c r="J16" s="87">
        <f>VLOOKUP($A16,'Data shares'!$C:$FA,93)</f>
        <v>2.9999999999999997E-4</v>
      </c>
      <c r="K16" s="86">
        <f>VLOOKUP($A16,'Data shares'!$C:$FA,94)</f>
        <v>7888650</v>
      </c>
      <c r="L16" s="86">
        <f>VLOOKUP($A16,'Data shares'!$C:$FA,96)</f>
        <v>-91350</v>
      </c>
      <c r="M16" s="87">
        <f>VLOOKUP($A16,'Data shares'!$C:$FA,97)</f>
        <v>-1.14E-2</v>
      </c>
      <c r="N16" s="86">
        <f>VLOOKUP($A16,'Data shares'!$C:$FA,78)</f>
        <v>39230100</v>
      </c>
      <c r="O16" s="87">
        <f>VLOOKUP($A16,'Data shares'!$C:$FA,81)</f>
        <v>-1.09E-2</v>
      </c>
    </row>
    <row r="17" spans="1:15" x14ac:dyDescent="0.25">
      <c r="A17" s="100" t="str">
        <f>'OI(Value)'!A17</f>
        <v>ANGELONE</v>
      </c>
      <c r="B17" s="82">
        <f>VLOOKUP(A17,'Data shares'!$C$2:$CV$216,98,0)</f>
        <v>8646250</v>
      </c>
      <c r="C17" s="82">
        <f>VLOOKUP(A17,'Data shares'!$C$2:$CX$216,100,0)</f>
        <v>-527000</v>
      </c>
      <c r="D17" s="141">
        <f>VLOOKUP(A17,'Data shares'!$C$2:$CY$539,101,0)</f>
        <v>-5.74E-2</v>
      </c>
      <c r="E17" s="86">
        <f>VLOOKUP($A17,'Data shares'!$C:$FA,74)</f>
        <v>3769000</v>
      </c>
      <c r="F17" s="86">
        <f>VLOOKUP($A17,'Data shares'!$C:$FA,76)</f>
        <v>-221000</v>
      </c>
      <c r="G17" s="87">
        <f>VLOOKUP(A17,'Data shares'!$C$2:$CA$216,77,0)</f>
        <v>-5.5399999999999998E-2</v>
      </c>
      <c r="H17" s="86">
        <f>VLOOKUP($A17,'Data shares'!$C:$FA,90)</f>
        <v>2676500</v>
      </c>
      <c r="I17" s="86">
        <f>VLOOKUP($A17,'Data shares'!$C:$FA,92)</f>
        <v>-144750</v>
      </c>
      <c r="J17" s="87">
        <f>VLOOKUP($A17,'Data shares'!$C:$FA,93)</f>
        <v>-5.1299999999999998E-2</v>
      </c>
      <c r="K17" s="86">
        <f>VLOOKUP($A17,'Data shares'!$C:$FA,94)</f>
        <v>2200750</v>
      </c>
      <c r="L17" s="86">
        <f>VLOOKUP($A17,'Data shares'!$C:$FA,96)</f>
        <v>-161250</v>
      </c>
      <c r="M17" s="87">
        <f>VLOOKUP($A17,'Data shares'!$C:$FA,97)</f>
        <v>-6.83E-2</v>
      </c>
      <c r="N17" s="86">
        <f>VLOOKUP($A17,'Data shares'!$C:$FA,78)</f>
        <v>3255750</v>
      </c>
      <c r="O17" s="87">
        <f>VLOOKUP($A17,'Data shares'!$C:$FA,81)</f>
        <v>-8.5800000000000001E-2</v>
      </c>
    </row>
    <row r="18" spans="1:15" x14ac:dyDescent="0.25">
      <c r="A18" s="100" t="str">
        <f>'OI(Value)'!A18</f>
        <v>APLAPOLLO</v>
      </c>
      <c r="B18" s="82">
        <f>VLOOKUP(A18,'Data shares'!$C$2:$CV$216,98,0)</f>
        <v>11492950</v>
      </c>
      <c r="C18" s="82">
        <f>VLOOKUP(A18,'Data shares'!$C$2:$CX$216,100,0)</f>
        <v>51450</v>
      </c>
      <c r="D18" s="141">
        <f>VLOOKUP(A18,'Data shares'!$C$2:$CY$539,101,0)</f>
        <v>4.4999999999999997E-3</v>
      </c>
      <c r="E18" s="86">
        <f>VLOOKUP($A18,'Data shares'!$C:$FA,74)</f>
        <v>9705850</v>
      </c>
      <c r="F18" s="86">
        <f>VLOOKUP($A18,'Data shares'!$C:$FA,76)</f>
        <v>43400</v>
      </c>
      <c r="G18" s="87">
        <f>VLOOKUP(A18,'Data shares'!$C$2:$CA$216,77,0)</f>
        <v>4.4999999999999997E-3</v>
      </c>
      <c r="H18" s="86">
        <f>VLOOKUP($A18,'Data shares'!$C:$FA,90)</f>
        <v>1187900</v>
      </c>
      <c r="I18" s="86">
        <f>VLOOKUP($A18,'Data shares'!$C:$FA,92)</f>
        <v>19600</v>
      </c>
      <c r="J18" s="87">
        <f>VLOOKUP($A18,'Data shares'!$C:$FA,93)</f>
        <v>1.6799999999999999E-2</v>
      </c>
      <c r="K18" s="86">
        <f>VLOOKUP($A18,'Data shares'!$C:$FA,94)</f>
        <v>599200</v>
      </c>
      <c r="L18" s="86">
        <f>VLOOKUP($A18,'Data shares'!$C:$FA,96)</f>
        <v>-11550</v>
      </c>
      <c r="M18" s="87">
        <f>VLOOKUP($A18,'Data shares'!$C:$FA,97)</f>
        <v>-1.89E-2</v>
      </c>
      <c r="N18" s="86">
        <f>VLOOKUP($A18,'Data shares'!$C:$FA,78)</f>
        <v>9598750</v>
      </c>
      <c r="O18" s="87">
        <f>VLOOKUP($A18,'Data shares'!$C:$FA,81)</f>
        <v>3.3E-3</v>
      </c>
    </row>
    <row r="19" spans="1:15" x14ac:dyDescent="0.25">
      <c r="A19" s="100" t="str">
        <f>'OI(Value)'!A19</f>
        <v>APOLLOHOSP</v>
      </c>
      <c r="B19" s="82">
        <f>VLOOKUP(A19,'Data shares'!$C$2:$CV$216,98,0)</f>
        <v>3932250</v>
      </c>
      <c r="C19" s="82">
        <f>VLOOKUP(A19,'Data shares'!$C$2:$CX$216,100,0)</f>
        <v>-32125</v>
      </c>
      <c r="D19" s="141">
        <f>VLOOKUP(A19,'Data shares'!$C$2:$CY$539,101,0)</f>
        <v>-8.0999999999999996E-3</v>
      </c>
      <c r="E19" s="86">
        <f>VLOOKUP($A19,'Data shares'!$C:$FA,74)</f>
        <v>2804375</v>
      </c>
      <c r="F19" s="86">
        <f>VLOOKUP($A19,'Data shares'!$C:$FA,76)</f>
        <v>3000</v>
      </c>
      <c r="G19" s="87">
        <f>VLOOKUP(A19,'Data shares'!$C$2:$CA$216,77,0)</f>
        <v>1.1000000000000001E-3</v>
      </c>
      <c r="H19" s="86">
        <f>VLOOKUP($A19,'Data shares'!$C:$FA,90)</f>
        <v>603000</v>
      </c>
      <c r="I19" s="86">
        <f>VLOOKUP($A19,'Data shares'!$C:$FA,92)</f>
        <v>-39750</v>
      </c>
      <c r="J19" s="87">
        <f>VLOOKUP($A19,'Data shares'!$C:$FA,93)</f>
        <v>-6.1800000000000001E-2</v>
      </c>
      <c r="K19" s="86">
        <f>VLOOKUP($A19,'Data shares'!$C:$FA,94)</f>
        <v>524875</v>
      </c>
      <c r="L19" s="86">
        <f>VLOOKUP($A19,'Data shares'!$C:$FA,96)</f>
        <v>4625</v>
      </c>
      <c r="M19" s="87">
        <f>VLOOKUP($A19,'Data shares'!$C:$FA,97)</f>
        <v>8.8999999999999999E-3</v>
      </c>
      <c r="N19" s="86">
        <f>VLOOKUP($A19,'Data shares'!$C:$FA,78)</f>
        <v>2743375</v>
      </c>
      <c r="O19" s="87">
        <f>VLOOKUP($A19,'Data shares'!$C:$FA,81)</f>
        <v>-1E-3</v>
      </c>
    </row>
    <row r="20" spans="1:15" x14ac:dyDescent="0.25">
      <c r="A20" s="100" t="str">
        <f>'OI(Value)'!A20</f>
        <v>ASHOKLEY</v>
      </c>
      <c r="B20" s="82">
        <f>VLOOKUP(A20,'Data shares'!$C$2:$CV$216,98,0)</f>
        <v>274040000</v>
      </c>
      <c r="C20" s="82">
        <f>VLOOKUP(A20,'Data shares'!$C$2:$CX$216,100,0)</f>
        <v>7165000</v>
      </c>
      <c r="D20" s="141">
        <f>VLOOKUP(A20,'Data shares'!$C$2:$CY$539,101,0)</f>
        <v>2.6800000000000001E-2</v>
      </c>
      <c r="E20" s="86">
        <f>VLOOKUP($A20,'Data shares'!$C:$FA,74)</f>
        <v>148750000</v>
      </c>
      <c r="F20" s="86">
        <f>VLOOKUP($A20,'Data shares'!$C:$FA,76)</f>
        <v>7430000</v>
      </c>
      <c r="G20" s="87">
        <f>VLOOKUP(A20,'Data shares'!$C$2:$CA$216,77,0)</f>
        <v>5.2600000000000001E-2</v>
      </c>
      <c r="H20" s="86">
        <f>VLOOKUP($A20,'Data shares'!$C:$FA,90)</f>
        <v>88350000</v>
      </c>
      <c r="I20" s="86">
        <f>VLOOKUP($A20,'Data shares'!$C:$FA,92)</f>
        <v>-515000</v>
      </c>
      <c r="J20" s="87">
        <f>VLOOKUP($A20,'Data shares'!$C:$FA,93)</f>
        <v>-5.7999999999999996E-3</v>
      </c>
      <c r="K20" s="86">
        <f>VLOOKUP($A20,'Data shares'!$C:$FA,94)</f>
        <v>36940000</v>
      </c>
      <c r="L20" s="86">
        <f>VLOOKUP($A20,'Data shares'!$C:$FA,96)</f>
        <v>250000</v>
      </c>
      <c r="M20" s="87">
        <f>VLOOKUP($A20,'Data shares'!$C:$FA,97)</f>
        <v>6.7999999999999996E-3</v>
      </c>
      <c r="N20" s="86">
        <f>VLOOKUP($A20,'Data shares'!$C:$FA,78)</f>
        <v>135335000</v>
      </c>
      <c r="O20" s="87">
        <f>VLOOKUP($A20,'Data shares'!$C:$FA,81)</f>
        <v>2.92E-2</v>
      </c>
    </row>
    <row r="21" spans="1:15" x14ac:dyDescent="0.25">
      <c r="A21" s="100" t="str">
        <f>'OI(Value)'!A21</f>
        <v>ASIANPAINT</v>
      </c>
      <c r="B21" s="82">
        <f>VLOOKUP(A21,'Data shares'!$C$2:$CV$216,98,0)</f>
        <v>22999500</v>
      </c>
      <c r="C21" s="82">
        <f>VLOOKUP(A21,'Data shares'!$C$2:$CX$216,100,0)</f>
        <v>-87250</v>
      </c>
      <c r="D21" s="141">
        <f>VLOOKUP(A21,'Data shares'!$C$2:$CY$539,101,0)</f>
        <v>-3.8E-3</v>
      </c>
      <c r="E21" s="86">
        <f>VLOOKUP($A21,'Data shares'!$C:$FA,74)</f>
        <v>13501250</v>
      </c>
      <c r="F21" s="86">
        <f>VLOOKUP($A21,'Data shares'!$C:$FA,76)</f>
        <v>-60000</v>
      </c>
      <c r="G21" s="87">
        <f>VLOOKUP(A21,'Data shares'!$C$2:$CA$216,77,0)</f>
        <v>-4.4000000000000003E-3</v>
      </c>
      <c r="H21" s="86">
        <f>VLOOKUP($A21,'Data shares'!$C:$FA,90)</f>
        <v>5833000</v>
      </c>
      <c r="I21" s="86">
        <f>VLOOKUP($A21,'Data shares'!$C:$FA,92)</f>
        <v>41750</v>
      </c>
      <c r="J21" s="87">
        <f>VLOOKUP($A21,'Data shares'!$C:$FA,93)</f>
        <v>7.1999999999999998E-3</v>
      </c>
      <c r="K21" s="86">
        <f>VLOOKUP($A21,'Data shares'!$C:$FA,94)</f>
        <v>3665250</v>
      </c>
      <c r="L21" s="86">
        <f>VLOOKUP($A21,'Data shares'!$C:$FA,96)</f>
        <v>-69000</v>
      </c>
      <c r="M21" s="87">
        <f>VLOOKUP($A21,'Data shares'!$C:$FA,97)</f>
        <v>-1.8499999999999999E-2</v>
      </c>
      <c r="N21" s="86">
        <f>VLOOKUP($A21,'Data shares'!$C:$FA,78)</f>
        <v>12585000</v>
      </c>
      <c r="O21" s="87">
        <f>VLOOKUP($A21,'Data shares'!$C:$FA,81)</f>
        <v>-8.8000000000000005E-3</v>
      </c>
    </row>
    <row r="22" spans="1:15" x14ac:dyDescent="0.25">
      <c r="A22" s="100" t="str">
        <f>'OI(Value)'!A22</f>
        <v>ASTRAL</v>
      </c>
      <c r="B22" s="82">
        <f>VLOOKUP(A22,'Data shares'!$C$2:$CV$216,98,0)</f>
        <v>13796775</v>
      </c>
      <c r="C22" s="82">
        <f>VLOOKUP(A22,'Data shares'!$C$2:$CX$216,100,0)</f>
        <v>-23375</v>
      </c>
      <c r="D22" s="141">
        <f>VLOOKUP(A22,'Data shares'!$C$2:$CY$539,101,0)</f>
        <v>-1.6999999999999999E-3</v>
      </c>
      <c r="E22" s="86">
        <f>VLOOKUP($A22,'Data shares'!$C:$FA,74)</f>
        <v>9120925</v>
      </c>
      <c r="F22" s="86">
        <f>VLOOKUP($A22,'Data shares'!$C:$FA,76)</f>
        <v>-43350</v>
      </c>
      <c r="G22" s="87">
        <f>VLOOKUP(A22,'Data shares'!$C$2:$CA$216,77,0)</f>
        <v>-4.7000000000000002E-3</v>
      </c>
      <c r="H22" s="86">
        <f>VLOOKUP($A22,'Data shares'!$C:$FA,90)</f>
        <v>3167950</v>
      </c>
      <c r="I22" s="86">
        <f>VLOOKUP($A22,'Data shares'!$C:$FA,92)</f>
        <v>-10625</v>
      </c>
      <c r="J22" s="87">
        <f>VLOOKUP($A22,'Data shares'!$C:$FA,93)</f>
        <v>-3.3E-3</v>
      </c>
      <c r="K22" s="86">
        <f>VLOOKUP($A22,'Data shares'!$C:$FA,94)</f>
        <v>1507900</v>
      </c>
      <c r="L22" s="86">
        <f>VLOOKUP($A22,'Data shares'!$C:$FA,96)</f>
        <v>30600</v>
      </c>
      <c r="M22" s="87">
        <f>VLOOKUP($A22,'Data shares'!$C:$FA,97)</f>
        <v>2.07E-2</v>
      </c>
      <c r="N22" s="86">
        <f>VLOOKUP($A22,'Data shares'!$C:$FA,78)</f>
        <v>8714200</v>
      </c>
      <c r="O22" s="87">
        <f>VLOOKUP($A22,'Data shares'!$C:$FA,81)</f>
        <v>-8.9999999999999993E-3</v>
      </c>
    </row>
    <row r="23" spans="1:15" x14ac:dyDescent="0.25">
      <c r="A23" s="100" t="str">
        <f>'OI(Value)'!A23</f>
        <v>AUBANK</v>
      </c>
      <c r="B23" s="82">
        <f>VLOOKUP(A23,'Data shares'!$C$2:$CV$216,98,0)</f>
        <v>34366000</v>
      </c>
      <c r="C23" s="82">
        <f>VLOOKUP(A23,'Data shares'!$C$2:$CX$216,100,0)</f>
        <v>365000</v>
      </c>
      <c r="D23" s="141">
        <f>VLOOKUP(A23,'Data shares'!$C$2:$CY$539,101,0)</f>
        <v>1.0699999999999999E-2</v>
      </c>
      <c r="E23" s="86">
        <f>VLOOKUP($A23,'Data shares'!$C:$FA,74)</f>
        <v>21423000</v>
      </c>
      <c r="F23" s="86">
        <f>VLOOKUP($A23,'Data shares'!$C:$FA,76)</f>
        <v>-139000</v>
      </c>
      <c r="G23" s="87">
        <f>VLOOKUP(A23,'Data shares'!$C$2:$CA$216,77,0)</f>
        <v>-6.4000000000000003E-3</v>
      </c>
      <c r="H23" s="86">
        <f>VLOOKUP($A23,'Data shares'!$C:$FA,90)</f>
        <v>6634000</v>
      </c>
      <c r="I23" s="86">
        <f>VLOOKUP($A23,'Data shares'!$C:$FA,92)</f>
        <v>555000</v>
      </c>
      <c r="J23" s="87">
        <f>VLOOKUP($A23,'Data shares'!$C:$FA,93)</f>
        <v>9.1300000000000006E-2</v>
      </c>
      <c r="K23" s="86">
        <f>VLOOKUP($A23,'Data shares'!$C:$FA,94)</f>
        <v>6309000</v>
      </c>
      <c r="L23" s="86">
        <f>VLOOKUP($A23,'Data shares'!$C:$FA,96)</f>
        <v>-51000</v>
      </c>
      <c r="M23" s="87">
        <f>VLOOKUP($A23,'Data shares'!$C:$FA,97)</f>
        <v>-8.0000000000000002E-3</v>
      </c>
      <c r="N23" s="86">
        <f>VLOOKUP($A23,'Data shares'!$C:$FA,78)</f>
        <v>20700000</v>
      </c>
      <c r="O23" s="87">
        <f>VLOOKUP($A23,'Data shares'!$C:$FA,81)</f>
        <v>-1.7000000000000001E-2</v>
      </c>
    </row>
    <row r="24" spans="1:15" x14ac:dyDescent="0.25">
      <c r="A24" s="100" t="str">
        <f>'OI(Value)'!A24</f>
        <v>AUROPHARMA</v>
      </c>
      <c r="B24" s="82">
        <f>VLOOKUP(A24,'Data shares'!$C$2:$CV$216,98,0)</f>
        <v>30760950</v>
      </c>
      <c r="C24" s="82">
        <f>VLOOKUP(A24,'Data shares'!$C$2:$CX$216,100,0)</f>
        <v>486200</v>
      </c>
      <c r="D24" s="141">
        <f>VLOOKUP(A24,'Data shares'!$C$2:$CY$539,101,0)</f>
        <v>1.61E-2</v>
      </c>
      <c r="E24" s="86">
        <f>VLOOKUP($A24,'Data shares'!$C:$FA,74)</f>
        <v>23064250</v>
      </c>
      <c r="F24" s="86">
        <f>VLOOKUP($A24,'Data shares'!$C:$FA,76)</f>
        <v>331100</v>
      </c>
      <c r="G24" s="87">
        <f>VLOOKUP(A24,'Data shares'!$C$2:$CA$216,77,0)</f>
        <v>1.46E-2</v>
      </c>
      <c r="H24" s="86">
        <f>VLOOKUP($A24,'Data shares'!$C:$FA,90)</f>
        <v>4691500</v>
      </c>
      <c r="I24" s="86">
        <f>VLOOKUP($A24,'Data shares'!$C:$FA,92)</f>
        <v>84700</v>
      </c>
      <c r="J24" s="87">
        <f>VLOOKUP($A24,'Data shares'!$C:$FA,93)</f>
        <v>1.84E-2</v>
      </c>
      <c r="K24" s="86">
        <f>VLOOKUP($A24,'Data shares'!$C:$FA,94)</f>
        <v>3005200</v>
      </c>
      <c r="L24" s="86">
        <f>VLOOKUP($A24,'Data shares'!$C:$FA,96)</f>
        <v>70400</v>
      </c>
      <c r="M24" s="87">
        <f>VLOOKUP($A24,'Data shares'!$C:$FA,97)</f>
        <v>2.4E-2</v>
      </c>
      <c r="N24" s="86">
        <f>VLOOKUP($A24,'Data shares'!$C:$FA,78)</f>
        <v>22243650</v>
      </c>
      <c r="O24" s="87">
        <f>VLOOKUP($A24,'Data shares'!$C:$FA,81)</f>
        <v>6.6E-3</v>
      </c>
    </row>
    <row r="25" spans="1:15" x14ac:dyDescent="0.25">
      <c r="A25" s="100" t="str">
        <f>'OI(Value)'!A25</f>
        <v>AXISBANK</v>
      </c>
      <c r="B25" s="82">
        <f>VLOOKUP(A25,'Data shares'!$C$2:$CV$216,98,0)</f>
        <v>128194375</v>
      </c>
      <c r="C25" s="82">
        <f>VLOOKUP(A25,'Data shares'!$C$2:$CX$216,100,0)</f>
        <v>-2915000</v>
      </c>
      <c r="D25" s="141">
        <f>VLOOKUP(A25,'Data shares'!$C$2:$CY$539,101,0)</f>
        <v>-2.2200000000000001E-2</v>
      </c>
      <c r="E25" s="86">
        <f>VLOOKUP($A25,'Data shares'!$C:$FA,74)</f>
        <v>76499375</v>
      </c>
      <c r="F25" s="86">
        <f>VLOOKUP($A25,'Data shares'!$C:$FA,76)</f>
        <v>-2863125</v>
      </c>
      <c r="G25" s="87">
        <f>VLOOKUP(A25,'Data shares'!$C$2:$CA$216,77,0)</f>
        <v>-3.61E-2</v>
      </c>
      <c r="H25" s="86">
        <f>VLOOKUP($A25,'Data shares'!$C:$FA,90)</f>
        <v>32700000</v>
      </c>
      <c r="I25" s="86">
        <f>VLOOKUP($A25,'Data shares'!$C:$FA,92)</f>
        <v>583750</v>
      </c>
      <c r="J25" s="87">
        <f>VLOOKUP($A25,'Data shares'!$C:$FA,93)</f>
        <v>1.8200000000000001E-2</v>
      </c>
      <c r="K25" s="86">
        <f>VLOOKUP($A25,'Data shares'!$C:$FA,94)</f>
        <v>18995000</v>
      </c>
      <c r="L25" s="86">
        <f>VLOOKUP($A25,'Data shares'!$C:$FA,96)</f>
        <v>-635625</v>
      </c>
      <c r="M25" s="87">
        <f>VLOOKUP($A25,'Data shares'!$C:$FA,97)</f>
        <v>-3.2399999999999998E-2</v>
      </c>
      <c r="N25" s="86">
        <f>VLOOKUP($A25,'Data shares'!$C:$FA,78)</f>
        <v>73357500</v>
      </c>
      <c r="O25" s="87">
        <f>VLOOKUP($A25,'Data shares'!$C:$FA,81)</f>
        <v>-4.5400000000000003E-2</v>
      </c>
    </row>
    <row r="26" spans="1:15" x14ac:dyDescent="0.25">
      <c r="A26" s="100" t="str">
        <f>'OI(Value)'!A26</f>
        <v>BAJAJ-AUTO</v>
      </c>
      <c r="B26" s="82">
        <f>VLOOKUP(A26,'Data shares'!$C$2:$CV$216,98,0)</f>
        <v>5688000</v>
      </c>
      <c r="C26" s="82">
        <f>VLOOKUP(A26,'Data shares'!$C$2:$CX$216,100,0)</f>
        <v>-257625</v>
      </c>
      <c r="D26" s="141">
        <f>VLOOKUP(A26,'Data shares'!$C$2:$CY$539,101,0)</f>
        <v>-4.3299999999999998E-2</v>
      </c>
      <c r="E26" s="86">
        <f>VLOOKUP($A26,'Data shares'!$C:$FA,74)</f>
        <v>3056325</v>
      </c>
      <c r="F26" s="86">
        <f>VLOOKUP($A26,'Data shares'!$C:$FA,76)</f>
        <v>-6825</v>
      </c>
      <c r="G26" s="87">
        <f>VLOOKUP(A26,'Data shares'!$C$2:$CA$216,77,0)</f>
        <v>-2.2000000000000001E-3</v>
      </c>
      <c r="H26" s="86">
        <f>VLOOKUP($A26,'Data shares'!$C:$FA,90)</f>
        <v>1574475</v>
      </c>
      <c r="I26" s="86">
        <f>VLOOKUP($A26,'Data shares'!$C:$FA,92)</f>
        <v>-217725</v>
      </c>
      <c r="J26" s="87">
        <f>VLOOKUP($A26,'Data shares'!$C:$FA,93)</f>
        <v>-0.1215</v>
      </c>
      <c r="K26" s="86">
        <f>VLOOKUP($A26,'Data shares'!$C:$FA,94)</f>
        <v>1057200</v>
      </c>
      <c r="L26" s="86">
        <f>VLOOKUP($A26,'Data shares'!$C:$FA,96)</f>
        <v>-33075</v>
      </c>
      <c r="M26" s="87">
        <f>VLOOKUP($A26,'Data shares'!$C:$FA,97)</f>
        <v>-3.0300000000000001E-2</v>
      </c>
      <c r="N26" s="86">
        <f>VLOOKUP($A26,'Data shares'!$C:$FA,78)</f>
        <v>2882325</v>
      </c>
      <c r="O26" s="87">
        <f>VLOOKUP($A26,'Data shares'!$C:$FA,81)</f>
        <v>-8.3000000000000001E-3</v>
      </c>
    </row>
    <row r="27" spans="1:15" x14ac:dyDescent="0.25">
      <c r="A27" s="100" t="str">
        <f>'OI(Value)'!A27</f>
        <v>BAJAJFINSV</v>
      </c>
      <c r="B27" s="82">
        <f>VLOOKUP(A27,'Data shares'!$C$2:$CV$216,98,0)</f>
        <v>29045000</v>
      </c>
      <c r="C27" s="82">
        <f>VLOOKUP(A27,'Data shares'!$C$2:$CX$216,100,0)</f>
        <v>885500</v>
      </c>
      <c r="D27" s="141">
        <f>VLOOKUP(A27,'Data shares'!$C$2:$CY$539,101,0)</f>
        <v>3.1399999999999997E-2</v>
      </c>
      <c r="E27" s="86">
        <f>VLOOKUP($A27,'Data shares'!$C:$FA,74)</f>
        <v>18635500</v>
      </c>
      <c r="F27" s="86">
        <f>VLOOKUP($A27,'Data shares'!$C:$FA,76)</f>
        <v>436000</v>
      </c>
      <c r="G27" s="87">
        <f>VLOOKUP(A27,'Data shares'!$C$2:$CA$216,77,0)</f>
        <v>2.4E-2</v>
      </c>
      <c r="H27" s="86">
        <f>VLOOKUP($A27,'Data shares'!$C:$FA,90)</f>
        <v>5899000</v>
      </c>
      <c r="I27" s="86">
        <f>VLOOKUP($A27,'Data shares'!$C:$FA,92)</f>
        <v>102000</v>
      </c>
      <c r="J27" s="87">
        <f>VLOOKUP($A27,'Data shares'!$C:$FA,93)</f>
        <v>1.7600000000000001E-2</v>
      </c>
      <c r="K27" s="86">
        <f>VLOOKUP($A27,'Data shares'!$C:$FA,94)</f>
        <v>4510500</v>
      </c>
      <c r="L27" s="86">
        <f>VLOOKUP($A27,'Data shares'!$C:$FA,96)</f>
        <v>347500</v>
      </c>
      <c r="M27" s="87">
        <f>VLOOKUP($A27,'Data shares'!$C:$FA,97)</f>
        <v>8.3500000000000005E-2</v>
      </c>
      <c r="N27" s="86">
        <f>VLOOKUP($A27,'Data shares'!$C:$FA,78)</f>
        <v>18092000</v>
      </c>
      <c r="O27" s="87">
        <f>VLOOKUP($A27,'Data shares'!$C:$FA,81)</f>
        <v>1.67E-2</v>
      </c>
    </row>
    <row r="28" spans="1:15" x14ac:dyDescent="0.25">
      <c r="A28" s="100" t="str">
        <f>'OI(Value)'!A28</f>
        <v>BAJFINANCE</v>
      </c>
      <c r="B28" s="82">
        <f>VLOOKUP(A28,'Data shares'!$C$2:$CV$216,98,0)</f>
        <v>126126750</v>
      </c>
      <c r="C28" s="82">
        <f>VLOOKUP(A28,'Data shares'!$C$2:$CX$216,100,0)</f>
        <v>2584500</v>
      </c>
      <c r="D28" s="141">
        <f>VLOOKUP(A28,'Data shares'!$C$2:$CY$539,101,0)</f>
        <v>2.0899999999999998E-2</v>
      </c>
      <c r="E28" s="86">
        <f>VLOOKUP($A28,'Data shares'!$C:$FA,74)</f>
        <v>90078750</v>
      </c>
      <c r="F28" s="86">
        <f>VLOOKUP($A28,'Data shares'!$C:$FA,76)</f>
        <v>254250</v>
      </c>
      <c r="G28" s="87">
        <f>VLOOKUP(A28,'Data shares'!$C$2:$CA$216,77,0)</f>
        <v>2.8E-3</v>
      </c>
      <c r="H28" s="86">
        <f>VLOOKUP($A28,'Data shares'!$C:$FA,90)</f>
        <v>19024500</v>
      </c>
      <c r="I28" s="86">
        <f>VLOOKUP($A28,'Data shares'!$C:$FA,92)</f>
        <v>897750</v>
      </c>
      <c r="J28" s="87">
        <f>VLOOKUP($A28,'Data shares'!$C:$FA,93)</f>
        <v>4.9500000000000002E-2</v>
      </c>
      <c r="K28" s="86">
        <f>VLOOKUP($A28,'Data shares'!$C:$FA,94)</f>
        <v>17023500</v>
      </c>
      <c r="L28" s="86">
        <f>VLOOKUP($A28,'Data shares'!$C:$FA,96)</f>
        <v>1432500</v>
      </c>
      <c r="M28" s="87">
        <f>VLOOKUP($A28,'Data shares'!$C:$FA,97)</f>
        <v>9.1899999999999996E-2</v>
      </c>
      <c r="N28" s="86">
        <f>VLOOKUP($A28,'Data shares'!$C:$FA,78)</f>
        <v>87235500</v>
      </c>
      <c r="O28" s="87">
        <f>VLOOKUP($A28,'Data shares'!$C:$FA,81)</f>
        <v>-1.9E-3</v>
      </c>
    </row>
    <row r="29" spans="1:15" x14ac:dyDescent="0.25">
      <c r="A29" s="100" t="str">
        <f>'OI(Value)'!A29</f>
        <v>BANDHANBNK</v>
      </c>
      <c r="B29" s="82">
        <f>VLOOKUP(A29,'Data shares'!$C$2:$CV$216,98,0)</f>
        <v>190418400</v>
      </c>
      <c r="C29" s="82">
        <f>VLOOKUP(A29,'Data shares'!$C$2:$CX$216,100,0)</f>
        <v>9352800</v>
      </c>
      <c r="D29" s="141">
        <f>VLOOKUP(A29,'Data shares'!$C$2:$CY$539,101,0)</f>
        <v>5.1700000000000003E-2</v>
      </c>
      <c r="E29" s="86">
        <f>VLOOKUP($A29,'Data shares'!$C:$FA,74)</f>
        <v>108172800</v>
      </c>
      <c r="F29" s="86">
        <f>VLOOKUP($A29,'Data shares'!$C:$FA,76)</f>
        <v>2919600</v>
      </c>
      <c r="G29" s="87">
        <f>VLOOKUP(A29,'Data shares'!$C$2:$CA$216,77,0)</f>
        <v>2.7699999999999999E-2</v>
      </c>
      <c r="H29" s="86">
        <f>VLOOKUP($A29,'Data shares'!$C:$FA,90)</f>
        <v>48153600</v>
      </c>
      <c r="I29" s="86">
        <f>VLOOKUP($A29,'Data shares'!$C:$FA,92)</f>
        <v>5288400</v>
      </c>
      <c r="J29" s="87">
        <f>VLOOKUP($A29,'Data shares'!$C:$FA,93)</f>
        <v>0.1234</v>
      </c>
      <c r="K29" s="86">
        <f>VLOOKUP($A29,'Data shares'!$C:$FA,94)</f>
        <v>34092000</v>
      </c>
      <c r="L29" s="86">
        <f>VLOOKUP($A29,'Data shares'!$C:$FA,96)</f>
        <v>1144800</v>
      </c>
      <c r="M29" s="87">
        <f>VLOOKUP($A29,'Data shares'!$C:$FA,97)</f>
        <v>3.4700000000000002E-2</v>
      </c>
      <c r="N29" s="86">
        <f>VLOOKUP($A29,'Data shares'!$C:$FA,78)</f>
        <v>88308000</v>
      </c>
      <c r="O29" s="87">
        <f>VLOOKUP($A29,'Data shares'!$C:$FA,81)</f>
        <v>1.9E-3</v>
      </c>
    </row>
    <row r="30" spans="1:15" x14ac:dyDescent="0.25">
      <c r="A30" s="100" t="str">
        <f>'OI(Value)'!A30</f>
        <v>BANKBARODA</v>
      </c>
      <c r="B30" s="82">
        <f>VLOOKUP(A30,'Data shares'!$C$2:$CV$216,98,0)</f>
        <v>203618025</v>
      </c>
      <c r="C30" s="82">
        <f>VLOOKUP(A30,'Data shares'!$C$2:$CX$216,100,0)</f>
        <v>2342925</v>
      </c>
      <c r="D30" s="141">
        <f>VLOOKUP(A30,'Data shares'!$C$2:$CY$539,101,0)</f>
        <v>1.1599999999999999E-2</v>
      </c>
      <c r="E30" s="86">
        <f>VLOOKUP($A30,'Data shares'!$C:$FA,74)</f>
        <v>124017075</v>
      </c>
      <c r="F30" s="86">
        <f>VLOOKUP($A30,'Data shares'!$C:$FA,76)</f>
        <v>663975</v>
      </c>
      <c r="G30" s="87">
        <f>VLOOKUP(A30,'Data shares'!$C$2:$CA$216,77,0)</f>
        <v>5.4000000000000003E-3</v>
      </c>
      <c r="H30" s="86">
        <f>VLOOKUP($A30,'Data shares'!$C:$FA,90)</f>
        <v>47385000</v>
      </c>
      <c r="I30" s="86">
        <f>VLOOKUP($A30,'Data shares'!$C:$FA,92)</f>
        <v>2167425</v>
      </c>
      <c r="J30" s="87">
        <f>VLOOKUP($A30,'Data shares'!$C:$FA,93)</f>
        <v>4.7899999999999998E-2</v>
      </c>
      <c r="K30" s="86">
        <f>VLOOKUP($A30,'Data shares'!$C:$FA,94)</f>
        <v>32215950</v>
      </c>
      <c r="L30" s="86">
        <f>VLOOKUP($A30,'Data shares'!$C:$FA,96)</f>
        <v>-488475</v>
      </c>
      <c r="M30" s="87">
        <f>VLOOKUP($A30,'Data shares'!$C:$FA,97)</f>
        <v>-1.49E-2</v>
      </c>
      <c r="N30" s="86">
        <f>VLOOKUP($A30,'Data shares'!$C:$FA,78)</f>
        <v>118155375</v>
      </c>
      <c r="O30" s="87">
        <f>VLOOKUP($A30,'Data shares'!$C:$FA,81)</f>
        <v>-1.2999999999999999E-3</v>
      </c>
    </row>
    <row r="31" spans="1:15" x14ac:dyDescent="0.25">
      <c r="A31" s="100" t="str">
        <f>'OI(Value)'!A31</f>
        <v>BANKINDIA</v>
      </c>
      <c r="B31" s="82">
        <f>VLOOKUP(A31,'Data shares'!$C$2:$CV$216,98,0)</f>
        <v>119340000</v>
      </c>
      <c r="C31" s="82">
        <f>VLOOKUP(A31,'Data shares'!$C$2:$CX$216,100,0)</f>
        <v>592800</v>
      </c>
      <c r="D31" s="141">
        <f>VLOOKUP(A31,'Data shares'!$C$2:$CY$539,101,0)</f>
        <v>5.0000000000000001E-3</v>
      </c>
      <c r="E31" s="86">
        <f>VLOOKUP($A31,'Data shares'!$C:$FA,74)</f>
        <v>70397600</v>
      </c>
      <c r="F31" s="86">
        <f>VLOOKUP($A31,'Data shares'!$C:$FA,76)</f>
        <v>166400</v>
      </c>
      <c r="G31" s="87">
        <f>VLOOKUP(A31,'Data shares'!$C$2:$CA$216,77,0)</f>
        <v>2.3999999999999998E-3</v>
      </c>
      <c r="H31" s="86">
        <f>VLOOKUP($A31,'Data shares'!$C:$FA,90)</f>
        <v>31600400</v>
      </c>
      <c r="I31" s="86">
        <f>VLOOKUP($A31,'Data shares'!$C:$FA,92)</f>
        <v>-36400</v>
      </c>
      <c r="J31" s="87">
        <f>VLOOKUP($A31,'Data shares'!$C:$FA,93)</f>
        <v>-1.1999999999999999E-3</v>
      </c>
      <c r="K31" s="86">
        <f>VLOOKUP($A31,'Data shares'!$C:$FA,94)</f>
        <v>17342000</v>
      </c>
      <c r="L31" s="86">
        <f>VLOOKUP($A31,'Data shares'!$C:$FA,96)</f>
        <v>462800</v>
      </c>
      <c r="M31" s="87">
        <f>VLOOKUP($A31,'Data shares'!$C:$FA,97)</f>
        <v>2.7400000000000001E-2</v>
      </c>
      <c r="N31" s="86">
        <f>VLOOKUP($A31,'Data shares'!$C:$FA,78)</f>
        <v>64844000</v>
      </c>
      <c r="O31" s="87">
        <f>VLOOKUP($A31,'Data shares'!$C:$FA,81)</f>
        <v>-8.8000000000000005E-3</v>
      </c>
    </row>
    <row r="32" spans="1:15" x14ac:dyDescent="0.25">
      <c r="A32" s="100" t="str">
        <f>'OI(Value)'!A32</f>
        <v>BANKNIFTY</v>
      </c>
      <c r="B32" s="82">
        <f>VLOOKUP(A32,'Data shares'!$C$2:$CV$216,98,0)</f>
        <v>45127605</v>
      </c>
      <c r="C32" s="82">
        <f>VLOOKUP(A32,'Data shares'!$C$2:$CX$216,100,0)</f>
        <v>1061585</v>
      </c>
      <c r="D32" s="141">
        <f>VLOOKUP(A32,'Data shares'!$C$2:$CY$539,101,0)</f>
        <v>2.41E-2</v>
      </c>
      <c r="E32" s="86">
        <f>VLOOKUP($A32,'Data shares'!$C:$FA,74)</f>
        <v>1983415</v>
      </c>
      <c r="F32" s="86">
        <f>VLOOKUP($A32,'Data shares'!$C:$FA,76)</f>
        <v>35875</v>
      </c>
      <c r="G32" s="87">
        <f>VLOOKUP(A32,'Data shares'!$C$2:$CA$216,77,0)</f>
        <v>1.84E-2</v>
      </c>
      <c r="H32" s="86">
        <f>VLOOKUP($A32,'Data shares'!$C:$FA,90)</f>
        <v>19753045</v>
      </c>
      <c r="I32" s="86">
        <f>VLOOKUP($A32,'Data shares'!$C:$FA,92)</f>
        <v>-311525</v>
      </c>
      <c r="J32" s="87">
        <f>VLOOKUP($A32,'Data shares'!$C:$FA,93)</f>
        <v>-1.55E-2</v>
      </c>
      <c r="K32" s="86">
        <f>VLOOKUP($A32,'Data shares'!$C:$FA,94)</f>
        <v>23391145</v>
      </c>
      <c r="L32" s="86">
        <f>VLOOKUP($A32,'Data shares'!$C:$FA,96)</f>
        <v>1337235</v>
      </c>
      <c r="M32" s="87">
        <f>VLOOKUP($A32,'Data shares'!$C:$FA,97)</f>
        <v>6.0600000000000001E-2</v>
      </c>
      <c r="N32" s="86">
        <f>VLOOKUP($A32,'Data shares'!$C:$FA,78)</f>
        <v>1692985</v>
      </c>
      <c r="O32" s="87">
        <f>VLOOKUP($A32,'Data shares'!$C:$FA,81)</f>
        <v>-1E-3</v>
      </c>
    </row>
    <row r="33" spans="1:15" x14ac:dyDescent="0.25">
      <c r="A33" s="100" t="str">
        <f>'OI(Value)'!A33</f>
        <v>BDL</v>
      </c>
      <c r="B33" s="82">
        <f>VLOOKUP(A33,'Data shares'!$C$2:$CV$216,98,0)</f>
        <v>10464350</v>
      </c>
      <c r="C33" s="82">
        <f>VLOOKUP(A33,'Data shares'!$C$2:$CX$216,100,0)</f>
        <v>70850</v>
      </c>
      <c r="D33" s="141">
        <f>VLOOKUP(A33,'Data shares'!$C$2:$CY$539,101,0)</f>
        <v>6.7999999999999996E-3</v>
      </c>
      <c r="E33" s="86">
        <f>VLOOKUP($A33,'Data shares'!$C:$FA,74)</f>
        <v>4608175</v>
      </c>
      <c r="F33" s="86">
        <f>VLOOKUP($A33,'Data shares'!$C:$FA,76)</f>
        <v>51675</v>
      </c>
      <c r="G33" s="87">
        <f>VLOOKUP(A33,'Data shares'!$C$2:$CA$216,77,0)</f>
        <v>1.1299999999999999E-2</v>
      </c>
      <c r="H33" s="86">
        <f>VLOOKUP($A33,'Data shares'!$C:$FA,90)</f>
        <v>3703375</v>
      </c>
      <c r="I33" s="86">
        <f>VLOOKUP($A33,'Data shares'!$C:$FA,92)</f>
        <v>-25350</v>
      </c>
      <c r="J33" s="87">
        <f>VLOOKUP($A33,'Data shares'!$C:$FA,93)</f>
        <v>-6.7999999999999996E-3</v>
      </c>
      <c r="K33" s="86">
        <f>VLOOKUP($A33,'Data shares'!$C:$FA,94)</f>
        <v>2152800</v>
      </c>
      <c r="L33" s="86">
        <f>VLOOKUP($A33,'Data shares'!$C:$FA,96)</f>
        <v>44525</v>
      </c>
      <c r="M33" s="87">
        <f>VLOOKUP($A33,'Data shares'!$C:$FA,97)</f>
        <v>2.1100000000000001E-2</v>
      </c>
      <c r="N33" s="86">
        <f>VLOOKUP($A33,'Data shares'!$C:$FA,78)</f>
        <v>4173975</v>
      </c>
      <c r="O33" s="87">
        <f>VLOOKUP($A33,'Data shares'!$C:$FA,81)</f>
        <v>-5.0000000000000001E-3</v>
      </c>
    </row>
    <row r="34" spans="1:15" x14ac:dyDescent="0.25">
      <c r="A34" s="100" t="str">
        <f>'OI(Value)'!A34</f>
        <v>BEL</v>
      </c>
      <c r="B34" s="82">
        <f>VLOOKUP(A34,'Data shares'!$C$2:$CV$216,98,0)</f>
        <v>226184550</v>
      </c>
      <c r="C34" s="82">
        <f>VLOOKUP(A34,'Data shares'!$C$2:$CX$216,100,0)</f>
        <v>-2573550</v>
      </c>
      <c r="D34" s="141">
        <f>VLOOKUP(A34,'Data shares'!$C$2:$CY$539,101,0)</f>
        <v>-1.1299999999999999E-2</v>
      </c>
      <c r="E34" s="86">
        <f>VLOOKUP($A34,'Data shares'!$C:$FA,74)</f>
        <v>112375500</v>
      </c>
      <c r="F34" s="86">
        <f>VLOOKUP($A34,'Data shares'!$C:$FA,76)</f>
        <v>225150</v>
      </c>
      <c r="G34" s="87">
        <f>VLOOKUP(A34,'Data shares'!$C$2:$CA$216,77,0)</f>
        <v>2E-3</v>
      </c>
      <c r="H34" s="86">
        <f>VLOOKUP($A34,'Data shares'!$C:$FA,90)</f>
        <v>71971050</v>
      </c>
      <c r="I34" s="86">
        <f>VLOOKUP($A34,'Data shares'!$C:$FA,92)</f>
        <v>-2761650</v>
      </c>
      <c r="J34" s="87">
        <f>VLOOKUP($A34,'Data shares'!$C:$FA,93)</f>
        <v>-3.6999999999999998E-2</v>
      </c>
      <c r="K34" s="86">
        <f>VLOOKUP($A34,'Data shares'!$C:$FA,94)</f>
        <v>41838000</v>
      </c>
      <c r="L34" s="86">
        <f>VLOOKUP($A34,'Data shares'!$C:$FA,96)</f>
        <v>-37050</v>
      </c>
      <c r="M34" s="87">
        <f>VLOOKUP($A34,'Data shares'!$C:$FA,97)</f>
        <v>-8.9999999999999998E-4</v>
      </c>
      <c r="N34" s="86">
        <f>VLOOKUP($A34,'Data shares'!$C:$FA,78)</f>
        <v>100348500</v>
      </c>
      <c r="O34" s="87">
        <f>VLOOKUP($A34,'Data shares'!$C:$FA,81)</f>
        <v>-5.4999999999999997E-3</v>
      </c>
    </row>
    <row r="35" spans="1:15" x14ac:dyDescent="0.25">
      <c r="A35" s="100" t="str">
        <f>'OI(Value)'!A35</f>
        <v>BHARATFORG</v>
      </c>
      <c r="B35" s="82">
        <f>VLOOKUP(A35,'Data shares'!$C$2:$CV$216,98,0)</f>
        <v>18480500</v>
      </c>
      <c r="C35" s="82">
        <f>VLOOKUP(A35,'Data shares'!$C$2:$CX$216,100,0)</f>
        <v>685000</v>
      </c>
      <c r="D35" s="141">
        <f>VLOOKUP(A35,'Data shares'!$C$2:$CY$539,101,0)</f>
        <v>3.85E-2</v>
      </c>
      <c r="E35" s="86">
        <f>VLOOKUP($A35,'Data shares'!$C:$FA,74)</f>
        <v>11920500</v>
      </c>
      <c r="F35" s="86">
        <f>VLOOKUP($A35,'Data shares'!$C:$FA,76)</f>
        <v>-287500</v>
      </c>
      <c r="G35" s="87">
        <f>VLOOKUP(A35,'Data shares'!$C$2:$CA$216,77,0)</f>
        <v>-2.3599999999999999E-2</v>
      </c>
      <c r="H35" s="86">
        <f>VLOOKUP($A35,'Data shares'!$C:$FA,90)</f>
        <v>4081000</v>
      </c>
      <c r="I35" s="86">
        <f>VLOOKUP($A35,'Data shares'!$C:$FA,92)</f>
        <v>716500</v>
      </c>
      <c r="J35" s="87">
        <f>VLOOKUP($A35,'Data shares'!$C:$FA,93)</f>
        <v>0.21299999999999999</v>
      </c>
      <c r="K35" s="86">
        <f>VLOOKUP($A35,'Data shares'!$C:$FA,94)</f>
        <v>2479000</v>
      </c>
      <c r="L35" s="86">
        <f>VLOOKUP($A35,'Data shares'!$C:$FA,96)</f>
        <v>256000</v>
      </c>
      <c r="M35" s="87">
        <f>VLOOKUP($A35,'Data shares'!$C:$FA,97)</f>
        <v>0.1152</v>
      </c>
      <c r="N35" s="86">
        <f>VLOOKUP($A35,'Data shares'!$C:$FA,78)</f>
        <v>10193500</v>
      </c>
      <c r="O35" s="87">
        <f>VLOOKUP($A35,'Data shares'!$C:$FA,81)</f>
        <v>-6.7299999999999999E-2</v>
      </c>
    </row>
    <row r="36" spans="1:15" x14ac:dyDescent="0.25">
      <c r="A36" s="100" t="str">
        <f>'OI(Value)'!A36</f>
        <v>BHARTIARTL</v>
      </c>
      <c r="B36" s="82">
        <f>VLOOKUP(A36,'Data shares'!$C$2:$CV$216,98,0)</f>
        <v>69732375</v>
      </c>
      <c r="C36" s="82">
        <f>VLOOKUP(A36,'Data shares'!$C$2:$CX$216,100,0)</f>
        <v>270750</v>
      </c>
      <c r="D36" s="141">
        <f>VLOOKUP(A36,'Data shares'!$C$2:$CY$539,101,0)</f>
        <v>3.8999999999999998E-3</v>
      </c>
      <c r="E36" s="86">
        <f>VLOOKUP($A36,'Data shares'!$C:$FA,74)</f>
        <v>49059425</v>
      </c>
      <c r="F36" s="86">
        <f>VLOOKUP($A36,'Data shares'!$C:$FA,76)</f>
        <v>-54625</v>
      </c>
      <c r="G36" s="87">
        <f>VLOOKUP(A36,'Data shares'!$C$2:$CA$216,77,0)</f>
        <v>-1.1000000000000001E-3</v>
      </c>
      <c r="H36" s="86">
        <f>VLOOKUP($A36,'Data shares'!$C:$FA,90)</f>
        <v>13123775</v>
      </c>
      <c r="I36" s="86">
        <f>VLOOKUP($A36,'Data shares'!$C:$FA,92)</f>
        <v>219925</v>
      </c>
      <c r="J36" s="87">
        <f>VLOOKUP($A36,'Data shares'!$C:$FA,93)</f>
        <v>1.7000000000000001E-2</v>
      </c>
      <c r="K36" s="86">
        <f>VLOOKUP($A36,'Data shares'!$C:$FA,94)</f>
        <v>7549175</v>
      </c>
      <c r="L36" s="86">
        <f>VLOOKUP($A36,'Data shares'!$C:$FA,96)</f>
        <v>105450</v>
      </c>
      <c r="M36" s="87">
        <f>VLOOKUP($A36,'Data shares'!$C:$FA,97)</f>
        <v>1.4200000000000001E-2</v>
      </c>
      <c r="N36" s="86">
        <f>VLOOKUP($A36,'Data shares'!$C:$FA,78)</f>
        <v>44776350</v>
      </c>
      <c r="O36" s="87">
        <f>VLOOKUP($A36,'Data shares'!$C:$FA,81)</f>
        <v>-1.5699999999999999E-2</v>
      </c>
    </row>
    <row r="37" spans="1:15" x14ac:dyDescent="0.25">
      <c r="A37" s="100" t="str">
        <f>'OI(Value)'!A37</f>
        <v>BHEL</v>
      </c>
      <c r="B37" s="82">
        <f>VLOOKUP(A37,'Data shares'!$C$2:$CV$216,98,0)</f>
        <v>104070750</v>
      </c>
      <c r="C37" s="82">
        <f>VLOOKUP(A37,'Data shares'!$C$2:$CX$216,100,0)</f>
        <v>1029000</v>
      </c>
      <c r="D37" s="141">
        <f>VLOOKUP(A37,'Data shares'!$C$2:$CY$539,101,0)</f>
        <v>0.01</v>
      </c>
      <c r="E37" s="86">
        <f>VLOOKUP($A37,'Data shares'!$C:$FA,74)</f>
        <v>60083625</v>
      </c>
      <c r="F37" s="86">
        <f>VLOOKUP($A37,'Data shares'!$C:$FA,76)</f>
        <v>669375</v>
      </c>
      <c r="G37" s="87">
        <f>VLOOKUP(A37,'Data shares'!$C$2:$CA$216,77,0)</f>
        <v>1.1299999999999999E-2</v>
      </c>
      <c r="H37" s="86">
        <f>VLOOKUP($A37,'Data shares'!$C:$FA,90)</f>
        <v>27838125</v>
      </c>
      <c r="I37" s="86">
        <f>VLOOKUP($A37,'Data shares'!$C:$FA,92)</f>
        <v>698250</v>
      </c>
      <c r="J37" s="87">
        <f>VLOOKUP($A37,'Data shares'!$C:$FA,93)</f>
        <v>2.5700000000000001E-2</v>
      </c>
      <c r="K37" s="86">
        <f>VLOOKUP($A37,'Data shares'!$C:$FA,94)</f>
        <v>16149000</v>
      </c>
      <c r="L37" s="86">
        <f>VLOOKUP($A37,'Data shares'!$C:$FA,96)</f>
        <v>-338625</v>
      </c>
      <c r="M37" s="87">
        <f>VLOOKUP($A37,'Data shares'!$C:$FA,97)</f>
        <v>-2.0500000000000001E-2</v>
      </c>
      <c r="N37" s="86">
        <f>VLOOKUP($A37,'Data shares'!$C:$FA,78)</f>
        <v>56917875</v>
      </c>
      <c r="O37" s="87">
        <f>VLOOKUP($A37,'Data shares'!$C:$FA,81)</f>
        <v>3.7000000000000002E-3</v>
      </c>
    </row>
    <row r="38" spans="1:15" x14ac:dyDescent="0.25">
      <c r="A38" s="100" t="str">
        <f>'OI(Value)'!A38</f>
        <v>BIOCON</v>
      </c>
      <c r="B38" s="82">
        <f>VLOOKUP(A38,'Data shares'!$C$2:$CV$216,98,0)</f>
        <v>70332500</v>
      </c>
      <c r="C38" s="82">
        <f>VLOOKUP(A38,'Data shares'!$C$2:$CX$216,100,0)</f>
        <v>-712500</v>
      </c>
      <c r="D38" s="141">
        <f>VLOOKUP(A38,'Data shares'!$C$2:$CY$539,101,0)</f>
        <v>-0.01</v>
      </c>
      <c r="E38" s="86">
        <f>VLOOKUP($A38,'Data shares'!$C:$FA,74)</f>
        <v>43790000</v>
      </c>
      <c r="F38" s="86">
        <f>VLOOKUP($A38,'Data shares'!$C:$FA,76)</f>
        <v>-862500</v>
      </c>
      <c r="G38" s="87">
        <f>VLOOKUP(A38,'Data shares'!$C$2:$CA$216,77,0)</f>
        <v>-1.9300000000000001E-2</v>
      </c>
      <c r="H38" s="86">
        <f>VLOOKUP($A38,'Data shares'!$C:$FA,90)</f>
        <v>16350000</v>
      </c>
      <c r="I38" s="86">
        <f>VLOOKUP($A38,'Data shares'!$C:$FA,92)</f>
        <v>-167500</v>
      </c>
      <c r="J38" s="87">
        <f>VLOOKUP($A38,'Data shares'!$C:$FA,93)</f>
        <v>-1.01E-2</v>
      </c>
      <c r="K38" s="86">
        <f>VLOOKUP($A38,'Data shares'!$C:$FA,94)</f>
        <v>10192500</v>
      </c>
      <c r="L38" s="86">
        <f>VLOOKUP($A38,'Data shares'!$C:$FA,96)</f>
        <v>317500</v>
      </c>
      <c r="M38" s="87">
        <f>VLOOKUP($A38,'Data shares'!$C:$FA,97)</f>
        <v>3.2199999999999999E-2</v>
      </c>
      <c r="N38" s="86">
        <f>VLOOKUP($A38,'Data shares'!$C:$FA,78)</f>
        <v>41455000</v>
      </c>
      <c r="O38" s="87">
        <f>VLOOKUP($A38,'Data shares'!$C:$FA,81)</f>
        <v>-2.7400000000000001E-2</v>
      </c>
    </row>
    <row r="39" spans="1:15" x14ac:dyDescent="0.25">
      <c r="A39" s="100" t="str">
        <f>'OI(Value)'!A39</f>
        <v>BLUESTARCO</v>
      </c>
      <c r="B39" s="82">
        <f>VLOOKUP(A39,'Data shares'!$C$2:$CV$216,98,0)</f>
        <v>2827825</v>
      </c>
      <c r="C39" s="82">
        <f>VLOOKUP(A39,'Data shares'!$C$2:$CX$216,100,0)</f>
        <v>-14300</v>
      </c>
      <c r="D39" s="141">
        <f>VLOOKUP(A39,'Data shares'!$C$2:$CY$539,101,0)</f>
        <v>-5.0000000000000001E-3</v>
      </c>
      <c r="E39" s="86">
        <f>VLOOKUP($A39,'Data shares'!$C:$FA,74)</f>
        <v>1837225</v>
      </c>
      <c r="F39" s="86">
        <f>VLOOKUP($A39,'Data shares'!$C:$FA,76)</f>
        <v>-13975</v>
      </c>
      <c r="G39" s="87">
        <f>VLOOKUP(A39,'Data shares'!$C$2:$CA$216,77,0)</f>
        <v>-7.4999999999999997E-3</v>
      </c>
      <c r="H39" s="86">
        <f>VLOOKUP($A39,'Data shares'!$C:$FA,90)</f>
        <v>603200</v>
      </c>
      <c r="I39" s="86">
        <f>VLOOKUP($A39,'Data shares'!$C:$FA,92)</f>
        <v>-21125</v>
      </c>
      <c r="J39" s="87">
        <f>VLOOKUP($A39,'Data shares'!$C:$FA,93)</f>
        <v>-3.3799999999999997E-2</v>
      </c>
      <c r="K39" s="86">
        <f>VLOOKUP($A39,'Data shares'!$C:$FA,94)</f>
        <v>387400</v>
      </c>
      <c r="L39" s="86">
        <f>VLOOKUP($A39,'Data shares'!$C:$FA,96)</f>
        <v>20800</v>
      </c>
      <c r="M39" s="87">
        <f>VLOOKUP($A39,'Data shares'!$C:$FA,97)</f>
        <v>5.67E-2</v>
      </c>
      <c r="N39" s="86">
        <f>VLOOKUP($A39,'Data shares'!$C:$FA,78)</f>
        <v>1703975</v>
      </c>
      <c r="O39" s="87">
        <f>VLOOKUP($A39,'Data shares'!$C:$FA,81)</f>
        <v>-4.1300000000000003E-2</v>
      </c>
    </row>
    <row r="40" spans="1:15" x14ac:dyDescent="0.25">
      <c r="A40" s="100" t="str">
        <f>'OI(Value)'!A40</f>
        <v>BOSCHLTD</v>
      </c>
      <c r="B40" s="82">
        <f>VLOOKUP(A40,'Data shares'!$C$2:$CV$216,98,0)</f>
        <v>388800</v>
      </c>
      <c r="C40" s="82">
        <f>VLOOKUP(A40,'Data shares'!$C$2:$CX$216,100,0)</f>
        <v>-1325</v>
      </c>
      <c r="D40" s="141">
        <f>VLOOKUP(A40,'Data shares'!$C$2:$CY$539,101,0)</f>
        <v>-3.3999999999999998E-3</v>
      </c>
      <c r="E40" s="86">
        <f>VLOOKUP($A40,'Data shares'!$C:$FA,74)</f>
        <v>246250</v>
      </c>
      <c r="F40" s="86">
        <f>VLOOKUP($A40,'Data shares'!$C:$FA,76)</f>
        <v>-750</v>
      </c>
      <c r="G40" s="87">
        <f>VLOOKUP(A40,'Data shares'!$C$2:$CA$216,77,0)</f>
        <v>-3.0000000000000001E-3</v>
      </c>
      <c r="H40" s="86">
        <f>VLOOKUP($A40,'Data shares'!$C:$FA,90)</f>
        <v>90300</v>
      </c>
      <c r="I40" s="86">
        <f>VLOOKUP($A40,'Data shares'!$C:$FA,92)</f>
        <v>-1325</v>
      </c>
      <c r="J40" s="87">
        <f>VLOOKUP($A40,'Data shares'!$C:$FA,93)</f>
        <v>-1.4500000000000001E-2</v>
      </c>
      <c r="K40" s="86">
        <f>VLOOKUP($A40,'Data shares'!$C:$FA,94)</f>
        <v>52250</v>
      </c>
      <c r="L40" s="86">
        <f>VLOOKUP($A40,'Data shares'!$C:$FA,96)</f>
        <v>750</v>
      </c>
      <c r="M40" s="87">
        <f>VLOOKUP($A40,'Data shares'!$C:$FA,97)</f>
        <v>1.46E-2</v>
      </c>
      <c r="N40" s="86">
        <f>VLOOKUP($A40,'Data shares'!$C:$FA,78)</f>
        <v>237950</v>
      </c>
      <c r="O40" s="87">
        <f>VLOOKUP($A40,'Data shares'!$C:$FA,81)</f>
        <v>-3.7000000000000002E-3</v>
      </c>
    </row>
    <row r="41" spans="1:15" x14ac:dyDescent="0.25">
      <c r="A41" s="100" t="str">
        <f>'OI(Value)'!A41</f>
        <v>BPCL</v>
      </c>
      <c r="B41" s="82">
        <f>VLOOKUP(A41,'Data shares'!$C$2:$CV$216,98,0)</f>
        <v>65706275</v>
      </c>
      <c r="C41" s="82">
        <f>VLOOKUP(A41,'Data shares'!$C$2:$CX$216,100,0)</f>
        <v>2776850</v>
      </c>
      <c r="D41" s="141">
        <f>VLOOKUP(A41,'Data shares'!$C$2:$CY$539,101,0)</f>
        <v>4.41E-2</v>
      </c>
      <c r="E41" s="86">
        <f>VLOOKUP($A41,'Data shares'!$C:$FA,74)</f>
        <v>39956225</v>
      </c>
      <c r="F41" s="86">
        <f>VLOOKUP($A41,'Data shares'!$C:$FA,76)</f>
        <v>1246225</v>
      </c>
      <c r="G41" s="87">
        <f>VLOOKUP(A41,'Data shares'!$C$2:$CA$216,77,0)</f>
        <v>3.2199999999999999E-2</v>
      </c>
      <c r="H41" s="86">
        <f>VLOOKUP($A41,'Data shares'!$C:$FA,90)</f>
        <v>15602500</v>
      </c>
      <c r="I41" s="86">
        <f>VLOOKUP($A41,'Data shares'!$C:$FA,92)</f>
        <v>1226475</v>
      </c>
      <c r="J41" s="87">
        <f>VLOOKUP($A41,'Data shares'!$C:$FA,93)</f>
        <v>8.5300000000000001E-2</v>
      </c>
      <c r="K41" s="86">
        <f>VLOOKUP($A41,'Data shares'!$C:$FA,94)</f>
        <v>10147550</v>
      </c>
      <c r="L41" s="86">
        <f>VLOOKUP($A41,'Data shares'!$C:$FA,96)</f>
        <v>304150</v>
      </c>
      <c r="M41" s="87">
        <f>VLOOKUP($A41,'Data shares'!$C:$FA,97)</f>
        <v>3.09E-2</v>
      </c>
      <c r="N41" s="86">
        <f>VLOOKUP($A41,'Data shares'!$C:$FA,78)</f>
        <v>38010850</v>
      </c>
      <c r="O41" s="87">
        <f>VLOOKUP($A41,'Data shares'!$C:$FA,81)</f>
        <v>2.5700000000000001E-2</v>
      </c>
    </row>
    <row r="42" spans="1:15" x14ac:dyDescent="0.25">
      <c r="A42" s="100" t="str">
        <f>'OI(Value)'!A42</f>
        <v>BRITANNIA</v>
      </c>
      <c r="B42" s="82">
        <f>VLOOKUP(A42,'Data shares'!$C$2:$CV$216,98,0)</f>
        <v>5386250</v>
      </c>
      <c r="C42" s="82">
        <f>VLOOKUP(A42,'Data shares'!$C$2:$CX$216,100,0)</f>
        <v>-80250</v>
      </c>
      <c r="D42" s="141">
        <f>VLOOKUP(A42,'Data shares'!$C$2:$CY$539,101,0)</f>
        <v>-1.47E-2</v>
      </c>
      <c r="E42" s="86">
        <f>VLOOKUP($A42,'Data shares'!$C:$FA,74)</f>
        <v>3703250</v>
      </c>
      <c r="F42" s="86">
        <f>VLOOKUP($A42,'Data shares'!$C:$FA,76)</f>
        <v>5625</v>
      </c>
      <c r="G42" s="87">
        <f>VLOOKUP(A42,'Data shares'!$C$2:$CA$216,77,0)</f>
        <v>1.5E-3</v>
      </c>
      <c r="H42" s="86">
        <f>VLOOKUP($A42,'Data shares'!$C:$FA,90)</f>
        <v>1071250</v>
      </c>
      <c r="I42" s="86">
        <f>VLOOKUP($A42,'Data shares'!$C:$FA,92)</f>
        <v>-145500</v>
      </c>
      <c r="J42" s="87">
        <f>VLOOKUP($A42,'Data shares'!$C:$FA,93)</f>
        <v>-0.1196</v>
      </c>
      <c r="K42" s="86">
        <f>VLOOKUP($A42,'Data shares'!$C:$FA,94)</f>
        <v>611750</v>
      </c>
      <c r="L42" s="86">
        <f>VLOOKUP($A42,'Data shares'!$C:$FA,96)</f>
        <v>59625</v>
      </c>
      <c r="M42" s="87">
        <f>VLOOKUP($A42,'Data shares'!$C:$FA,97)</f>
        <v>0.108</v>
      </c>
      <c r="N42" s="86">
        <f>VLOOKUP($A42,'Data shares'!$C:$FA,78)</f>
        <v>3667375</v>
      </c>
      <c r="O42" s="87">
        <f>VLOOKUP($A42,'Data shares'!$C:$FA,81)</f>
        <v>1E-4</v>
      </c>
    </row>
    <row r="43" spans="1:15" x14ac:dyDescent="0.25">
      <c r="A43" s="100" t="str">
        <f>'OI(Value)'!A43</f>
        <v>BSE</v>
      </c>
      <c r="B43" s="82">
        <f>VLOOKUP(A43,'Data shares'!$C$2:$CV$216,98,0)</f>
        <v>31581000</v>
      </c>
      <c r="C43" s="82">
        <f>VLOOKUP(A43,'Data shares'!$C$2:$CX$216,100,0)</f>
        <v>-1053375</v>
      </c>
      <c r="D43" s="141">
        <f>VLOOKUP(A43,'Data shares'!$C$2:$CY$539,101,0)</f>
        <v>-3.2300000000000002E-2</v>
      </c>
      <c r="E43" s="86">
        <f>VLOOKUP($A43,'Data shares'!$C:$FA,74)</f>
        <v>13197750</v>
      </c>
      <c r="F43" s="86">
        <f>VLOOKUP($A43,'Data shares'!$C:$FA,76)</f>
        <v>-391875</v>
      </c>
      <c r="G43" s="87">
        <f>VLOOKUP(A43,'Data shares'!$C$2:$CA$216,77,0)</f>
        <v>-2.8799999999999999E-2</v>
      </c>
      <c r="H43" s="86">
        <f>VLOOKUP($A43,'Data shares'!$C:$FA,90)</f>
        <v>9547875</v>
      </c>
      <c r="I43" s="86">
        <f>VLOOKUP($A43,'Data shares'!$C:$FA,92)</f>
        <v>-1152750</v>
      </c>
      <c r="J43" s="87">
        <f>VLOOKUP($A43,'Data shares'!$C:$FA,93)</f>
        <v>-0.1077</v>
      </c>
      <c r="K43" s="86">
        <f>VLOOKUP($A43,'Data shares'!$C:$FA,94)</f>
        <v>8835375</v>
      </c>
      <c r="L43" s="86">
        <f>VLOOKUP($A43,'Data shares'!$C:$FA,96)</f>
        <v>491250</v>
      </c>
      <c r="M43" s="87">
        <f>VLOOKUP($A43,'Data shares'!$C:$FA,97)</f>
        <v>5.8900000000000001E-2</v>
      </c>
      <c r="N43" s="86">
        <f>VLOOKUP($A43,'Data shares'!$C:$FA,78)</f>
        <v>11853375</v>
      </c>
      <c r="O43" s="87">
        <f>VLOOKUP($A43,'Data shares'!$C:$FA,81)</f>
        <v>-4.2799999999999998E-2</v>
      </c>
    </row>
    <row r="44" spans="1:15" x14ac:dyDescent="0.25">
      <c r="A44" s="100" t="str">
        <f>'OI(Value)'!A44</f>
        <v>CAMS</v>
      </c>
      <c r="B44" s="82">
        <f>VLOOKUP(A44,'Data shares'!$C$2:$CV$216,98,0)</f>
        <v>4249800</v>
      </c>
      <c r="C44" s="82">
        <f>VLOOKUP(A44,'Data shares'!$C$2:$CX$216,100,0)</f>
        <v>87450</v>
      </c>
      <c r="D44" s="141">
        <f>VLOOKUP(A44,'Data shares'!$C$2:$CY$539,101,0)</f>
        <v>2.1000000000000001E-2</v>
      </c>
      <c r="E44" s="86">
        <f>VLOOKUP($A44,'Data shares'!$C:$FA,74)</f>
        <v>2337600</v>
      </c>
      <c r="F44" s="86">
        <f>VLOOKUP($A44,'Data shares'!$C:$FA,76)</f>
        <v>41400</v>
      </c>
      <c r="G44" s="87">
        <f>VLOOKUP(A44,'Data shares'!$C$2:$CA$216,77,0)</f>
        <v>1.7999999999999999E-2</v>
      </c>
      <c r="H44" s="86">
        <f>VLOOKUP($A44,'Data shares'!$C:$FA,90)</f>
        <v>1166850</v>
      </c>
      <c r="I44" s="86">
        <f>VLOOKUP($A44,'Data shares'!$C:$FA,92)</f>
        <v>14100</v>
      </c>
      <c r="J44" s="87">
        <f>VLOOKUP($A44,'Data shares'!$C:$FA,93)</f>
        <v>1.2200000000000001E-2</v>
      </c>
      <c r="K44" s="86">
        <f>VLOOKUP($A44,'Data shares'!$C:$FA,94)</f>
        <v>745350</v>
      </c>
      <c r="L44" s="86">
        <f>VLOOKUP($A44,'Data shares'!$C:$FA,96)</f>
        <v>31950</v>
      </c>
      <c r="M44" s="87">
        <f>VLOOKUP($A44,'Data shares'!$C:$FA,97)</f>
        <v>4.48E-2</v>
      </c>
      <c r="N44" s="86">
        <f>VLOOKUP($A44,'Data shares'!$C:$FA,78)</f>
        <v>2085900</v>
      </c>
      <c r="O44" s="87">
        <f>VLOOKUP($A44,'Data shares'!$C:$FA,81)</f>
        <v>6.1999999999999998E-3</v>
      </c>
    </row>
    <row r="45" spans="1:15" x14ac:dyDescent="0.25">
      <c r="A45" s="100" t="str">
        <f>'OI(Value)'!A45</f>
        <v>CANBK</v>
      </c>
      <c r="B45" s="82">
        <f>VLOOKUP(A45,'Data shares'!$C$2:$CV$216,98,0)</f>
        <v>469820250</v>
      </c>
      <c r="C45" s="82">
        <f>VLOOKUP(A45,'Data shares'!$C$2:$CX$216,100,0)</f>
        <v>13668750</v>
      </c>
      <c r="D45" s="141">
        <f>VLOOKUP(A45,'Data shares'!$C$2:$CY$539,101,0)</f>
        <v>0.03</v>
      </c>
      <c r="E45" s="86">
        <f>VLOOKUP($A45,'Data shares'!$C:$FA,74)</f>
        <v>285423750</v>
      </c>
      <c r="F45" s="86">
        <f>VLOOKUP($A45,'Data shares'!$C:$FA,76)</f>
        <v>8410500</v>
      </c>
      <c r="G45" s="87">
        <f>VLOOKUP(A45,'Data shares'!$C$2:$CA$216,77,0)</f>
        <v>3.04E-2</v>
      </c>
      <c r="H45" s="86">
        <f>VLOOKUP($A45,'Data shares'!$C:$FA,90)</f>
        <v>100575000</v>
      </c>
      <c r="I45" s="86">
        <f>VLOOKUP($A45,'Data shares'!$C:$FA,92)</f>
        <v>4050000</v>
      </c>
      <c r="J45" s="87">
        <f>VLOOKUP($A45,'Data shares'!$C:$FA,93)</f>
        <v>4.2000000000000003E-2</v>
      </c>
      <c r="K45" s="86">
        <f>VLOOKUP($A45,'Data shares'!$C:$FA,94)</f>
        <v>83821500</v>
      </c>
      <c r="L45" s="86">
        <f>VLOOKUP($A45,'Data shares'!$C:$FA,96)</f>
        <v>1208250</v>
      </c>
      <c r="M45" s="87">
        <f>VLOOKUP($A45,'Data shares'!$C:$FA,97)</f>
        <v>1.46E-2</v>
      </c>
      <c r="N45" s="86">
        <f>VLOOKUP($A45,'Data shares'!$C:$FA,78)</f>
        <v>257161500</v>
      </c>
      <c r="O45" s="87">
        <f>VLOOKUP($A45,'Data shares'!$C:$FA,81)</f>
        <v>1.6E-2</v>
      </c>
    </row>
    <row r="46" spans="1:15" x14ac:dyDescent="0.25">
      <c r="A46" s="100" t="str">
        <f>'OI(Value)'!A46</f>
        <v>CDSL</v>
      </c>
      <c r="B46" s="82">
        <f>VLOOKUP(A46,'Data shares'!$C$2:$CV$216,98,0)</f>
        <v>19387125</v>
      </c>
      <c r="C46" s="82">
        <f>VLOOKUP(A46,'Data shares'!$C$2:$CX$216,100,0)</f>
        <v>188100</v>
      </c>
      <c r="D46" s="141">
        <f>VLOOKUP(A46,'Data shares'!$C$2:$CY$539,101,0)</f>
        <v>9.7999999999999997E-3</v>
      </c>
      <c r="E46" s="86">
        <f>VLOOKUP($A46,'Data shares'!$C:$FA,74)</f>
        <v>8958975</v>
      </c>
      <c r="F46" s="86">
        <f>VLOOKUP($A46,'Data shares'!$C:$FA,76)</f>
        <v>-13775</v>
      </c>
      <c r="G46" s="87">
        <f>VLOOKUP(A46,'Data shares'!$C$2:$CA$216,77,0)</f>
        <v>-1.5E-3</v>
      </c>
      <c r="H46" s="86">
        <f>VLOOKUP($A46,'Data shares'!$C:$FA,90)</f>
        <v>6148400</v>
      </c>
      <c r="I46" s="86">
        <f>VLOOKUP($A46,'Data shares'!$C:$FA,92)</f>
        <v>156750</v>
      </c>
      <c r="J46" s="87">
        <f>VLOOKUP($A46,'Data shares'!$C:$FA,93)</f>
        <v>2.6200000000000001E-2</v>
      </c>
      <c r="K46" s="86">
        <f>VLOOKUP($A46,'Data shares'!$C:$FA,94)</f>
        <v>4279750</v>
      </c>
      <c r="L46" s="86">
        <f>VLOOKUP($A46,'Data shares'!$C:$FA,96)</f>
        <v>45125</v>
      </c>
      <c r="M46" s="87">
        <f>VLOOKUP($A46,'Data shares'!$C:$FA,97)</f>
        <v>1.0699999999999999E-2</v>
      </c>
      <c r="N46" s="86">
        <f>VLOOKUP($A46,'Data shares'!$C:$FA,78)</f>
        <v>7663175</v>
      </c>
      <c r="O46" s="87">
        <f>VLOOKUP($A46,'Data shares'!$C:$FA,81)</f>
        <v>-1.72E-2</v>
      </c>
    </row>
    <row r="47" spans="1:15" x14ac:dyDescent="0.25">
      <c r="A47" s="100" t="str">
        <f>'OI(Value)'!A47</f>
        <v>CGPOWER</v>
      </c>
      <c r="B47" s="82">
        <f>VLOOKUP(A47,'Data shares'!$C$2:$CV$216,98,0)</f>
        <v>27587600</v>
      </c>
      <c r="C47" s="82">
        <f>VLOOKUP(A47,'Data shares'!$C$2:$CX$216,100,0)</f>
        <v>-442000</v>
      </c>
      <c r="D47" s="141">
        <f>VLOOKUP(A47,'Data shares'!$C$2:$CY$539,101,0)</f>
        <v>-1.5800000000000002E-2</v>
      </c>
      <c r="E47" s="86">
        <f>VLOOKUP($A47,'Data shares'!$C:$FA,74)</f>
        <v>16965150</v>
      </c>
      <c r="F47" s="86">
        <f>VLOOKUP($A47,'Data shares'!$C:$FA,76)</f>
        <v>-306000</v>
      </c>
      <c r="G47" s="87">
        <f>VLOOKUP(A47,'Data shares'!$C$2:$CA$216,77,0)</f>
        <v>-1.77E-2</v>
      </c>
      <c r="H47" s="86">
        <f>VLOOKUP($A47,'Data shares'!$C:$FA,90)</f>
        <v>6631700</v>
      </c>
      <c r="I47" s="86">
        <f>VLOOKUP($A47,'Data shares'!$C:$FA,92)</f>
        <v>-215900</v>
      </c>
      <c r="J47" s="87">
        <f>VLOOKUP($A47,'Data shares'!$C:$FA,93)</f>
        <v>-3.15E-2</v>
      </c>
      <c r="K47" s="86">
        <f>VLOOKUP($A47,'Data shares'!$C:$FA,94)</f>
        <v>3990750</v>
      </c>
      <c r="L47" s="86">
        <f>VLOOKUP($A47,'Data shares'!$C:$FA,96)</f>
        <v>79900</v>
      </c>
      <c r="M47" s="87">
        <f>VLOOKUP($A47,'Data shares'!$C:$FA,97)</f>
        <v>2.0400000000000001E-2</v>
      </c>
      <c r="N47" s="86">
        <f>VLOOKUP($A47,'Data shares'!$C:$FA,78)</f>
        <v>16414350</v>
      </c>
      <c r="O47" s="87">
        <f>VLOOKUP($A47,'Data shares'!$C:$FA,81)</f>
        <v>-0.02</v>
      </c>
    </row>
    <row r="48" spans="1:15" x14ac:dyDescent="0.25">
      <c r="A48" s="100" t="str">
        <f>'OI(Value)'!A48</f>
        <v>CHOLAFIN</v>
      </c>
      <c r="B48" s="82">
        <f>VLOOKUP(A48,'Data shares'!$C$2:$CV$216,98,0)</f>
        <v>25354375</v>
      </c>
      <c r="C48" s="82">
        <f>VLOOKUP(A48,'Data shares'!$C$2:$CX$216,100,0)</f>
        <v>2488125</v>
      </c>
      <c r="D48" s="141">
        <f>VLOOKUP(A48,'Data shares'!$C$2:$CY$539,101,0)</f>
        <v>0.10879999999999999</v>
      </c>
      <c r="E48" s="86">
        <f>VLOOKUP($A48,'Data shares'!$C:$FA,74)</f>
        <v>18979375</v>
      </c>
      <c r="F48" s="86">
        <f>VLOOKUP($A48,'Data shares'!$C:$FA,76)</f>
        <v>1630625</v>
      </c>
      <c r="G48" s="87">
        <f>VLOOKUP(A48,'Data shares'!$C$2:$CA$216,77,0)</f>
        <v>9.4E-2</v>
      </c>
      <c r="H48" s="86">
        <f>VLOOKUP($A48,'Data shares'!$C:$FA,90)</f>
        <v>3974375</v>
      </c>
      <c r="I48" s="86">
        <f>VLOOKUP($A48,'Data shares'!$C:$FA,92)</f>
        <v>830000</v>
      </c>
      <c r="J48" s="87">
        <f>VLOOKUP($A48,'Data shares'!$C:$FA,93)</f>
        <v>0.26400000000000001</v>
      </c>
      <c r="K48" s="86">
        <f>VLOOKUP($A48,'Data shares'!$C:$FA,94)</f>
        <v>2400625</v>
      </c>
      <c r="L48" s="86">
        <f>VLOOKUP($A48,'Data shares'!$C:$FA,96)</f>
        <v>27500</v>
      </c>
      <c r="M48" s="87">
        <f>VLOOKUP($A48,'Data shares'!$C:$FA,97)</f>
        <v>1.1599999999999999E-2</v>
      </c>
      <c r="N48" s="86">
        <f>VLOOKUP($A48,'Data shares'!$C:$FA,78)</f>
        <v>16310000</v>
      </c>
      <c r="O48" s="87">
        <f>VLOOKUP($A48,'Data shares'!$C:$FA,81)</f>
        <v>3.8699999999999998E-2</v>
      </c>
    </row>
    <row r="49" spans="1:15" x14ac:dyDescent="0.25">
      <c r="A49" s="100" t="str">
        <f>'OI(Value)'!A49</f>
        <v>CIPLA</v>
      </c>
      <c r="B49" s="82">
        <f>VLOOKUP(A49,'Data shares'!$C$2:$CV$216,98,0)</f>
        <v>23051250</v>
      </c>
      <c r="C49" s="82">
        <f>VLOOKUP(A49,'Data shares'!$C$2:$CX$216,100,0)</f>
        <v>837375</v>
      </c>
      <c r="D49" s="141">
        <f>VLOOKUP(A49,'Data shares'!$C$2:$CY$539,101,0)</f>
        <v>3.7699999999999997E-2</v>
      </c>
      <c r="E49" s="86">
        <f>VLOOKUP($A49,'Data shares'!$C:$FA,74)</f>
        <v>11892750</v>
      </c>
      <c r="F49" s="86">
        <f>VLOOKUP($A49,'Data shares'!$C:$FA,76)</f>
        <v>182625</v>
      </c>
      <c r="G49" s="87">
        <f>VLOOKUP(A49,'Data shares'!$C$2:$CA$216,77,0)</f>
        <v>1.5599999999999999E-2</v>
      </c>
      <c r="H49" s="86">
        <f>VLOOKUP($A49,'Data shares'!$C:$FA,90)</f>
        <v>7926750</v>
      </c>
      <c r="I49" s="86">
        <f>VLOOKUP($A49,'Data shares'!$C:$FA,92)</f>
        <v>612375</v>
      </c>
      <c r="J49" s="87">
        <f>VLOOKUP($A49,'Data shares'!$C:$FA,93)</f>
        <v>8.3699999999999997E-2</v>
      </c>
      <c r="K49" s="86">
        <f>VLOOKUP($A49,'Data shares'!$C:$FA,94)</f>
        <v>3231750</v>
      </c>
      <c r="L49" s="86">
        <f>VLOOKUP($A49,'Data shares'!$C:$FA,96)</f>
        <v>42375</v>
      </c>
      <c r="M49" s="87">
        <f>VLOOKUP($A49,'Data shares'!$C:$FA,97)</f>
        <v>1.3299999999999999E-2</v>
      </c>
      <c r="N49" s="86">
        <f>VLOOKUP($A49,'Data shares'!$C:$FA,78)</f>
        <v>11546625</v>
      </c>
      <c r="O49" s="87">
        <f>VLOOKUP($A49,'Data shares'!$C:$FA,81)</f>
        <v>1.3599999999999999E-2</v>
      </c>
    </row>
    <row r="50" spans="1:15" x14ac:dyDescent="0.25">
      <c r="A50" s="100" t="str">
        <f>'OI(Value)'!A50</f>
        <v>COALINDIA</v>
      </c>
      <c r="B50" s="82">
        <f>VLOOKUP(A50,'Data shares'!$C$2:$CV$216,98,0)</f>
        <v>120320100</v>
      </c>
      <c r="C50" s="82">
        <f>VLOOKUP(A50,'Data shares'!$C$2:$CX$216,100,0)</f>
        <v>-612900</v>
      </c>
      <c r="D50" s="141">
        <f>VLOOKUP(A50,'Data shares'!$C$2:$CY$539,101,0)</f>
        <v>-5.1000000000000004E-3</v>
      </c>
      <c r="E50" s="86">
        <f>VLOOKUP($A50,'Data shares'!$C:$FA,74)</f>
        <v>70267500</v>
      </c>
      <c r="F50" s="86">
        <f>VLOOKUP($A50,'Data shares'!$C:$FA,76)</f>
        <v>-460350</v>
      </c>
      <c r="G50" s="87">
        <f>VLOOKUP(A50,'Data shares'!$C$2:$CA$216,77,0)</f>
        <v>-6.4999999999999997E-3</v>
      </c>
      <c r="H50" s="86">
        <f>VLOOKUP($A50,'Data shares'!$C:$FA,90)</f>
        <v>29853900</v>
      </c>
      <c r="I50" s="86">
        <f>VLOOKUP($A50,'Data shares'!$C:$FA,92)</f>
        <v>135000</v>
      </c>
      <c r="J50" s="87">
        <f>VLOOKUP($A50,'Data shares'!$C:$FA,93)</f>
        <v>4.4999999999999997E-3</v>
      </c>
      <c r="K50" s="86">
        <f>VLOOKUP($A50,'Data shares'!$C:$FA,94)</f>
        <v>20198700</v>
      </c>
      <c r="L50" s="86">
        <f>VLOOKUP($A50,'Data shares'!$C:$FA,96)</f>
        <v>-287550</v>
      </c>
      <c r="M50" s="87">
        <f>VLOOKUP($A50,'Data shares'!$C:$FA,97)</f>
        <v>-1.4E-2</v>
      </c>
      <c r="N50" s="86">
        <f>VLOOKUP($A50,'Data shares'!$C:$FA,78)</f>
        <v>65736900</v>
      </c>
      <c r="O50" s="87">
        <f>VLOOKUP($A50,'Data shares'!$C:$FA,81)</f>
        <v>-1.17E-2</v>
      </c>
    </row>
    <row r="51" spans="1:15" x14ac:dyDescent="0.25">
      <c r="A51" s="100" t="str">
        <f>'OI(Value)'!A51</f>
        <v>COFORGE</v>
      </c>
      <c r="B51" s="82">
        <f>VLOOKUP(A51,'Data shares'!$C$2:$CV$216,98,0)</f>
        <v>20100750</v>
      </c>
      <c r="C51" s="82">
        <f>VLOOKUP(A51,'Data shares'!$C$2:$CX$216,100,0)</f>
        <v>150375</v>
      </c>
      <c r="D51" s="141">
        <f>VLOOKUP(A51,'Data shares'!$C$2:$CY$539,101,0)</f>
        <v>7.4999999999999997E-3</v>
      </c>
      <c r="E51" s="86">
        <f>VLOOKUP($A51,'Data shares'!$C:$FA,74)</f>
        <v>12147375</v>
      </c>
      <c r="F51" s="86">
        <f>VLOOKUP($A51,'Data shares'!$C:$FA,76)</f>
        <v>49875</v>
      </c>
      <c r="G51" s="87">
        <f>VLOOKUP(A51,'Data shares'!$C$2:$CA$216,77,0)</f>
        <v>4.1000000000000003E-3</v>
      </c>
      <c r="H51" s="86">
        <f>VLOOKUP($A51,'Data shares'!$C:$FA,90)</f>
        <v>4655250</v>
      </c>
      <c r="I51" s="86">
        <f>VLOOKUP($A51,'Data shares'!$C:$FA,92)</f>
        <v>-20625</v>
      </c>
      <c r="J51" s="87">
        <f>VLOOKUP($A51,'Data shares'!$C:$FA,93)</f>
        <v>-4.4000000000000003E-3</v>
      </c>
      <c r="K51" s="86">
        <f>VLOOKUP($A51,'Data shares'!$C:$FA,94)</f>
        <v>3298125</v>
      </c>
      <c r="L51" s="86">
        <f>VLOOKUP($A51,'Data shares'!$C:$FA,96)</f>
        <v>121125</v>
      </c>
      <c r="M51" s="87">
        <f>VLOOKUP($A51,'Data shares'!$C:$FA,97)</f>
        <v>3.8100000000000002E-2</v>
      </c>
      <c r="N51" s="86">
        <f>VLOOKUP($A51,'Data shares'!$C:$FA,78)</f>
        <v>11816625</v>
      </c>
      <c r="O51" s="87">
        <f>VLOOKUP($A51,'Data shares'!$C:$FA,81)</f>
        <v>1.6000000000000001E-3</v>
      </c>
    </row>
    <row r="52" spans="1:15" x14ac:dyDescent="0.25">
      <c r="A52" s="100" t="str">
        <f>'OI(Value)'!A52</f>
        <v>COLPAL</v>
      </c>
      <c r="B52" s="82">
        <f>VLOOKUP(A52,'Data shares'!$C$2:$CV$216,98,0)</f>
        <v>8122050</v>
      </c>
      <c r="C52" s="82">
        <f>VLOOKUP(A52,'Data shares'!$C$2:$CX$216,100,0)</f>
        <v>-691425</v>
      </c>
      <c r="D52" s="141">
        <f>VLOOKUP(A52,'Data shares'!$C$2:$CY$539,101,0)</f>
        <v>-7.85E-2</v>
      </c>
      <c r="E52" s="86">
        <f>VLOOKUP($A52,'Data shares'!$C:$FA,74)</f>
        <v>5013450</v>
      </c>
      <c r="F52" s="86">
        <f>VLOOKUP($A52,'Data shares'!$C:$FA,76)</f>
        <v>-322425</v>
      </c>
      <c r="G52" s="87">
        <f>VLOOKUP(A52,'Data shares'!$C$2:$CA$216,77,0)</f>
        <v>-6.0400000000000002E-2</v>
      </c>
      <c r="H52" s="86">
        <f>VLOOKUP($A52,'Data shares'!$C:$FA,90)</f>
        <v>1778175</v>
      </c>
      <c r="I52" s="86">
        <f>VLOOKUP($A52,'Data shares'!$C:$FA,92)</f>
        <v>-256050</v>
      </c>
      <c r="J52" s="87">
        <f>VLOOKUP($A52,'Data shares'!$C:$FA,93)</f>
        <v>-0.12590000000000001</v>
      </c>
      <c r="K52" s="86">
        <f>VLOOKUP($A52,'Data shares'!$C:$FA,94)</f>
        <v>1330425</v>
      </c>
      <c r="L52" s="86">
        <f>VLOOKUP($A52,'Data shares'!$C:$FA,96)</f>
        <v>-112950</v>
      </c>
      <c r="M52" s="87">
        <f>VLOOKUP($A52,'Data shares'!$C:$FA,97)</f>
        <v>-7.8299999999999995E-2</v>
      </c>
      <c r="N52" s="86">
        <f>VLOOKUP($A52,'Data shares'!$C:$FA,78)</f>
        <v>4335300</v>
      </c>
      <c r="O52" s="87">
        <f>VLOOKUP($A52,'Data shares'!$C:$FA,81)</f>
        <v>-6.9400000000000003E-2</v>
      </c>
    </row>
    <row r="53" spans="1:15" x14ac:dyDescent="0.25">
      <c r="A53" s="100" t="str">
        <f>'OI(Value)'!A53</f>
        <v>CONCOR</v>
      </c>
      <c r="B53" s="82">
        <f>VLOOKUP(A53,'Data shares'!$C$2:$CV$216,98,0)</f>
        <v>46612500</v>
      </c>
      <c r="C53" s="82">
        <f>VLOOKUP(A53,'Data shares'!$C$2:$CX$216,100,0)</f>
        <v>-897500</v>
      </c>
      <c r="D53" s="141">
        <f>VLOOKUP(A53,'Data shares'!$C$2:$CY$539,101,0)</f>
        <v>-1.89E-2</v>
      </c>
      <c r="E53" s="86">
        <f>VLOOKUP($A53,'Data shares'!$C:$FA,74)</f>
        <v>27505000</v>
      </c>
      <c r="F53" s="86">
        <f>VLOOKUP($A53,'Data shares'!$C:$FA,76)</f>
        <v>-185000</v>
      </c>
      <c r="G53" s="87">
        <f>VLOOKUP(A53,'Data shares'!$C$2:$CA$216,77,0)</f>
        <v>-6.7000000000000002E-3</v>
      </c>
      <c r="H53" s="86">
        <f>VLOOKUP($A53,'Data shares'!$C:$FA,90)</f>
        <v>11216250</v>
      </c>
      <c r="I53" s="86">
        <f>VLOOKUP($A53,'Data shares'!$C:$FA,92)</f>
        <v>-577500</v>
      </c>
      <c r="J53" s="87">
        <f>VLOOKUP($A53,'Data shares'!$C:$FA,93)</f>
        <v>-4.9000000000000002E-2</v>
      </c>
      <c r="K53" s="86">
        <f>VLOOKUP($A53,'Data shares'!$C:$FA,94)</f>
        <v>7891250</v>
      </c>
      <c r="L53" s="86">
        <f>VLOOKUP($A53,'Data shares'!$C:$FA,96)</f>
        <v>-135000</v>
      </c>
      <c r="M53" s="87">
        <f>VLOOKUP($A53,'Data shares'!$C:$FA,97)</f>
        <v>-1.6799999999999999E-2</v>
      </c>
      <c r="N53" s="86">
        <f>VLOOKUP($A53,'Data shares'!$C:$FA,78)</f>
        <v>23311250</v>
      </c>
      <c r="O53" s="87">
        <f>VLOOKUP($A53,'Data shares'!$C:$FA,81)</f>
        <v>-2.2599999999999999E-2</v>
      </c>
    </row>
    <row r="54" spans="1:15" x14ac:dyDescent="0.25">
      <c r="A54" s="100" t="str">
        <f>'OI(Value)'!A54</f>
        <v>CROMPTON</v>
      </c>
      <c r="B54" s="82">
        <f>VLOOKUP(A54,'Data shares'!$C$2:$CV$216,98,0)</f>
        <v>83748600</v>
      </c>
      <c r="C54" s="82">
        <f>VLOOKUP(A54,'Data shares'!$C$2:$CX$216,100,0)</f>
        <v>52200</v>
      </c>
      <c r="D54" s="141">
        <f>VLOOKUP(A54,'Data shares'!$C$2:$CY$539,101,0)</f>
        <v>5.9999999999999995E-4</v>
      </c>
      <c r="E54" s="86">
        <f>VLOOKUP($A54,'Data shares'!$C:$FA,74)</f>
        <v>52867800</v>
      </c>
      <c r="F54" s="86">
        <f>VLOOKUP($A54,'Data shares'!$C:$FA,76)</f>
        <v>-1800</v>
      </c>
      <c r="G54" s="87">
        <f>VLOOKUP(A54,'Data shares'!$C$2:$CA$216,77,0)</f>
        <v>0</v>
      </c>
      <c r="H54" s="86">
        <f>VLOOKUP($A54,'Data shares'!$C:$FA,90)</f>
        <v>20017800</v>
      </c>
      <c r="I54" s="86">
        <f>VLOOKUP($A54,'Data shares'!$C:$FA,92)</f>
        <v>-45000</v>
      </c>
      <c r="J54" s="87">
        <f>VLOOKUP($A54,'Data shares'!$C:$FA,93)</f>
        <v>-2.2000000000000001E-3</v>
      </c>
      <c r="K54" s="86">
        <f>VLOOKUP($A54,'Data shares'!$C:$FA,94)</f>
        <v>10863000</v>
      </c>
      <c r="L54" s="86">
        <f>VLOOKUP($A54,'Data shares'!$C:$FA,96)</f>
        <v>99000</v>
      </c>
      <c r="M54" s="87">
        <f>VLOOKUP($A54,'Data shares'!$C:$FA,97)</f>
        <v>9.1999999999999998E-3</v>
      </c>
      <c r="N54" s="86">
        <f>VLOOKUP($A54,'Data shares'!$C:$FA,78)</f>
        <v>48744000</v>
      </c>
      <c r="O54" s="87">
        <f>VLOOKUP($A54,'Data shares'!$C:$FA,81)</f>
        <v>-7.1000000000000004E-3</v>
      </c>
    </row>
    <row r="55" spans="1:15" x14ac:dyDescent="0.25">
      <c r="A55" s="100" t="str">
        <f>'OI(Value)'!A55</f>
        <v>CUMMINSIND</v>
      </c>
      <c r="B55" s="82">
        <f>VLOOKUP(A55,'Data shares'!$C$2:$CV$216,98,0)</f>
        <v>4383600</v>
      </c>
      <c r="C55" s="82">
        <f>VLOOKUP(A55,'Data shares'!$C$2:$CX$216,100,0)</f>
        <v>101400</v>
      </c>
      <c r="D55" s="141">
        <f>VLOOKUP(A55,'Data shares'!$C$2:$CY$539,101,0)</f>
        <v>2.3699999999999999E-2</v>
      </c>
      <c r="E55" s="86">
        <f>VLOOKUP($A55,'Data shares'!$C:$FA,74)</f>
        <v>2857400</v>
      </c>
      <c r="F55" s="86">
        <f>VLOOKUP($A55,'Data shares'!$C:$FA,76)</f>
        <v>-73000</v>
      </c>
      <c r="G55" s="87">
        <f>VLOOKUP(A55,'Data shares'!$C$2:$CA$216,77,0)</f>
        <v>-2.4899999999999999E-2</v>
      </c>
      <c r="H55" s="86">
        <f>VLOOKUP($A55,'Data shares'!$C:$FA,90)</f>
        <v>934200</v>
      </c>
      <c r="I55" s="86">
        <f>VLOOKUP($A55,'Data shares'!$C:$FA,92)</f>
        <v>139200</v>
      </c>
      <c r="J55" s="87">
        <f>VLOOKUP($A55,'Data shares'!$C:$FA,93)</f>
        <v>0.17510000000000001</v>
      </c>
      <c r="K55" s="86">
        <f>VLOOKUP($A55,'Data shares'!$C:$FA,94)</f>
        <v>592000</v>
      </c>
      <c r="L55" s="86">
        <f>VLOOKUP($A55,'Data shares'!$C:$FA,96)</f>
        <v>35200</v>
      </c>
      <c r="M55" s="87">
        <f>VLOOKUP($A55,'Data shares'!$C:$FA,97)</f>
        <v>6.3200000000000006E-2</v>
      </c>
      <c r="N55" s="86">
        <f>VLOOKUP($A55,'Data shares'!$C:$FA,78)</f>
        <v>2792400</v>
      </c>
      <c r="O55" s="87">
        <f>VLOOKUP($A55,'Data shares'!$C:$FA,81)</f>
        <v>-3.1399999999999997E-2</v>
      </c>
    </row>
    <row r="56" spans="1:15" x14ac:dyDescent="0.25">
      <c r="A56" s="100" t="str">
        <f>'OI(Value)'!A56</f>
        <v>CYIENT</v>
      </c>
      <c r="B56" s="82">
        <f>VLOOKUP(A56,'Data shares'!$C$2:$CV$216,98,0)</f>
        <v>11398925</v>
      </c>
      <c r="C56" s="82">
        <f>VLOOKUP(A56,'Data shares'!$C$2:$CX$216,100,0)</f>
        <v>2573375</v>
      </c>
      <c r="D56" s="141">
        <f>VLOOKUP(A56,'Data shares'!$C$2:$CY$539,101,0)</f>
        <v>0.29160000000000003</v>
      </c>
      <c r="E56" s="86">
        <f>VLOOKUP($A56,'Data shares'!$C:$FA,74)</f>
        <v>4745125</v>
      </c>
      <c r="F56" s="86">
        <f>VLOOKUP($A56,'Data shares'!$C:$FA,76)</f>
        <v>422875</v>
      </c>
      <c r="G56" s="87">
        <f>VLOOKUP(A56,'Data shares'!$C$2:$CA$216,77,0)</f>
        <v>9.7799999999999998E-2</v>
      </c>
      <c r="H56" s="86">
        <f>VLOOKUP($A56,'Data shares'!$C:$FA,90)</f>
        <v>3945700</v>
      </c>
      <c r="I56" s="86">
        <f>VLOOKUP($A56,'Data shares'!$C:$FA,92)</f>
        <v>995775</v>
      </c>
      <c r="J56" s="87">
        <f>VLOOKUP($A56,'Data shares'!$C:$FA,93)</f>
        <v>0.33760000000000001</v>
      </c>
      <c r="K56" s="86">
        <f>VLOOKUP($A56,'Data shares'!$C:$FA,94)</f>
        <v>2708100</v>
      </c>
      <c r="L56" s="86">
        <f>VLOOKUP($A56,'Data shares'!$C:$FA,96)</f>
        <v>1154725</v>
      </c>
      <c r="M56" s="87">
        <f>VLOOKUP($A56,'Data shares'!$C:$FA,97)</f>
        <v>0.74339999999999995</v>
      </c>
      <c r="N56" s="86">
        <f>VLOOKUP($A56,'Data shares'!$C:$FA,78)</f>
        <v>4065550</v>
      </c>
      <c r="O56" s="87">
        <f>VLOOKUP($A56,'Data shares'!$C:$FA,81)</f>
        <v>4.7600000000000003E-2</v>
      </c>
    </row>
    <row r="57" spans="1:15" x14ac:dyDescent="0.25">
      <c r="A57" s="100" t="str">
        <f>'OI(Value)'!A57</f>
        <v>DABUR</v>
      </c>
      <c r="B57" s="82">
        <f>VLOOKUP(A57,'Data shares'!$C$2:$CV$216,98,0)</f>
        <v>49560000</v>
      </c>
      <c r="C57" s="82">
        <f>VLOOKUP(A57,'Data shares'!$C$2:$CX$216,100,0)</f>
        <v>-3871250</v>
      </c>
      <c r="D57" s="141">
        <f>VLOOKUP(A57,'Data shares'!$C$2:$CY$539,101,0)</f>
        <v>-7.2499999999999995E-2</v>
      </c>
      <c r="E57" s="86">
        <f>VLOOKUP($A57,'Data shares'!$C:$FA,74)</f>
        <v>26800000</v>
      </c>
      <c r="F57" s="86">
        <f>VLOOKUP($A57,'Data shares'!$C:$FA,76)</f>
        <v>-853750</v>
      </c>
      <c r="G57" s="87">
        <f>VLOOKUP(A57,'Data shares'!$C$2:$CA$216,77,0)</f>
        <v>-3.09E-2</v>
      </c>
      <c r="H57" s="86">
        <f>VLOOKUP($A57,'Data shares'!$C:$FA,90)</f>
        <v>14881250</v>
      </c>
      <c r="I57" s="86">
        <f>VLOOKUP($A57,'Data shares'!$C:$FA,92)</f>
        <v>-2408750</v>
      </c>
      <c r="J57" s="87">
        <f>VLOOKUP($A57,'Data shares'!$C:$FA,93)</f>
        <v>-0.13930000000000001</v>
      </c>
      <c r="K57" s="86">
        <f>VLOOKUP($A57,'Data shares'!$C:$FA,94)</f>
        <v>7878750</v>
      </c>
      <c r="L57" s="86">
        <f>VLOOKUP($A57,'Data shares'!$C:$FA,96)</f>
        <v>-608750</v>
      </c>
      <c r="M57" s="87">
        <f>VLOOKUP($A57,'Data shares'!$C:$FA,97)</f>
        <v>-7.17E-2</v>
      </c>
      <c r="N57" s="86">
        <f>VLOOKUP($A57,'Data shares'!$C:$FA,78)</f>
        <v>24666250</v>
      </c>
      <c r="O57" s="87">
        <f>VLOOKUP($A57,'Data shares'!$C:$FA,81)</f>
        <v>-3.61E-2</v>
      </c>
    </row>
    <row r="58" spans="1:15" x14ac:dyDescent="0.25">
      <c r="A58" s="100" t="str">
        <f>'OI(Value)'!A58</f>
        <v>DALBHARAT</v>
      </c>
      <c r="B58" s="82">
        <f>VLOOKUP(A58,'Data shares'!$C$2:$CV$216,98,0)</f>
        <v>3488225</v>
      </c>
      <c r="C58" s="82">
        <f>VLOOKUP(A58,'Data shares'!$C$2:$CX$216,100,0)</f>
        <v>-33150</v>
      </c>
      <c r="D58" s="141">
        <f>VLOOKUP(A58,'Data shares'!$C$2:$CY$539,101,0)</f>
        <v>-9.4000000000000004E-3</v>
      </c>
      <c r="E58" s="86">
        <f>VLOOKUP($A58,'Data shares'!$C:$FA,74)</f>
        <v>2573675</v>
      </c>
      <c r="F58" s="86">
        <f>VLOOKUP($A58,'Data shares'!$C:$FA,76)</f>
        <v>-37700</v>
      </c>
      <c r="G58" s="87">
        <f>VLOOKUP(A58,'Data shares'!$C$2:$CA$216,77,0)</f>
        <v>-1.44E-2</v>
      </c>
      <c r="H58" s="86">
        <f>VLOOKUP($A58,'Data shares'!$C:$FA,90)</f>
        <v>609700</v>
      </c>
      <c r="I58" s="86">
        <f>VLOOKUP($A58,'Data shares'!$C:$FA,92)</f>
        <v>20800</v>
      </c>
      <c r="J58" s="87">
        <f>VLOOKUP($A58,'Data shares'!$C:$FA,93)</f>
        <v>3.5299999999999998E-2</v>
      </c>
      <c r="K58" s="86">
        <f>VLOOKUP($A58,'Data shares'!$C:$FA,94)</f>
        <v>304850</v>
      </c>
      <c r="L58" s="86">
        <f>VLOOKUP($A58,'Data shares'!$C:$FA,96)</f>
        <v>-16250</v>
      </c>
      <c r="M58" s="87">
        <f>VLOOKUP($A58,'Data shares'!$C:$FA,97)</f>
        <v>-5.0599999999999999E-2</v>
      </c>
      <c r="N58" s="86">
        <f>VLOOKUP($A58,'Data shares'!$C:$FA,78)</f>
        <v>2484625</v>
      </c>
      <c r="O58" s="87">
        <f>VLOOKUP($A58,'Data shares'!$C:$FA,81)</f>
        <v>-2.6599999999999999E-2</v>
      </c>
    </row>
    <row r="59" spans="1:15" x14ac:dyDescent="0.25">
      <c r="A59" s="100" t="str">
        <f>'OI(Value)'!A59</f>
        <v>DELHIVERY</v>
      </c>
      <c r="B59" s="82">
        <f>VLOOKUP(A59,'Data shares'!$C$2:$CV$216,98,0)</f>
        <v>38671775</v>
      </c>
      <c r="C59" s="82">
        <f>VLOOKUP(A59,'Data shares'!$C$2:$CX$216,100,0)</f>
        <v>2344750</v>
      </c>
      <c r="D59" s="141">
        <f>VLOOKUP(A59,'Data shares'!$C$2:$CY$539,101,0)</f>
        <v>6.4500000000000002E-2</v>
      </c>
      <c r="E59" s="86">
        <f>VLOOKUP($A59,'Data shares'!$C:$FA,74)</f>
        <v>19629500</v>
      </c>
      <c r="F59" s="86">
        <f>VLOOKUP($A59,'Data shares'!$C:$FA,76)</f>
        <v>-383875</v>
      </c>
      <c r="G59" s="87">
        <f>VLOOKUP(A59,'Data shares'!$C$2:$CA$216,77,0)</f>
        <v>-1.9199999999999998E-2</v>
      </c>
      <c r="H59" s="86">
        <f>VLOOKUP($A59,'Data shares'!$C:$FA,90)</f>
        <v>13288300</v>
      </c>
      <c r="I59" s="86">
        <f>VLOOKUP($A59,'Data shares'!$C:$FA,92)</f>
        <v>2730700</v>
      </c>
      <c r="J59" s="87">
        <f>VLOOKUP($A59,'Data shares'!$C:$FA,93)</f>
        <v>0.2586</v>
      </c>
      <c r="K59" s="86">
        <f>VLOOKUP($A59,'Data shares'!$C:$FA,94)</f>
        <v>5753975</v>
      </c>
      <c r="L59" s="86">
        <f>VLOOKUP($A59,'Data shares'!$C:$FA,96)</f>
        <v>-2075</v>
      </c>
      <c r="M59" s="87">
        <f>VLOOKUP($A59,'Data shares'!$C:$FA,97)</f>
        <v>-4.0000000000000002E-4</v>
      </c>
      <c r="N59" s="86">
        <f>VLOOKUP($A59,'Data shares'!$C:$FA,78)</f>
        <v>18233025</v>
      </c>
      <c r="O59" s="87">
        <f>VLOOKUP($A59,'Data shares'!$C:$FA,81)</f>
        <v>-3.9899999999999998E-2</v>
      </c>
    </row>
    <row r="60" spans="1:15" x14ac:dyDescent="0.25">
      <c r="A60" s="100" t="str">
        <f>'OI(Value)'!A60</f>
        <v>DIVISLAB</v>
      </c>
      <c r="B60" s="82">
        <f>VLOOKUP(A60,'Data shares'!$C$2:$CV$216,98,0)</f>
        <v>6257000</v>
      </c>
      <c r="C60" s="82">
        <f>VLOOKUP(A60,'Data shares'!$C$2:$CX$216,100,0)</f>
        <v>30100</v>
      </c>
      <c r="D60" s="141">
        <f>VLOOKUP(A60,'Data shares'!$C$2:$CY$539,101,0)</f>
        <v>4.7999999999999996E-3</v>
      </c>
      <c r="E60" s="86">
        <f>VLOOKUP($A60,'Data shares'!$C:$FA,74)</f>
        <v>2774200</v>
      </c>
      <c r="F60" s="86">
        <f>VLOOKUP($A60,'Data shares'!$C:$FA,76)</f>
        <v>-38500</v>
      </c>
      <c r="G60" s="87">
        <f>VLOOKUP(A60,'Data shares'!$C$2:$CA$216,77,0)</f>
        <v>-1.37E-2</v>
      </c>
      <c r="H60" s="86">
        <f>VLOOKUP($A60,'Data shares'!$C:$FA,90)</f>
        <v>1751600</v>
      </c>
      <c r="I60" s="86">
        <f>VLOOKUP($A60,'Data shares'!$C:$FA,92)</f>
        <v>88300</v>
      </c>
      <c r="J60" s="87">
        <f>VLOOKUP($A60,'Data shares'!$C:$FA,93)</f>
        <v>5.3100000000000001E-2</v>
      </c>
      <c r="K60" s="86">
        <f>VLOOKUP($A60,'Data shares'!$C:$FA,94)</f>
        <v>1731200</v>
      </c>
      <c r="L60" s="86">
        <f>VLOOKUP($A60,'Data shares'!$C:$FA,96)</f>
        <v>-19700</v>
      </c>
      <c r="M60" s="87">
        <f>VLOOKUP($A60,'Data shares'!$C:$FA,97)</f>
        <v>-1.1299999999999999E-2</v>
      </c>
      <c r="N60" s="86">
        <f>VLOOKUP($A60,'Data shares'!$C:$FA,78)</f>
        <v>2611500</v>
      </c>
      <c r="O60" s="87">
        <f>VLOOKUP($A60,'Data shares'!$C:$FA,81)</f>
        <v>-1.5900000000000001E-2</v>
      </c>
    </row>
    <row r="61" spans="1:15" x14ac:dyDescent="0.25">
      <c r="A61" s="100" t="str">
        <f>'OI(Value)'!A61</f>
        <v>DIXON</v>
      </c>
      <c r="B61" s="82">
        <f>VLOOKUP(A61,'Data shares'!$C$2:$CV$216,98,0)</f>
        <v>3578700</v>
      </c>
      <c r="C61" s="82">
        <f>VLOOKUP(A61,'Data shares'!$C$2:$CX$216,100,0)</f>
        <v>25700</v>
      </c>
      <c r="D61" s="141">
        <f>VLOOKUP(A61,'Data shares'!$C$2:$CY$539,101,0)</f>
        <v>7.1999999999999998E-3</v>
      </c>
      <c r="E61" s="86">
        <f>VLOOKUP($A61,'Data shares'!$C:$FA,74)</f>
        <v>1528600</v>
      </c>
      <c r="F61" s="86">
        <f>VLOOKUP($A61,'Data shares'!$C:$FA,76)</f>
        <v>6400</v>
      </c>
      <c r="G61" s="87">
        <f>VLOOKUP(A61,'Data shares'!$C$2:$CA$216,77,0)</f>
        <v>4.1999999999999997E-3</v>
      </c>
      <c r="H61" s="86">
        <f>VLOOKUP($A61,'Data shares'!$C:$FA,90)</f>
        <v>1236750</v>
      </c>
      <c r="I61" s="86">
        <f>VLOOKUP($A61,'Data shares'!$C:$FA,92)</f>
        <v>-2800</v>
      </c>
      <c r="J61" s="87">
        <f>VLOOKUP($A61,'Data shares'!$C:$FA,93)</f>
        <v>-2.3E-3</v>
      </c>
      <c r="K61" s="86">
        <f>VLOOKUP($A61,'Data shares'!$C:$FA,94)</f>
        <v>813350</v>
      </c>
      <c r="L61" s="86">
        <f>VLOOKUP($A61,'Data shares'!$C:$FA,96)</f>
        <v>22100</v>
      </c>
      <c r="M61" s="87">
        <f>VLOOKUP($A61,'Data shares'!$C:$FA,97)</f>
        <v>2.7900000000000001E-2</v>
      </c>
      <c r="N61" s="86">
        <f>VLOOKUP($A61,'Data shares'!$C:$FA,78)</f>
        <v>1400950</v>
      </c>
      <c r="O61" s="87">
        <f>VLOOKUP($A61,'Data shares'!$C:$FA,81)</f>
        <v>-4.7999999999999996E-3</v>
      </c>
    </row>
    <row r="62" spans="1:15" x14ac:dyDescent="0.25">
      <c r="A62" s="100" t="str">
        <f>'OI(Value)'!A62</f>
        <v>DLF</v>
      </c>
      <c r="B62" s="82">
        <f>VLOOKUP(A62,'Data shares'!$C$2:$CV$216,98,0)</f>
        <v>63087750</v>
      </c>
      <c r="C62" s="82">
        <f>VLOOKUP(A62,'Data shares'!$C$2:$CX$216,100,0)</f>
        <v>-1173975</v>
      </c>
      <c r="D62" s="141">
        <f>VLOOKUP(A62,'Data shares'!$C$2:$CY$539,101,0)</f>
        <v>-1.83E-2</v>
      </c>
      <c r="E62" s="86">
        <f>VLOOKUP($A62,'Data shares'!$C:$FA,74)</f>
        <v>38159550</v>
      </c>
      <c r="F62" s="86">
        <f>VLOOKUP($A62,'Data shares'!$C:$FA,76)</f>
        <v>-927300</v>
      </c>
      <c r="G62" s="87">
        <f>VLOOKUP(A62,'Data shares'!$C$2:$CA$216,77,0)</f>
        <v>-2.3699999999999999E-2</v>
      </c>
      <c r="H62" s="86">
        <f>VLOOKUP($A62,'Data shares'!$C:$FA,90)</f>
        <v>14650350</v>
      </c>
      <c r="I62" s="86">
        <f>VLOOKUP($A62,'Data shares'!$C:$FA,92)</f>
        <v>-260700</v>
      </c>
      <c r="J62" s="87">
        <f>VLOOKUP($A62,'Data shares'!$C:$FA,93)</f>
        <v>-1.7500000000000002E-2</v>
      </c>
      <c r="K62" s="86">
        <f>VLOOKUP($A62,'Data shares'!$C:$FA,94)</f>
        <v>10277850</v>
      </c>
      <c r="L62" s="86">
        <f>VLOOKUP($A62,'Data shares'!$C:$FA,96)</f>
        <v>14025</v>
      </c>
      <c r="M62" s="87">
        <f>VLOOKUP($A62,'Data shares'!$C:$FA,97)</f>
        <v>1.4E-3</v>
      </c>
      <c r="N62" s="86">
        <f>VLOOKUP($A62,'Data shares'!$C:$FA,78)</f>
        <v>36464175</v>
      </c>
      <c r="O62" s="87">
        <f>VLOOKUP($A62,'Data shares'!$C:$FA,81)</f>
        <v>-2.75E-2</v>
      </c>
    </row>
    <row r="63" spans="1:15" x14ac:dyDescent="0.25">
      <c r="A63" s="100" t="str">
        <f>'OI(Value)'!A63</f>
        <v>DMART</v>
      </c>
      <c r="B63" s="82">
        <f>VLOOKUP(A63,'Data shares'!$C$2:$CV$216,98,0)</f>
        <v>11278950</v>
      </c>
      <c r="C63" s="82">
        <f>VLOOKUP(A63,'Data shares'!$C$2:$CX$216,100,0)</f>
        <v>-608850</v>
      </c>
      <c r="D63" s="141">
        <f>VLOOKUP(A63,'Data shares'!$C$2:$CY$539,101,0)</f>
        <v>-5.1200000000000002E-2</v>
      </c>
      <c r="E63" s="86">
        <f>VLOOKUP($A63,'Data shares'!$C:$FA,74)</f>
        <v>6735300</v>
      </c>
      <c r="F63" s="86">
        <f>VLOOKUP($A63,'Data shares'!$C:$FA,76)</f>
        <v>15450</v>
      </c>
      <c r="G63" s="87">
        <f>VLOOKUP(A63,'Data shares'!$C$2:$CA$216,77,0)</f>
        <v>2.3E-3</v>
      </c>
      <c r="H63" s="86">
        <f>VLOOKUP($A63,'Data shares'!$C:$FA,90)</f>
        <v>3187200</v>
      </c>
      <c r="I63" s="86">
        <f>VLOOKUP($A63,'Data shares'!$C:$FA,92)</f>
        <v>-537150</v>
      </c>
      <c r="J63" s="87">
        <f>VLOOKUP($A63,'Data shares'!$C:$FA,93)</f>
        <v>-0.14419999999999999</v>
      </c>
      <c r="K63" s="86">
        <f>VLOOKUP($A63,'Data shares'!$C:$FA,94)</f>
        <v>1356450</v>
      </c>
      <c r="L63" s="86">
        <f>VLOOKUP($A63,'Data shares'!$C:$FA,96)</f>
        <v>-87150</v>
      </c>
      <c r="M63" s="87">
        <f>VLOOKUP($A63,'Data shares'!$C:$FA,97)</f>
        <v>-6.0400000000000002E-2</v>
      </c>
      <c r="N63" s="86">
        <f>VLOOKUP($A63,'Data shares'!$C:$FA,78)</f>
        <v>6110550</v>
      </c>
      <c r="O63" s="87">
        <f>VLOOKUP($A63,'Data shares'!$C:$FA,81)</f>
        <v>-1.6299999999999999E-2</v>
      </c>
    </row>
    <row r="64" spans="1:15" x14ac:dyDescent="0.25">
      <c r="A64" s="100" t="str">
        <f>'OI(Value)'!A64</f>
        <v>DRREDDY</v>
      </c>
      <c r="B64" s="82">
        <f>VLOOKUP(A64,'Data shares'!$C$2:$CV$216,98,0)</f>
        <v>23052500</v>
      </c>
      <c r="C64" s="82">
        <f>VLOOKUP(A64,'Data shares'!$C$2:$CX$216,100,0)</f>
        <v>325625</v>
      </c>
      <c r="D64" s="141">
        <f>VLOOKUP(A64,'Data shares'!$C$2:$CY$539,101,0)</f>
        <v>1.43E-2</v>
      </c>
      <c r="E64" s="86">
        <f>VLOOKUP($A64,'Data shares'!$C:$FA,74)</f>
        <v>13080000</v>
      </c>
      <c r="F64" s="86">
        <f>VLOOKUP($A64,'Data shares'!$C:$FA,76)</f>
        <v>213125</v>
      </c>
      <c r="G64" s="87">
        <f>VLOOKUP(A64,'Data shares'!$C$2:$CA$216,77,0)</f>
        <v>1.66E-2</v>
      </c>
      <c r="H64" s="86">
        <f>VLOOKUP($A64,'Data shares'!$C:$FA,90)</f>
        <v>6705000</v>
      </c>
      <c r="I64" s="86">
        <f>VLOOKUP($A64,'Data shares'!$C:$FA,92)</f>
        <v>90625</v>
      </c>
      <c r="J64" s="87">
        <f>VLOOKUP($A64,'Data shares'!$C:$FA,93)</f>
        <v>1.37E-2</v>
      </c>
      <c r="K64" s="86">
        <f>VLOOKUP($A64,'Data shares'!$C:$FA,94)</f>
        <v>3267500</v>
      </c>
      <c r="L64" s="86">
        <f>VLOOKUP($A64,'Data shares'!$C:$FA,96)</f>
        <v>21875</v>
      </c>
      <c r="M64" s="87">
        <f>VLOOKUP($A64,'Data shares'!$C:$FA,97)</f>
        <v>6.7000000000000002E-3</v>
      </c>
      <c r="N64" s="86">
        <f>VLOOKUP($A64,'Data shares'!$C:$FA,78)</f>
        <v>12323750</v>
      </c>
      <c r="O64" s="87">
        <f>VLOOKUP($A64,'Data shares'!$C:$FA,81)</f>
        <v>4.7000000000000002E-3</v>
      </c>
    </row>
    <row r="65" spans="1:15" x14ac:dyDescent="0.25">
      <c r="A65" s="100" t="str">
        <f>'OI(Value)'!A65</f>
        <v>EICHERMOT</v>
      </c>
      <c r="B65" s="82">
        <f>VLOOKUP(A65,'Data shares'!$C$2:$CV$216,98,0)</f>
        <v>7069475</v>
      </c>
      <c r="C65" s="82">
        <f>VLOOKUP(A65,'Data shares'!$C$2:$CX$216,100,0)</f>
        <v>-209475</v>
      </c>
      <c r="D65" s="141">
        <f>VLOOKUP(A65,'Data shares'!$C$2:$CY$539,101,0)</f>
        <v>-2.8799999999999999E-2</v>
      </c>
      <c r="E65" s="86">
        <f>VLOOKUP($A65,'Data shares'!$C:$FA,74)</f>
        <v>3431400</v>
      </c>
      <c r="F65" s="86">
        <f>VLOOKUP($A65,'Data shares'!$C:$FA,76)</f>
        <v>-52850</v>
      </c>
      <c r="G65" s="87">
        <f>VLOOKUP(A65,'Data shares'!$C$2:$CA$216,77,0)</f>
        <v>-1.52E-2</v>
      </c>
      <c r="H65" s="86">
        <f>VLOOKUP($A65,'Data shares'!$C:$FA,90)</f>
        <v>2074100</v>
      </c>
      <c r="I65" s="86">
        <f>VLOOKUP($A65,'Data shares'!$C:$FA,92)</f>
        <v>-175000</v>
      </c>
      <c r="J65" s="87">
        <f>VLOOKUP($A65,'Data shares'!$C:$FA,93)</f>
        <v>-7.7799999999999994E-2</v>
      </c>
      <c r="K65" s="86">
        <f>VLOOKUP($A65,'Data shares'!$C:$FA,94)</f>
        <v>1563975</v>
      </c>
      <c r="L65" s="86">
        <f>VLOOKUP($A65,'Data shares'!$C:$FA,96)</f>
        <v>18375</v>
      </c>
      <c r="M65" s="87">
        <f>VLOOKUP($A65,'Data shares'!$C:$FA,97)</f>
        <v>1.1900000000000001E-2</v>
      </c>
      <c r="N65" s="86">
        <f>VLOOKUP($A65,'Data shares'!$C:$FA,78)</f>
        <v>3311350</v>
      </c>
      <c r="O65" s="87">
        <f>VLOOKUP($A65,'Data shares'!$C:$FA,81)</f>
        <v>-1.8100000000000002E-2</v>
      </c>
    </row>
    <row r="66" spans="1:15" x14ac:dyDescent="0.25">
      <c r="A66" s="100" t="str">
        <f>'OI(Value)'!A66</f>
        <v>ETERNAL</v>
      </c>
      <c r="B66" s="82">
        <f>VLOOKUP(A66,'Data shares'!$C$2:$CV$216,98,0)</f>
        <v>366344750</v>
      </c>
      <c r="C66" s="82">
        <f>VLOOKUP(A66,'Data shares'!$C$2:$CX$216,100,0)</f>
        <v>31702025</v>
      </c>
      <c r="D66" s="141">
        <f>VLOOKUP(A66,'Data shares'!$C$2:$CY$539,101,0)</f>
        <v>9.4700000000000006E-2</v>
      </c>
      <c r="E66" s="86">
        <f>VLOOKUP($A66,'Data shares'!$C:$FA,74)</f>
        <v>219700150</v>
      </c>
      <c r="F66" s="86">
        <f>VLOOKUP($A66,'Data shares'!$C:$FA,76)</f>
        <v>-11732150</v>
      </c>
      <c r="G66" s="87">
        <f>VLOOKUP(A66,'Data shares'!$C$2:$CA$216,77,0)</f>
        <v>-5.0700000000000002E-2</v>
      </c>
      <c r="H66" s="86">
        <f>VLOOKUP($A66,'Data shares'!$C:$FA,90)</f>
        <v>90360350</v>
      </c>
      <c r="I66" s="86">
        <f>VLOOKUP($A66,'Data shares'!$C:$FA,92)</f>
        <v>29859025</v>
      </c>
      <c r="J66" s="87">
        <f>VLOOKUP($A66,'Data shares'!$C:$FA,93)</f>
        <v>0.49349999999999999</v>
      </c>
      <c r="K66" s="86">
        <f>VLOOKUP($A66,'Data shares'!$C:$FA,94)</f>
        <v>56284250</v>
      </c>
      <c r="L66" s="86">
        <f>VLOOKUP($A66,'Data shares'!$C:$FA,96)</f>
        <v>13575150</v>
      </c>
      <c r="M66" s="87">
        <f>VLOOKUP($A66,'Data shares'!$C:$FA,97)</f>
        <v>0.31790000000000002</v>
      </c>
      <c r="N66" s="86">
        <f>VLOOKUP($A66,'Data shares'!$C:$FA,78)</f>
        <v>210931350</v>
      </c>
      <c r="O66" s="87">
        <f>VLOOKUP($A66,'Data shares'!$C:$FA,81)</f>
        <v>-7.1099999999999997E-2</v>
      </c>
    </row>
    <row r="67" spans="1:15" x14ac:dyDescent="0.25">
      <c r="A67" s="100" t="str">
        <f>'OI(Value)'!A67</f>
        <v>EXIDEIND</v>
      </c>
      <c r="B67" s="82">
        <f>VLOOKUP(A67,'Data shares'!$C$2:$CV$216,98,0)</f>
        <v>52628400</v>
      </c>
      <c r="C67" s="82">
        <f>VLOOKUP(A67,'Data shares'!$C$2:$CX$216,100,0)</f>
        <v>-253800</v>
      </c>
      <c r="D67" s="141">
        <f>VLOOKUP(A67,'Data shares'!$C$2:$CY$539,101,0)</f>
        <v>-4.7999999999999996E-3</v>
      </c>
      <c r="E67" s="86">
        <f>VLOOKUP($A67,'Data shares'!$C:$FA,74)</f>
        <v>30839400</v>
      </c>
      <c r="F67" s="86">
        <f>VLOOKUP($A67,'Data shares'!$C:$FA,76)</f>
        <v>-79200</v>
      </c>
      <c r="G67" s="87">
        <f>VLOOKUP(A67,'Data shares'!$C$2:$CA$216,77,0)</f>
        <v>-2.5999999999999999E-3</v>
      </c>
      <c r="H67" s="86">
        <f>VLOOKUP($A67,'Data shares'!$C:$FA,90)</f>
        <v>13030200</v>
      </c>
      <c r="I67" s="86">
        <f>VLOOKUP($A67,'Data shares'!$C:$FA,92)</f>
        <v>-378000</v>
      </c>
      <c r="J67" s="87">
        <f>VLOOKUP($A67,'Data shares'!$C:$FA,93)</f>
        <v>-2.8199999999999999E-2</v>
      </c>
      <c r="K67" s="86">
        <f>VLOOKUP($A67,'Data shares'!$C:$FA,94)</f>
        <v>8758800</v>
      </c>
      <c r="L67" s="86">
        <f>VLOOKUP($A67,'Data shares'!$C:$FA,96)</f>
        <v>203400</v>
      </c>
      <c r="M67" s="87">
        <f>VLOOKUP($A67,'Data shares'!$C:$FA,97)</f>
        <v>2.3800000000000002E-2</v>
      </c>
      <c r="N67" s="86">
        <f>VLOOKUP($A67,'Data shares'!$C:$FA,78)</f>
        <v>28326600</v>
      </c>
      <c r="O67" s="87">
        <f>VLOOKUP($A67,'Data shares'!$C:$FA,81)</f>
        <v>-1.8100000000000002E-2</v>
      </c>
    </row>
    <row r="68" spans="1:15" x14ac:dyDescent="0.25">
      <c r="A68" s="100" t="str">
        <f>'OI(Value)'!A68</f>
        <v>FEDERALBNK</v>
      </c>
      <c r="B68" s="82">
        <f>VLOOKUP(A68,'Data shares'!$C$2:$CV$216,98,0)</f>
        <v>214680000</v>
      </c>
      <c r="C68" s="82">
        <f>VLOOKUP(A68,'Data shares'!$C$2:$CX$216,100,0)</f>
        <v>2795000</v>
      </c>
      <c r="D68" s="141">
        <f>VLOOKUP(A68,'Data shares'!$C$2:$CY$539,101,0)</f>
        <v>1.32E-2</v>
      </c>
      <c r="E68" s="86">
        <f>VLOOKUP($A68,'Data shares'!$C:$FA,74)</f>
        <v>100940000</v>
      </c>
      <c r="F68" s="86">
        <f>VLOOKUP($A68,'Data shares'!$C:$FA,76)</f>
        <v>2095000</v>
      </c>
      <c r="G68" s="87">
        <f>VLOOKUP(A68,'Data shares'!$C$2:$CA$216,77,0)</f>
        <v>2.12E-2</v>
      </c>
      <c r="H68" s="86">
        <f>VLOOKUP($A68,'Data shares'!$C:$FA,90)</f>
        <v>68715000</v>
      </c>
      <c r="I68" s="86">
        <f>VLOOKUP($A68,'Data shares'!$C:$FA,92)</f>
        <v>285000</v>
      </c>
      <c r="J68" s="87">
        <f>VLOOKUP($A68,'Data shares'!$C:$FA,93)</f>
        <v>4.1999999999999997E-3</v>
      </c>
      <c r="K68" s="86">
        <f>VLOOKUP($A68,'Data shares'!$C:$FA,94)</f>
        <v>45025000</v>
      </c>
      <c r="L68" s="86">
        <f>VLOOKUP($A68,'Data shares'!$C:$FA,96)</f>
        <v>415000</v>
      </c>
      <c r="M68" s="87">
        <f>VLOOKUP($A68,'Data shares'!$C:$FA,97)</f>
        <v>9.2999999999999992E-3</v>
      </c>
      <c r="N68" s="86">
        <f>VLOOKUP($A68,'Data shares'!$C:$FA,78)</f>
        <v>93820000</v>
      </c>
      <c r="O68" s="87">
        <f>VLOOKUP($A68,'Data shares'!$C:$FA,81)</f>
        <v>8.2000000000000007E-3</v>
      </c>
    </row>
    <row r="69" spans="1:15" x14ac:dyDescent="0.25">
      <c r="A69" s="100" t="str">
        <f>'OI(Value)'!A69</f>
        <v>FINNIFTY</v>
      </c>
      <c r="B69" s="82">
        <f>VLOOKUP(A69,'Data shares'!$C$2:$CV$216,98,0)</f>
        <v>2049125</v>
      </c>
      <c r="C69" s="82">
        <f>VLOOKUP(A69,'Data shares'!$C$2:$CX$216,100,0)</f>
        <v>-47905</v>
      </c>
      <c r="D69" s="141">
        <f>VLOOKUP(A69,'Data shares'!$C$2:$CY$539,101,0)</f>
        <v>-2.2800000000000001E-2</v>
      </c>
      <c r="E69" s="86">
        <f>VLOOKUP($A69,'Data shares'!$C:$FA,74)</f>
        <v>43290</v>
      </c>
      <c r="F69" s="86">
        <f>VLOOKUP($A69,'Data shares'!$C:$FA,76)</f>
        <v>845</v>
      </c>
      <c r="G69" s="87">
        <f>VLOOKUP(A69,'Data shares'!$C$2:$CA$216,77,0)</f>
        <v>1.9900000000000001E-2</v>
      </c>
      <c r="H69" s="86">
        <f>VLOOKUP($A69,'Data shares'!$C:$FA,90)</f>
        <v>1034280</v>
      </c>
      <c r="I69" s="86">
        <f>VLOOKUP($A69,'Data shares'!$C:$FA,92)</f>
        <v>-106080</v>
      </c>
      <c r="J69" s="87">
        <f>VLOOKUP($A69,'Data shares'!$C:$FA,93)</f>
        <v>-9.2999999999999999E-2</v>
      </c>
      <c r="K69" s="86">
        <f>VLOOKUP($A69,'Data shares'!$C:$FA,94)</f>
        <v>971555</v>
      </c>
      <c r="L69" s="86">
        <f>VLOOKUP($A69,'Data shares'!$C:$FA,96)</f>
        <v>57330</v>
      </c>
      <c r="M69" s="87">
        <f>VLOOKUP($A69,'Data shares'!$C:$FA,97)</f>
        <v>6.2700000000000006E-2</v>
      </c>
      <c r="N69" s="86">
        <f>VLOOKUP($A69,'Data shares'!$C:$FA,78)</f>
        <v>40495</v>
      </c>
      <c r="O69" s="87">
        <f>VLOOKUP($A69,'Data shares'!$C:$FA,81)</f>
        <v>1.14E-2</v>
      </c>
    </row>
    <row r="70" spans="1:15" x14ac:dyDescent="0.25">
      <c r="A70" s="100" t="str">
        <f>'OI(Value)'!A70</f>
        <v>FORTIS</v>
      </c>
      <c r="B70" s="82">
        <f>VLOOKUP(A70,'Data shares'!$C$2:$CV$216,98,0)</f>
        <v>15782875</v>
      </c>
      <c r="C70" s="82">
        <f>VLOOKUP(A70,'Data shares'!$C$2:$CX$216,100,0)</f>
        <v>-229400</v>
      </c>
      <c r="D70" s="141">
        <f>VLOOKUP(A70,'Data shares'!$C$2:$CY$539,101,0)</f>
        <v>-1.43E-2</v>
      </c>
      <c r="E70" s="86">
        <f>VLOOKUP($A70,'Data shares'!$C:$FA,74)</f>
        <v>8349075</v>
      </c>
      <c r="F70" s="86">
        <f>VLOOKUP($A70,'Data shares'!$C:$FA,76)</f>
        <v>13175</v>
      </c>
      <c r="G70" s="87">
        <f>VLOOKUP(A70,'Data shares'!$C$2:$CA$216,77,0)</f>
        <v>1.6000000000000001E-3</v>
      </c>
      <c r="H70" s="86">
        <f>VLOOKUP($A70,'Data shares'!$C:$FA,90)</f>
        <v>4061000</v>
      </c>
      <c r="I70" s="86">
        <f>VLOOKUP($A70,'Data shares'!$C:$FA,92)</f>
        <v>-220875</v>
      </c>
      <c r="J70" s="87">
        <f>VLOOKUP($A70,'Data shares'!$C:$FA,93)</f>
        <v>-5.16E-2</v>
      </c>
      <c r="K70" s="86">
        <f>VLOOKUP($A70,'Data shares'!$C:$FA,94)</f>
        <v>3372800</v>
      </c>
      <c r="L70" s="86">
        <f>VLOOKUP($A70,'Data shares'!$C:$FA,96)</f>
        <v>-21700</v>
      </c>
      <c r="M70" s="87">
        <f>VLOOKUP($A70,'Data shares'!$C:$FA,97)</f>
        <v>-6.4000000000000003E-3</v>
      </c>
      <c r="N70" s="86">
        <f>VLOOKUP($A70,'Data shares'!$C:$FA,78)</f>
        <v>7823625</v>
      </c>
      <c r="O70" s="87">
        <f>VLOOKUP($A70,'Data shares'!$C:$FA,81)</f>
        <v>-5.0000000000000001E-3</v>
      </c>
    </row>
    <row r="71" spans="1:15" x14ac:dyDescent="0.25">
      <c r="A71" s="100" t="str">
        <f>'OI(Value)'!A71</f>
        <v>GAIL</v>
      </c>
      <c r="B71" s="82">
        <f>VLOOKUP(A71,'Data shares'!$C$2:$CV$216,98,0)</f>
        <v>162149400</v>
      </c>
      <c r="C71" s="82">
        <f>VLOOKUP(A71,'Data shares'!$C$2:$CX$216,100,0)</f>
        <v>-4425750</v>
      </c>
      <c r="D71" s="141">
        <f>VLOOKUP(A71,'Data shares'!$C$2:$CY$539,101,0)</f>
        <v>-2.6599999999999999E-2</v>
      </c>
      <c r="E71" s="86">
        <f>VLOOKUP($A71,'Data shares'!$C:$FA,74)</f>
        <v>96056100</v>
      </c>
      <c r="F71" s="86">
        <f>VLOOKUP($A71,'Data shares'!$C:$FA,76)</f>
        <v>-1930950</v>
      </c>
      <c r="G71" s="87">
        <f>VLOOKUP(A71,'Data shares'!$C$2:$CA$216,77,0)</f>
        <v>-1.9699999999999999E-2</v>
      </c>
      <c r="H71" s="86">
        <f>VLOOKUP($A71,'Data shares'!$C:$FA,90)</f>
        <v>41085450</v>
      </c>
      <c r="I71" s="86">
        <f>VLOOKUP($A71,'Data shares'!$C:$FA,92)</f>
        <v>-2075850</v>
      </c>
      <c r="J71" s="87">
        <f>VLOOKUP($A71,'Data shares'!$C:$FA,93)</f>
        <v>-4.8099999999999997E-2</v>
      </c>
      <c r="K71" s="86">
        <f>VLOOKUP($A71,'Data shares'!$C:$FA,94)</f>
        <v>25007850</v>
      </c>
      <c r="L71" s="86">
        <f>VLOOKUP($A71,'Data shares'!$C:$FA,96)</f>
        <v>-418950</v>
      </c>
      <c r="M71" s="87">
        <f>VLOOKUP($A71,'Data shares'!$C:$FA,97)</f>
        <v>-1.6500000000000001E-2</v>
      </c>
      <c r="N71" s="86">
        <f>VLOOKUP($A71,'Data shares'!$C:$FA,78)</f>
        <v>89671050</v>
      </c>
      <c r="O71" s="87">
        <f>VLOOKUP($A71,'Data shares'!$C:$FA,81)</f>
        <v>-2.12E-2</v>
      </c>
    </row>
    <row r="72" spans="1:15" x14ac:dyDescent="0.25">
      <c r="A72" s="100" t="str">
        <f>'OI(Value)'!A72</f>
        <v>GLENMARK</v>
      </c>
      <c r="B72" s="82">
        <f>VLOOKUP(A72,'Data shares'!$C$2:$CV$216,98,0)</f>
        <v>11821500</v>
      </c>
      <c r="C72" s="82">
        <f>VLOOKUP(A72,'Data shares'!$C$2:$CX$216,100,0)</f>
        <v>301125</v>
      </c>
      <c r="D72" s="141">
        <f>VLOOKUP(A72,'Data shares'!$C$2:$CY$539,101,0)</f>
        <v>2.6100000000000002E-2</v>
      </c>
      <c r="E72" s="86">
        <f>VLOOKUP($A72,'Data shares'!$C:$FA,74)</f>
        <v>7991625</v>
      </c>
      <c r="F72" s="86">
        <f>VLOOKUP($A72,'Data shares'!$C:$FA,76)</f>
        <v>115875</v>
      </c>
      <c r="G72" s="87">
        <f>VLOOKUP(A72,'Data shares'!$C$2:$CA$216,77,0)</f>
        <v>1.47E-2</v>
      </c>
      <c r="H72" s="86">
        <f>VLOOKUP($A72,'Data shares'!$C:$FA,90)</f>
        <v>2598000</v>
      </c>
      <c r="I72" s="86">
        <f>VLOOKUP($A72,'Data shares'!$C:$FA,92)</f>
        <v>216750</v>
      </c>
      <c r="J72" s="87">
        <f>VLOOKUP($A72,'Data shares'!$C:$FA,93)</f>
        <v>9.0999999999999998E-2</v>
      </c>
      <c r="K72" s="86">
        <f>VLOOKUP($A72,'Data shares'!$C:$FA,94)</f>
        <v>1231875</v>
      </c>
      <c r="L72" s="86">
        <f>VLOOKUP($A72,'Data shares'!$C:$FA,96)</f>
        <v>-31500</v>
      </c>
      <c r="M72" s="87">
        <f>VLOOKUP($A72,'Data shares'!$C:$FA,97)</f>
        <v>-2.4899999999999999E-2</v>
      </c>
      <c r="N72" s="86">
        <f>VLOOKUP($A72,'Data shares'!$C:$FA,78)</f>
        <v>7700625</v>
      </c>
      <c r="O72" s="87">
        <f>VLOOKUP($A72,'Data shares'!$C:$FA,81)</f>
        <v>-4.4999999999999997E-3</v>
      </c>
    </row>
    <row r="73" spans="1:15" x14ac:dyDescent="0.25">
      <c r="A73" s="100" t="str">
        <f>'OI(Value)'!A73</f>
        <v>GMRAIRPORT</v>
      </c>
      <c r="B73" s="82">
        <f>VLOOKUP(A73,'Data shares'!$C$2:$CV$216,98,0)</f>
        <v>341077500</v>
      </c>
      <c r="C73" s="82">
        <f>VLOOKUP(A73,'Data shares'!$C$2:$CX$216,100,0)</f>
        <v>4282650</v>
      </c>
      <c r="D73" s="141">
        <f>VLOOKUP(A73,'Data shares'!$C$2:$CY$539,101,0)</f>
        <v>1.2699999999999999E-2</v>
      </c>
      <c r="E73" s="86">
        <f>VLOOKUP($A73,'Data shares'!$C:$FA,74)</f>
        <v>222195600</v>
      </c>
      <c r="F73" s="86">
        <f>VLOOKUP($A73,'Data shares'!$C:$FA,76)</f>
        <v>-167400</v>
      </c>
      <c r="G73" s="87">
        <f>VLOOKUP(A73,'Data shares'!$C$2:$CA$216,77,0)</f>
        <v>-8.0000000000000004E-4</v>
      </c>
      <c r="H73" s="86">
        <f>VLOOKUP($A73,'Data shares'!$C:$FA,90)</f>
        <v>79487100</v>
      </c>
      <c r="I73" s="86">
        <f>VLOOKUP($A73,'Data shares'!$C:$FA,92)</f>
        <v>2008800</v>
      </c>
      <c r="J73" s="87">
        <f>VLOOKUP($A73,'Data shares'!$C:$FA,93)</f>
        <v>2.5899999999999999E-2</v>
      </c>
      <c r="K73" s="86">
        <f>VLOOKUP($A73,'Data shares'!$C:$FA,94)</f>
        <v>39394800</v>
      </c>
      <c r="L73" s="86">
        <f>VLOOKUP($A73,'Data shares'!$C:$FA,96)</f>
        <v>2441250</v>
      </c>
      <c r="M73" s="87">
        <f>VLOOKUP($A73,'Data shares'!$C:$FA,97)</f>
        <v>6.6100000000000006E-2</v>
      </c>
      <c r="N73" s="86">
        <f>VLOOKUP($A73,'Data shares'!$C:$FA,78)</f>
        <v>205364925</v>
      </c>
      <c r="O73" s="87">
        <f>VLOOKUP($A73,'Data shares'!$C:$FA,81)</f>
        <v>-5.7000000000000002E-3</v>
      </c>
    </row>
    <row r="74" spans="1:15" x14ac:dyDescent="0.25">
      <c r="A74" s="100" t="str">
        <f>'OI(Value)'!A74</f>
        <v>GODREJCP</v>
      </c>
      <c r="B74" s="82">
        <f>VLOOKUP(A74,'Data shares'!$C$2:$CV$216,98,0)</f>
        <v>19329500</v>
      </c>
      <c r="C74" s="82">
        <f>VLOOKUP(A74,'Data shares'!$C$2:$CX$216,100,0)</f>
        <v>746000</v>
      </c>
      <c r="D74" s="141">
        <f>VLOOKUP(A74,'Data shares'!$C$2:$CY$539,101,0)</f>
        <v>4.0099999999999997E-2</v>
      </c>
      <c r="E74" s="86">
        <f>VLOOKUP($A74,'Data shares'!$C:$FA,74)</f>
        <v>12464500</v>
      </c>
      <c r="F74" s="86">
        <f>VLOOKUP($A74,'Data shares'!$C:$FA,76)</f>
        <v>259000</v>
      </c>
      <c r="G74" s="87">
        <f>VLOOKUP(A74,'Data shares'!$C$2:$CA$216,77,0)</f>
        <v>2.12E-2</v>
      </c>
      <c r="H74" s="86">
        <f>VLOOKUP($A74,'Data shares'!$C:$FA,90)</f>
        <v>4730500</v>
      </c>
      <c r="I74" s="86">
        <f>VLOOKUP($A74,'Data shares'!$C:$FA,92)</f>
        <v>489000</v>
      </c>
      <c r="J74" s="87">
        <f>VLOOKUP($A74,'Data shares'!$C:$FA,93)</f>
        <v>0.1153</v>
      </c>
      <c r="K74" s="86">
        <f>VLOOKUP($A74,'Data shares'!$C:$FA,94)</f>
        <v>2134500</v>
      </c>
      <c r="L74" s="86">
        <f>VLOOKUP($A74,'Data shares'!$C:$FA,96)</f>
        <v>-2000</v>
      </c>
      <c r="M74" s="87">
        <f>VLOOKUP($A74,'Data shares'!$C:$FA,97)</f>
        <v>-8.9999999999999998E-4</v>
      </c>
      <c r="N74" s="86">
        <f>VLOOKUP($A74,'Data shares'!$C:$FA,78)</f>
        <v>11782000</v>
      </c>
      <c r="O74" s="87">
        <f>VLOOKUP($A74,'Data shares'!$C:$FA,81)</f>
        <v>1.4999999999999999E-2</v>
      </c>
    </row>
    <row r="75" spans="1:15" x14ac:dyDescent="0.25">
      <c r="A75" s="100" t="str">
        <f>'OI(Value)'!A75</f>
        <v>GODREJPROP</v>
      </c>
      <c r="B75" s="82">
        <f>VLOOKUP(A75,'Data shares'!$C$2:$CV$216,98,0)</f>
        <v>14248850</v>
      </c>
      <c r="C75" s="82">
        <f>VLOOKUP(A75,'Data shares'!$C$2:$CX$216,100,0)</f>
        <v>-110000</v>
      </c>
      <c r="D75" s="141">
        <f>VLOOKUP(A75,'Data shares'!$C$2:$CY$539,101,0)</f>
        <v>-7.7000000000000002E-3</v>
      </c>
      <c r="E75" s="86">
        <f>VLOOKUP($A75,'Data shares'!$C:$FA,74)</f>
        <v>9054100</v>
      </c>
      <c r="F75" s="86">
        <f>VLOOKUP($A75,'Data shares'!$C:$FA,76)</f>
        <v>-253825</v>
      </c>
      <c r="G75" s="87">
        <f>VLOOKUP(A75,'Data shares'!$C$2:$CA$216,77,0)</f>
        <v>-2.7300000000000001E-2</v>
      </c>
      <c r="H75" s="86">
        <f>VLOOKUP($A75,'Data shares'!$C:$FA,90)</f>
        <v>2986225</v>
      </c>
      <c r="I75" s="86">
        <f>VLOOKUP($A75,'Data shares'!$C:$FA,92)</f>
        <v>-74525</v>
      </c>
      <c r="J75" s="87">
        <f>VLOOKUP($A75,'Data shares'!$C:$FA,93)</f>
        <v>-2.4299999999999999E-2</v>
      </c>
      <c r="K75" s="86">
        <f>VLOOKUP($A75,'Data shares'!$C:$FA,94)</f>
        <v>2208525</v>
      </c>
      <c r="L75" s="86">
        <f>VLOOKUP($A75,'Data shares'!$C:$FA,96)</f>
        <v>218350</v>
      </c>
      <c r="M75" s="87">
        <f>VLOOKUP($A75,'Data shares'!$C:$FA,97)</f>
        <v>0.10970000000000001</v>
      </c>
      <c r="N75" s="86">
        <f>VLOOKUP($A75,'Data shares'!$C:$FA,78)</f>
        <v>8664150</v>
      </c>
      <c r="O75" s="87">
        <f>VLOOKUP($A75,'Data shares'!$C:$FA,81)</f>
        <v>-4.1799999999999997E-2</v>
      </c>
    </row>
    <row r="76" spans="1:15" x14ac:dyDescent="0.25">
      <c r="A76" s="100" t="str">
        <f>'OI(Value)'!A76</f>
        <v>GRASIM</v>
      </c>
      <c r="B76" s="82">
        <f>VLOOKUP(A76,'Data shares'!$C$2:$CV$216,98,0)</f>
        <v>17365750</v>
      </c>
      <c r="C76" s="82">
        <f>VLOOKUP(A76,'Data shares'!$C$2:$CX$216,100,0)</f>
        <v>103250</v>
      </c>
      <c r="D76" s="141">
        <f>VLOOKUP(A76,'Data shares'!$C$2:$CY$539,101,0)</f>
        <v>6.0000000000000001E-3</v>
      </c>
      <c r="E76" s="86">
        <f>VLOOKUP($A76,'Data shares'!$C:$FA,74)</f>
        <v>14749750</v>
      </c>
      <c r="F76" s="86">
        <f>VLOOKUP($A76,'Data shares'!$C:$FA,76)</f>
        <v>210500</v>
      </c>
      <c r="G76" s="87">
        <f>VLOOKUP(A76,'Data shares'!$C$2:$CA$216,77,0)</f>
        <v>1.4500000000000001E-2</v>
      </c>
      <c r="H76" s="86">
        <f>VLOOKUP($A76,'Data shares'!$C:$FA,90)</f>
        <v>1547750</v>
      </c>
      <c r="I76" s="86">
        <f>VLOOKUP($A76,'Data shares'!$C:$FA,92)</f>
        <v>-117500</v>
      </c>
      <c r="J76" s="87">
        <f>VLOOKUP($A76,'Data shares'!$C:$FA,93)</f>
        <v>-7.0599999999999996E-2</v>
      </c>
      <c r="K76" s="86">
        <f>VLOOKUP($A76,'Data shares'!$C:$FA,94)</f>
        <v>1068250</v>
      </c>
      <c r="L76" s="86">
        <f>VLOOKUP($A76,'Data shares'!$C:$FA,96)</f>
        <v>10250</v>
      </c>
      <c r="M76" s="87">
        <f>VLOOKUP($A76,'Data shares'!$C:$FA,97)</f>
        <v>9.7000000000000003E-3</v>
      </c>
      <c r="N76" s="86">
        <f>VLOOKUP($A76,'Data shares'!$C:$FA,78)</f>
        <v>14534250</v>
      </c>
      <c r="O76" s="87">
        <f>VLOOKUP($A76,'Data shares'!$C:$FA,81)</f>
        <v>1.1900000000000001E-2</v>
      </c>
    </row>
    <row r="77" spans="1:15" x14ac:dyDescent="0.25">
      <c r="A77" s="100" t="str">
        <f>'OI(Value)'!A77</f>
        <v>HAL</v>
      </c>
      <c r="B77" s="82">
        <f>VLOOKUP(A77,'Data shares'!$C$2:$CV$216,98,0)</f>
        <v>16763400</v>
      </c>
      <c r="C77" s="82">
        <f>VLOOKUP(A77,'Data shares'!$C$2:$CX$216,100,0)</f>
        <v>132000</v>
      </c>
      <c r="D77" s="141">
        <f>VLOOKUP(A77,'Data shares'!$C$2:$CY$539,101,0)</f>
        <v>7.9000000000000008E-3</v>
      </c>
      <c r="E77" s="86">
        <f>VLOOKUP($A77,'Data shares'!$C:$FA,74)</f>
        <v>9445500</v>
      </c>
      <c r="F77" s="86">
        <f>VLOOKUP($A77,'Data shares'!$C:$FA,76)</f>
        <v>60600</v>
      </c>
      <c r="G77" s="87">
        <f>VLOOKUP(A77,'Data shares'!$C$2:$CA$216,77,0)</f>
        <v>6.4999999999999997E-3</v>
      </c>
      <c r="H77" s="86">
        <f>VLOOKUP($A77,'Data shares'!$C:$FA,90)</f>
        <v>4639500</v>
      </c>
      <c r="I77" s="86">
        <f>VLOOKUP($A77,'Data shares'!$C:$FA,92)</f>
        <v>105450</v>
      </c>
      <c r="J77" s="87">
        <f>VLOOKUP($A77,'Data shares'!$C:$FA,93)</f>
        <v>2.3300000000000001E-2</v>
      </c>
      <c r="K77" s="86">
        <f>VLOOKUP($A77,'Data shares'!$C:$FA,94)</f>
        <v>2678400</v>
      </c>
      <c r="L77" s="86">
        <f>VLOOKUP($A77,'Data shares'!$C:$FA,96)</f>
        <v>-34050</v>
      </c>
      <c r="M77" s="87">
        <f>VLOOKUP($A77,'Data shares'!$C:$FA,97)</f>
        <v>-1.26E-2</v>
      </c>
      <c r="N77" s="86">
        <f>VLOOKUP($A77,'Data shares'!$C:$FA,78)</f>
        <v>8664450</v>
      </c>
      <c r="O77" s="87">
        <f>VLOOKUP($A77,'Data shares'!$C:$FA,81)</f>
        <v>-2E-3</v>
      </c>
    </row>
    <row r="78" spans="1:15" x14ac:dyDescent="0.25">
      <c r="A78" s="100" t="str">
        <f>'OI(Value)'!A78</f>
        <v>HAVELLS</v>
      </c>
      <c r="B78" s="82">
        <f>VLOOKUP(A78,'Data shares'!$C$2:$CV$216,98,0)</f>
        <v>17122000</v>
      </c>
      <c r="C78" s="82">
        <f>VLOOKUP(A78,'Data shares'!$C$2:$CX$216,100,0)</f>
        <v>-67500</v>
      </c>
      <c r="D78" s="141">
        <f>VLOOKUP(A78,'Data shares'!$C$2:$CY$539,101,0)</f>
        <v>-3.8999999999999998E-3</v>
      </c>
      <c r="E78" s="86">
        <f>VLOOKUP($A78,'Data shares'!$C:$FA,74)</f>
        <v>11361000</v>
      </c>
      <c r="F78" s="86">
        <f>VLOOKUP($A78,'Data shares'!$C:$FA,76)</f>
        <v>32000</v>
      </c>
      <c r="G78" s="87">
        <f>VLOOKUP(A78,'Data shares'!$C$2:$CA$216,77,0)</f>
        <v>2.8E-3</v>
      </c>
      <c r="H78" s="86">
        <f>VLOOKUP($A78,'Data shares'!$C:$FA,90)</f>
        <v>3632000</v>
      </c>
      <c r="I78" s="86">
        <f>VLOOKUP($A78,'Data shares'!$C:$FA,92)</f>
        <v>-136000</v>
      </c>
      <c r="J78" s="87">
        <f>VLOOKUP($A78,'Data shares'!$C:$FA,93)</f>
        <v>-3.61E-2</v>
      </c>
      <c r="K78" s="86">
        <f>VLOOKUP($A78,'Data shares'!$C:$FA,94)</f>
        <v>2129000</v>
      </c>
      <c r="L78" s="86">
        <f>VLOOKUP($A78,'Data shares'!$C:$FA,96)</f>
        <v>36500</v>
      </c>
      <c r="M78" s="87">
        <f>VLOOKUP($A78,'Data shares'!$C:$FA,97)</f>
        <v>1.7399999999999999E-2</v>
      </c>
      <c r="N78" s="86">
        <f>VLOOKUP($A78,'Data shares'!$C:$FA,78)</f>
        <v>10807500</v>
      </c>
      <c r="O78" s="87">
        <f>VLOOKUP($A78,'Data shares'!$C:$FA,81)</f>
        <v>-4.5999999999999999E-3</v>
      </c>
    </row>
    <row r="79" spans="1:15" x14ac:dyDescent="0.25">
      <c r="A79" s="100" t="str">
        <f>'OI(Value)'!A79</f>
        <v>HCLTECH</v>
      </c>
      <c r="B79" s="82">
        <f>VLOOKUP(A79,'Data shares'!$C$2:$CV$216,98,0)</f>
        <v>33686100</v>
      </c>
      <c r="C79" s="82">
        <f>VLOOKUP(A79,'Data shares'!$C$2:$CX$216,100,0)</f>
        <v>-4847850</v>
      </c>
      <c r="D79" s="141">
        <f>VLOOKUP(A79,'Data shares'!$C$2:$CY$539,101,0)</f>
        <v>-0.1258</v>
      </c>
      <c r="E79" s="86">
        <f>VLOOKUP($A79,'Data shares'!$C:$FA,74)</f>
        <v>18036200</v>
      </c>
      <c r="F79" s="86">
        <f>VLOOKUP($A79,'Data shares'!$C:$FA,76)</f>
        <v>-863100</v>
      </c>
      <c r="G79" s="87">
        <f>VLOOKUP(A79,'Data shares'!$C$2:$CA$216,77,0)</f>
        <v>-4.5699999999999998E-2</v>
      </c>
      <c r="H79" s="86">
        <f>VLOOKUP($A79,'Data shares'!$C:$FA,90)</f>
        <v>9817150</v>
      </c>
      <c r="I79" s="86">
        <f>VLOOKUP($A79,'Data shares'!$C:$FA,92)</f>
        <v>-3043600</v>
      </c>
      <c r="J79" s="87">
        <f>VLOOKUP($A79,'Data shares'!$C:$FA,93)</f>
        <v>-0.23669999999999999</v>
      </c>
      <c r="K79" s="86">
        <f>VLOOKUP($A79,'Data shares'!$C:$FA,94)</f>
        <v>5832750</v>
      </c>
      <c r="L79" s="86">
        <f>VLOOKUP($A79,'Data shares'!$C:$FA,96)</f>
        <v>-941150</v>
      </c>
      <c r="M79" s="87">
        <f>VLOOKUP($A79,'Data shares'!$C:$FA,97)</f>
        <v>-0.1389</v>
      </c>
      <c r="N79" s="86">
        <f>VLOOKUP($A79,'Data shares'!$C:$FA,78)</f>
        <v>17026800</v>
      </c>
      <c r="O79" s="87">
        <f>VLOOKUP($A79,'Data shares'!$C:$FA,81)</f>
        <v>-5.3400000000000003E-2</v>
      </c>
    </row>
    <row r="80" spans="1:15" x14ac:dyDescent="0.25">
      <c r="A80" s="100" t="str">
        <f>'OI(Value)'!A80</f>
        <v>HDFCAMC</v>
      </c>
      <c r="B80" s="82">
        <f>VLOOKUP(A80,'Data shares'!$C$2:$CV$216,98,0)</f>
        <v>6026550</v>
      </c>
      <c r="C80" s="82">
        <f>VLOOKUP(A80,'Data shares'!$C$2:$CX$216,100,0)</f>
        <v>1500</v>
      </c>
      <c r="D80" s="141">
        <f>VLOOKUP(A80,'Data shares'!$C$2:$CY$539,101,0)</f>
        <v>2.0000000000000001E-4</v>
      </c>
      <c r="E80" s="86">
        <f>VLOOKUP($A80,'Data shares'!$C:$FA,74)</f>
        <v>2332500</v>
      </c>
      <c r="F80" s="86">
        <f>VLOOKUP($A80,'Data shares'!$C:$FA,76)</f>
        <v>-215550</v>
      </c>
      <c r="G80" s="87">
        <f>VLOOKUP(A80,'Data shares'!$C$2:$CA$216,77,0)</f>
        <v>-8.4599999999999995E-2</v>
      </c>
      <c r="H80" s="86">
        <f>VLOOKUP($A80,'Data shares'!$C:$FA,90)</f>
        <v>2392650</v>
      </c>
      <c r="I80" s="86">
        <f>VLOOKUP($A80,'Data shares'!$C:$FA,92)</f>
        <v>31350</v>
      </c>
      <c r="J80" s="87">
        <f>VLOOKUP($A80,'Data shares'!$C:$FA,93)</f>
        <v>1.3299999999999999E-2</v>
      </c>
      <c r="K80" s="86">
        <f>VLOOKUP($A80,'Data shares'!$C:$FA,94)</f>
        <v>1301400</v>
      </c>
      <c r="L80" s="86">
        <f>VLOOKUP($A80,'Data shares'!$C:$FA,96)</f>
        <v>185700</v>
      </c>
      <c r="M80" s="87">
        <f>VLOOKUP($A80,'Data shares'!$C:$FA,97)</f>
        <v>0.16639999999999999</v>
      </c>
      <c r="N80" s="86">
        <f>VLOOKUP($A80,'Data shares'!$C:$FA,78)</f>
        <v>2255700</v>
      </c>
      <c r="O80" s="87">
        <f>VLOOKUP($A80,'Data shares'!$C:$FA,81)</f>
        <v>-9.2999999999999999E-2</v>
      </c>
    </row>
    <row r="81" spans="1:15" x14ac:dyDescent="0.25">
      <c r="A81" s="100" t="str">
        <f>'OI(Value)'!A81</f>
        <v>HDFCBANK</v>
      </c>
      <c r="B81" s="82">
        <f>VLOOKUP(A81,'Data shares'!$C$2:$CV$216,98,0)</f>
        <v>267382500</v>
      </c>
      <c r="C81" s="82">
        <f>VLOOKUP(A81,'Data shares'!$C$2:$CX$216,100,0)</f>
        <v>-1956900</v>
      </c>
      <c r="D81" s="141">
        <f>VLOOKUP(A81,'Data shares'!$C$2:$CY$539,101,0)</f>
        <v>-7.3000000000000001E-3</v>
      </c>
      <c r="E81" s="86">
        <f>VLOOKUP($A81,'Data shares'!$C:$FA,74)</f>
        <v>207207000</v>
      </c>
      <c r="F81" s="86">
        <f>VLOOKUP($A81,'Data shares'!$C:$FA,76)</f>
        <v>-331100</v>
      </c>
      <c r="G81" s="87">
        <f>VLOOKUP(A81,'Data shares'!$C$2:$CA$216,77,0)</f>
        <v>-1.6000000000000001E-3</v>
      </c>
      <c r="H81" s="86">
        <f>VLOOKUP($A81,'Data shares'!$C:$FA,90)</f>
        <v>32360900</v>
      </c>
      <c r="I81" s="86">
        <f>VLOOKUP($A81,'Data shares'!$C:$FA,92)</f>
        <v>-3122900</v>
      </c>
      <c r="J81" s="87">
        <f>VLOOKUP($A81,'Data shares'!$C:$FA,93)</f>
        <v>-8.7999999999999995E-2</v>
      </c>
      <c r="K81" s="86">
        <f>VLOOKUP($A81,'Data shares'!$C:$FA,94)</f>
        <v>27814600</v>
      </c>
      <c r="L81" s="86">
        <f>VLOOKUP($A81,'Data shares'!$C:$FA,96)</f>
        <v>1497100</v>
      </c>
      <c r="M81" s="87">
        <f>VLOOKUP($A81,'Data shares'!$C:$FA,97)</f>
        <v>5.6899999999999999E-2</v>
      </c>
      <c r="N81" s="86">
        <f>VLOOKUP($A81,'Data shares'!$C:$FA,78)</f>
        <v>196013400</v>
      </c>
      <c r="O81" s="87">
        <f>VLOOKUP($A81,'Data shares'!$C:$FA,81)</f>
        <v>-7.9000000000000008E-3</v>
      </c>
    </row>
    <row r="82" spans="1:15" x14ac:dyDescent="0.25">
      <c r="A82" s="100" t="str">
        <f>'OI(Value)'!A82</f>
        <v>HDFCLIFE</v>
      </c>
      <c r="B82" s="82">
        <f>VLOOKUP(A82,'Data shares'!$C$2:$CV$216,98,0)</f>
        <v>58207600</v>
      </c>
      <c r="C82" s="82">
        <f>VLOOKUP(A82,'Data shares'!$C$2:$CX$216,100,0)</f>
        <v>7015800</v>
      </c>
      <c r="D82" s="141">
        <f>VLOOKUP(A82,'Data shares'!$C$2:$CY$539,101,0)</f>
        <v>0.13700000000000001</v>
      </c>
      <c r="E82" s="86">
        <f>VLOOKUP($A82,'Data shares'!$C:$FA,74)</f>
        <v>33437800</v>
      </c>
      <c r="F82" s="86">
        <f>VLOOKUP($A82,'Data shares'!$C:$FA,76)</f>
        <v>1967900</v>
      </c>
      <c r="G82" s="87">
        <f>VLOOKUP(A82,'Data shares'!$C$2:$CA$216,77,0)</f>
        <v>6.25E-2</v>
      </c>
      <c r="H82" s="86">
        <f>VLOOKUP($A82,'Data shares'!$C:$FA,90)</f>
        <v>16976300</v>
      </c>
      <c r="I82" s="86">
        <f>VLOOKUP($A82,'Data shares'!$C:$FA,92)</f>
        <v>4143700</v>
      </c>
      <c r="J82" s="87">
        <f>VLOOKUP($A82,'Data shares'!$C:$FA,93)</f>
        <v>0.32290000000000002</v>
      </c>
      <c r="K82" s="86">
        <f>VLOOKUP($A82,'Data shares'!$C:$FA,94)</f>
        <v>7793500</v>
      </c>
      <c r="L82" s="86">
        <f>VLOOKUP($A82,'Data shares'!$C:$FA,96)</f>
        <v>904200</v>
      </c>
      <c r="M82" s="87">
        <f>VLOOKUP($A82,'Data shares'!$C:$FA,97)</f>
        <v>0.13120000000000001</v>
      </c>
      <c r="N82" s="86">
        <f>VLOOKUP($A82,'Data shares'!$C:$FA,78)</f>
        <v>31838400</v>
      </c>
      <c r="O82" s="87">
        <f>VLOOKUP($A82,'Data shares'!$C:$FA,81)</f>
        <v>3.4599999999999999E-2</v>
      </c>
    </row>
    <row r="83" spans="1:15" x14ac:dyDescent="0.25">
      <c r="A83" s="100" t="str">
        <f>'OI(Value)'!A83</f>
        <v>HEROMOTOCO</v>
      </c>
      <c r="B83" s="82">
        <f>VLOOKUP(A83,'Data shares'!$C$2:$CV$216,98,0)</f>
        <v>8937900</v>
      </c>
      <c r="C83" s="82">
        <f>VLOOKUP(A83,'Data shares'!$C$2:$CX$216,100,0)</f>
        <v>-208800</v>
      </c>
      <c r="D83" s="141">
        <f>VLOOKUP(A83,'Data shares'!$C$2:$CY$539,101,0)</f>
        <v>-2.2800000000000001E-2</v>
      </c>
      <c r="E83" s="86">
        <f>VLOOKUP($A83,'Data shares'!$C:$FA,74)</f>
        <v>4742250</v>
      </c>
      <c r="F83" s="86">
        <f>VLOOKUP($A83,'Data shares'!$C:$FA,76)</f>
        <v>-29400</v>
      </c>
      <c r="G83" s="87">
        <f>VLOOKUP(A83,'Data shares'!$C$2:$CA$216,77,0)</f>
        <v>-6.1999999999999998E-3</v>
      </c>
      <c r="H83" s="86">
        <f>VLOOKUP($A83,'Data shares'!$C:$FA,90)</f>
        <v>2518050</v>
      </c>
      <c r="I83" s="86">
        <f>VLOOKUP($A83,'Data shares'!$C:$FA,92)</f>
        <v>-169050</v>
      </c>
      <c r="J83" s="87">
        <f>VLOOKUP($A83,'Data shares'!$C:$FA,93)</f>
        <v>-6.2899999999999998E-2</v>
      </c>
      <c r="K83" s="86">
        <f>VLOOKUP($A83,'Data shares'!$C:$FA,94)</f>
        <v>1677600</v>
      </c>
      <c r="L83" s="86">
        <f>VLOOKUP($A83,'Data shares'!$C:$FA,96)</f>
        <v>-10350</v>
      </c>
      <c r="M83" s="87">
        <f>VLOOKUP($A83,'Data shares'!$C:$FA,97)</f>
        <v>-6.1000000000000004E-3</v>
      </c>
      <c r="N83" s="86">
        <f>VLOOKUP($A83,'Data shares'!$C:$FA,78)</f>
        <v>4355700</v>
      </c>
      <c r="O83" s="87">
        <f>VLOOKUP($A83,'Data shares'!$C:$FA,81)</f>
        <v>-1.3599999999999999E-2</v>
      </c>
    </row>
    <row r="84" spans="1:15" x14ac:dyDescent="0.25">
      <c r="A84" s="100" t="str">
        <f>'OI(Value)'!A84</f>
        <v>HFCL</v>
      </c>
      <c r="B84" s="82">
        <f>VLOOKUP(A84,'Data shares'!$C$2:$CV$216,98,0)</f>
        <v>205213200</v>
      </c>
      <c r="C84" s="82">
        <f>VLOOKUP(A84,'Data shares'!$C$2:$CX$216,100,0)</f>
        <v>3179850</v>
      </c>
      <c r="D84" s="141">
        <f>VLOOKUP(A84,'Data shares'!$C$2:$CY$539,101,0)</f>
        <v>1.5699999999999999E-2</v>
      </c>
      <c r="E84" s="86">
        <f>VLOOKUP($A84,'Data shares'!$C:$FA,74)</f>
        <v>133773000</v>
      </c>
      <c r="F84" s="86">
        <f>VLOOKUP($A84,'Data shares'!$C:$FA,76)</f>
        <v>832050</v>
      </c>
      <c r="G84" s="87">
        <f>VLOOKUP(A84,'Data shares'!$C$2:$CA$216,77,0)</f>
        <v>6.3E-3</v>
      </c>
      <c r="H84" s="86">
        <f>VLOOKUP($A84,'Data shares'!$C:$FA,90)</f>
        <v>47214000</v>
      </c>
      <c r="I84" s="86">
        <f>VLOOKUP($A84,'Data shares'!$C:$FA,92)</f>
        <v>1728600</v>
      </c>
      <c r="J84" s="87">
        <f>VLOOKUP($A84,'Data shares'!$C:$FA,93)</f>
        <v>3.7999999999999999E-2</v>
      </c>
      <c r="K84" s="86">
        <f>VLOOKUP($A84,'Data shares'!$C:$FA,94)</f>
        <v>24226200</v>
      </c>
      <c r="L84" s="86">
        <f>VLOOKUP($A84,'Data shares'!$C:$FA,96)</f>
        <v>619200</v>
      </c>
      <c r="M84" s="87">
        <f>VLOOKUP($A84,'Data shares'!$C:$FA,97)</f>
        <v>2.6200000000000001E-2</v>
      </c>
      <c r="N84" s="86">
        <f>VLOOKUP($A84,'Data shares'!$C:$FA,78)</f>
        <v>119782950</v>
      </c>
      <c r="O84" s="87">
        <f>VLOOKUP($A84,'Data shares'!$C:$FA,81)</f>
        <v>-1.2999999999999999E-3</v>
      </c>
    </row>
    <row r="85" spans="1:15" x14ac:dyDescent="0.25">
      <c r="A85" s="100" t="str">
        <f>'OI(Value)'!A85</f>
        <v>HINDALCO</v>
      </c>
      <c r="B85" s="82">
        <f>VLOOKUP(A85,'Data shares'!$C$2:$CV$216,98,0)</f>
        <v>97332200</v>
      </c>
      <c r="C85" s="82">
        <f>VLOOKUP(A85,'Data shares'!$C$2:$CX$216,100,0)</f>
        <v>-2634800</v>
      </c>
      <c r="D85" s="141">
        <f>VLOOKUP(A85,'Data shares'!$C$2:$CY$539,101,0)</f>
        <v>-2.64E-2</v>
      </c>
      <c r="E85" s="86">
        <f>VLOOKUP($A85,'Data shares'!$C:$FA,74)</f>
        <v>66708600</v>
      </c>
      <c r="F85" s="86">
        <f>VLOOKUP($A85,'Data shares'!$C:$FA,76)</f>
        <v>-1331400</v>
      </c>
      <c r="G85" s="87">
        <f>VLOOKUP(A85,'Data shares'!$C$2:$CA$216,77,0)</f>
        <v>-1.9599999999999999E-2</v>
      </c>
      <c r="H85" s="86">
        <f>VLOOKUP($A85,'Data shares'!$C:$FA,90)</f>
        <v>17774400</v>
      </c>
      <c r="I85" s="86">
        <f>VLOOKUP($A85,'Data shares'!$C:$FA,92)</f>
        <v>-1730400</v>
      </c>
      <c r="J85" s="87">
        <f>VLOOKUP($A85,'Data shares'!$C:$FA,93)</f>
        <v>-8.8700000000000001E-2</v>
      </c>
      <c r="K85" s="86">
        <f>VLOOKUP($A85,'Data shares'!$C:$FA,94)</f>
        <v>12849200</v>
      </c>
      <c r="L85" s="86">
        <f>VLOOKUP($A85,'Data shares'!$C:$FA,96)</f>
        <v>427000</v>
      </c>
      <c r="M85" s="87">
        <f>VLOOKUP($A85,'Data shares'!$C:$FA,97)</f>
        <v>3.44E-2</v>
      </c>
      <c r="N85" s="86">
        <f>VLOOKUP($A85,'Data shares'!$C:$FA,78)</f>
        <v>64688400</v>
      </c>
      <c r="O85" s="87">
        <f>VLOOKUP($A85,'Data shares'!$C:$FA,81)</f>
        <v>-2.1100000000000001E-2</v>
      </c>
    </row>
    <row r="86" spans="1:15" x14ac:dyDescent="0.25">
      <c r="A86" s="100" t="str">
        <f>'OI(Value)'!A86</f>
        <v>HINDPETRO</v>
      </c>
      <c r="B86" s="82">
        <f>VLOOKUP(A86,'Data shares'!$C$2:$CV$216,98,0)</f>
        <v>84065850</v>
      </c>
      <c r="C86" s="82">
        <f>VLOOKUP(A86,'Data shares'!$C$2:$CX$216,100,0)</f>
        <v>-1895400</v>
      </c>
      <c r="D86" s="141">
        <f>VLOOKUP(A86,'Data shares'!$C$2:$CY$539,101,0)</f>
        <v>-2.1999999999999999E-2</v>
      </c>
      <c r="E86" s="86">
        <f>VLOOKUP($A86,'Data shares'!$C:$FA,74)</f>
        <v>52382700</v>
      </c>
      <c r="F86" s="86">
        <f>VLOOKUP($A86,'Data shares'!$C:$FA,76)</f>
        <v>-1002375</v>
      </c>
      <c r="G86" s="87">
        <f>VLOOKUP(A86,'Data shares'!$C$2:$CA$216,77,0)</f>
        <v>-1.8800000000000001E-2</v>
      </c>
      <c r="H86" s="86">
        <f>VLOOKUP($A86,'Data shares'!$C:$FA,90)</f>
        <v>20420100</v>
      </c>
      <c r="I86" s="86">
        <f>VLOOKUP($A86,'Data shares'!$C:$FA,92)</f>
        <v>-803925</v>
      </c>
      <c r="J86" s="87">
        <f>VLOOKUP($A86,'Data shares'!$C:$FA,93)</f>
        <v>-3.7900000000000003E-2</v>
      </c>
      <c r="K86" s="86">
        <f>VLOOKUP($A86,'Data shares'!$C:$FA,94)</f>
        <v>11263050</v>
      </c>
      <c r="L86" s="86">
        <f>VLOOKUP($A86,'Data shares'!$C:$FA,96)</f>
        <v>-89100</v>
      </c>
      <c r="M86" s="87">
        <f>VLOOKUP($A86,'Data shares'!$C:$FA,97)</f>
        <v>-7.7999999999999996E-3</v>
      </c>
      <c r="N86" s="86">
        <f>VLOOKUP($A86,'Data shares'!$C:$FA,78)</f>
        <v>50566275</v>
      </c>
      <c r="O86" s="87">
        <f>VLOOKUP($A86,'Data shares'!$C:$FA,81)</f>
        <v>-2.1600000000000001E-2</v>
      </c>
    </row>
    <row r="87" spans="1:15" x14ac:dyDescent="0.25">
      <c r="A87" s="100" t="str">
        <f>'OI(Value)'!A87</f>
        <v>HINDUNILVR</v>
      </c>
      <c r="B87" s="82">
        <f>VLOOKUP(A87,'Data shares'!$C$2:$CV$216,98,0)</f>
        <v>22764900</v>
      </c>
      <c r="C87" s="82">
        <f>VLOOKUP(A87,'Data shares'!$C$2:$CX$216,100,0)</f>
        <v>-48300</v>
      </c>
      <c r="D87" s="141">
        <f>VLOOKUP(A87,'Data shares'!$C$2:$CY$539,101,0)</f>
        <v>-2.0999999999999999E-3</v>
      </c>
      <c r="E87" s="86">
        <f>VLOOKUP($A87,'Data shares'!$C:$FA,74)</f>
        <v>14229600</v>
      </c>
      <c r="F87" s="86">
        <f>VLOOKUP($A87,'Data shares'!$C:$FA,76)</f>
        <v>8100</v>
      </c>
      <c r="G87" s="87">
        <f>VLOOKUP(A87,'Data shares'!$C$2:$CA$216,77,0)</f>
        <v>5.9999999999999995E-4</v>
      </c>
      <c r="H87" s="86">
        <f>VLOOKUP($A87,'Data shares'!$C:$FA,90)</f>
        <v>5169000</v>
      </c>
      <c r="I87" s="86">
        <f>VLOOKUP($A87,'Data shares'!$C:$FA,92)</f>
        <v>-218400</v>
      </c>
      <c r="J87" s="87">
        <f>VLOOKUP($A87,'Data shares'!$C:$FA,93)</f>
        <v>-4.0500000000000001E-2</v>
      </c>
      <c r="K87" s="86">
        <f>VLOOKUP($A87,'Data shares'!$C:$FA,94)</f>
        <v>3366300</v>
      </c>
      <c r="L87" s="86">
        <f>VLOOKUP($A87,'Data shares'!$C:$FA,96)</f>
        <v>162000</v>
      </c>
      <c r="M87" s="87">
        <f>VLOOKUP($A87,'Data shares'!$C:$FA,97)</f>
        <v>5.0599999999999999E-2</v>
      </c>
      <c r="N87" s="86">
        <f>VLOOKUP($A87,'Data shares'!$C:$FA,78)</f>
        <v>13293600</v>
      </c>
      <c r="O87" s="87">
        <f>VLOOKUP($A87,'Data shares'!$C:$FA,81)</f>
        <v>-7.1999999999999998E-3</v>
      </c>
    </row>
    <row r="88" spans="1:15" x14ac:dyDescent="0.25">
      <c r="A88" s="100" t="str">
        <f>'OI(Value)'!A88</f>
        <v>HINDZINC</v>
      </c>
      <c r="B88" s="82">
        <f>VLOOKUP(A88,'Data shares'!$C$2:$CV$216,98,0)</f>
        <v>72679250</v>
      </c>
      <c r="C88" s="82">
        <f>VLOOKUP(A88,'Data shares'!$C$2:$CX$216,100,0)</f>
        <v>1102500</v>
      </c>
      <c r="D88" s="141">
        <f>VLOOKUP(A88,'Data shares'!$C$2:$CY$539,101,0)</f>
        <v>1.54E-2</v>
      </c>
      <c r="E88" s="86">
        <f>VLOOKUP($A88,'Data shares'!$C:$FA,74)</f>
        <v>35226100</v>
      </c>
      <c r="F88" s="86">
        <f>VLOOKUP($A88,'Data shares'!$C:$FA,76)</f>
        <v>308700</v>
      </c>
      <c r="G88" s="87">
        <f>VLOOKUP(A88,'Data shares'!$C$2:$CA$216,77,0)</f>
        <v>8.8000000000000005E-3</v>
      </c>
      <c r="H88" s="86">
        <f>VLOOKUP($A88,'Data shares'!$C:$FA,90)</f>
        <v>24133725</v>
      </c>
      <c r="I88" s="86">
        <f>VLOOKUP($A88,'Data shares'!$C:$FA,92)</f>
        <v>655375</v>
      </c>
      <c r="J88" s="87">
        <f>VLOOKUP($A88,'Data shares'!$C:$FA,93)</f>
        <v>2.7900000000000001E-2</v>
      </c>
      <c r="K88" s="86">
        <f>VLOOKUP($A88,'Data shares'!$C:$FA,94)</f>
        <v>13319425</v>
      </c>
      <c r="L88" s="86">
        <f>VLOOKUP($A88,'Data shares'!$C:$FA,96)</f>
        <v>138425</v>
      </c>
      <c r="M88" s="87">
        <f>VLOOKUP($A88,'Data shares'!$C:$FA,97)</f>
        <v>1.0500000000000001E-2</v>
      </c>
      <c r="N88" s="86">
        <f>VLOOKUP($A88,'Data shares'!$C:$FA,78)</f>
        <v>31312225</v>
      </c>
      <c r="O88" s="87">
        <f>VLOOKUP($A88,'Data shares'!$C:$FA,81)</f>
        <v>-7.4999999999999997E-3</v>
      </c>
    </row>
    <row r="89" spans="1:15" x14ac:dyDescent="0.25">
      <c r="A89" s="100" t="str">
        <f>'OI(Value)'!A89</f>
        <v>HUDCO</v>
      </c>
      <c r="B89" s="82">
        <f>VLOOKUP(A89,'Data shares'!$C$2:$CV$216,98,0)</f>
        <v>54723000</v>
      </c>
      <c r="C89" s="82">
        <f>VLOOKUP(A89,'Data shares'!$C$2:$CX$216,100,0)</f>
        <v>2511375</v>
      </c>
      <c r="D89" s="141">
        <f>VLOOKUP(A89,'Data shares'!$C$2:$CY$539,101,0)</f>
        <v>4.8099999999999997E-2</v>
      </c>
      <c r="E89" s="86">
        <f>VLOOKUP($A89,'Data shares'!$C:$FA,74)</f>
        <v>28185675</v>
      </c>
      <c r="F89" s="86">
        <f>VLOOKUP($A89,'Data shares'!$C:$FA,76)</f>
        <v>446775</v>
      </c>
      <c r="G89" s="87">
        <f>VLOOKUP(A89,'Data shares'!$C$2:$CA$216,77,0)</f>
        <v>1.61E-2</v>
      </c>
      <c r="H89" s="86">
        <f>VLOOKUP($A89,'Data shares'!$C:$FA,90)</f>
        <v>17787750</v>
      </c>
      <c r="I89" s="86">
        <f>VLOOKUP($A89,'Data shares'!$C:$FA,92)</f>
        <v>1653900</v>
      </c>
      <c r="J89" s="87">
        <f>VLOOKUP($A89,'Data shares'!$C:$FA,93)</f>
        <v>0.10249999999999999</v>
      </c>
      <c r="K89" s="86">
        <f>VLOOKUP($A89,'Data shares'!$C:$FA,94)</f>
        <v>8749575</v>
      </c>
      <c r="L89" s="86">
        <f>VLOOKUP($A89,'Data shares'!$C:$FA,96)</f>
        <v>410700</v>
      </c>
      <c r="M89" s="87">
        <f>VLOOKUP($A89,'Data shares'!$C:$FA,97)</f>
        <v>4.9299999999999997E-2</v>
      </c>
      <c r="N89" s="86">
        <f>VLOOKUP($A89,'Data shares'!$C:$FA,78)</f>
        <v>26581725</v>
      </c>
      <c r="O89" s="87">
        <f>VLOOKUP($A89,'Data shares'!$C:$FA,81)</f>
        <v>6.3E-3</v>
      </c>
    </row>
    <row r="90" spans="1:15" x14ac:dyDescent="0.25">
      <c r="A90" s="100" t="str">
        <f>'OI(Value)'!A90</f>
        <v>ICICIBANK</v>
      </c>
      <c r="B90" s="82">
        <f>VLOOKUP(A90,'Data shares'!$C$2:$CV$216,98,0)</f>
        <v>153281800</v>
      </c>
      <c r="C90" s="82">
        <f>VLOOKUP(A90,'Data shares'!$C$2:$CX$216,100,0)</f>
        <v>-2520000</v>
      </c>
      <c r="D90" s="141">
        <f>VLOOKUP(A90,'Data shares'!$C$2:$CY$539,101,0)</f>
        <v>-1.6199999999999999E-2</v>
      </c>
      <c r="E90" s="86">
        <f>VLOOKUP($A90,'Data shares'!$C:$FA,74)</f>
        <v>109662000</v>
      </c>
      <c r="F90" s="86">
        <f>VLOOKUP($A90,'Data shares'!$C:$FA,76)</f>
        <v>-2592100</v>
      </c>
      <c r="G90" s="87">
        <f>VLOOKUP(A90,'Data shares'!$C$2:$CA$216,77,0)</f>
        <v>-2.3099999999999999E-2</v>
      </c>
      <c r="H90" s="86">
        <f>VLOOKUP($A90,'Data shares'!$C:$FA,90)</f>
        <v>24134600</v>
      </c>
      <c r="I90" s="86">
        <f>VLOOKUP($A90,'Data shares'!$C:$FA,92)</f>
        <v>-77000</v>
      </c>
      <c r="J90" s="87">
        <f>VLOOKUP($A90,'Data shares'!$C:$FA,93)</f>
        <v>-3.2000000000000002E-3</v>
      </c>
      <c r="K90" s="86">
        <f>VLOOKUP($A90,'Data shares'!$C:$FA,94)</f>
        <v>19485200</v>
      </c>
      <c r="L90" s="86">
        <f>VLOOKUP($A90,'Data shares'!$C:$FA,96)</f>
        <v>149100</v>
      </c>
      <c r="M90" s="87">
        <f>VLOOKUP($A90,'Data shares'!$C:$FA,97)</f>
        <v>7.7000000000000002E-3</v>
      </c>
      <c r="N90" s="86">
        <f>VLOOKUP($A90,'Data shares'!$C:$FA,78)</f>
        <v>102372200</v>
      </c>
      <c r="O90" s="87">
        <f>VLOOKUP($A90,'Data shares'!$C:$FA,81)</f>
        <v>-3.6499999999999998E-2</v>
      </c>
    </row>
    <row r="91" spans="1:15" x14ac:dyDescent="0.25">
      <c r="A91" s="100" t="str">
        <f>'OI(Value)'!A91</f>
        <v>ICICIGI</v>
      </c>
      <c r="B91" s="82">
        <f>VLOOKUP(A91,'Data shares'!$C$2:$CV$216,98,0)</f>
        <v>12104950</v>
      </c>
      <c r="C91" s="82">
        <f>VLOOKUP(A91,'Data shares'!$C$2:$CX$216,100,0)</f>
        <v>-1848275</v>
      </c>
      <c r="D91" s="141">
        <f>VLOOKUP(A91,'Data shares'!$C$2:$CY$539,101,0)</f>
        <v>-0.13250000000000001</v>
      </c>
      <c r="E91" s="86">
        <f>VLOOKUP($A91,'Data shares'!$C:$FA,74)</f>
        <v>6067100</v>
      </c>
      <c r="F91" s="86">
        <f>VLOOKUP($A91,'Data shares'!$C:$FA,76)</f>
        <v>-292500</v>
      </c>
      <c r="G91" s="87">
        <f>VLOOKUP(A91,'Data shares'!$C$2:$CA$216,77,0)</f>
        <v>-4.5999999999999999E-2</v>
      </c>
      <c r="H91" s="86">
        <f>VLOOKUP($A91,'Data shares'!$C:$FA,90)</f>
        <v>2409225</v>
      </c>
      <c r="I91" s="86">
        <f>VLOOKUP($A91,'Data shares'!$C:$FA,92)</f>
        <v>-991900</v>
      </c>
      <c r="J91" s="87">
        <f>VLOOKUP($A91,'Data shares'!$C:$FA,93)</f>
        <v>-0.29160000000000003</v>
      </c>
      <c r="K91" s="86">
        <f>VLOOKUP($A91,'Data shares'!$C:$FA,94)</f>
        <v>3628625</v>
      </c>
      <c r="L91" s="86">
        <f>VLOOKUP($A91,'Data shares'!$C:$FA,96)</f>
        <v>-563875</v>
      </c>
      <c r="M91" s="87">
        <f>VLOOKUP($A91,'Data shares'!$C:$FA,97)</f>
        <v>-0.13450000000000001</v>
      </c>
      <c r="N91" s="86">
        <f>VLOOKUP($A91,'Data shares'!$C:$FA,78)</f>
        <v>5793450</v>
      </c>
      <c r="O91" s="87">
        <f>VLOOKUP($A91,'Data shares'!$C:$FA,81)</f>
        <v>-5.3400000000000003E-2</v>
      </c>
    </row>
    <row r="92" spans="1:15" x14ac:dyDescent="0.25">
      <c r="A92" s="100" t="str">
        <f>'OI(Value)'!A92</f>
        <v>ICICIPRULI</v>
      </c>
      <c r="B92" s="82">
        <f>VLOOKUP(A92,'Data shares'!$C$2:$CV$216,98,0)</f>
        <v>24337675</v>
      </c>
      <c r="C92" s="82">
        <f>VLOOKUP(A92,'Data shares'!$C$2:$CX$216,100,0)</f>
        <v>74925</v>
      </c>
      <c r="D92" s="141">
        <f>VLOOKUP(A92,'Data shares'!$C$2:$CY$539,101,0)</f>
        <v>3.0999999999999999E-3</v>
      </c>
      <c r="E92" s="86">
        <f>VLOOKUP($A92,'Data shares'!$C:$FA,74)</f>
        <v>12669725</v>
      </c>
      <c r="F92" s="86">
        <f>VLOOKUP($A92,'Data shares'!$C:$FA,76)</f>
        <v>-69375</v>
      </c>
      <c r="G92" s="87">
        <f>VLOOKUP(A92,'Data shares'!$C$2:$CA$216,77,0)</f>
        <v>-5.4000000000000003E-3</v>
      </c>
      <c r="H92" s="86">
        <f>VLOOKUP($A92,'Data shares'!$C:$FA,90)</f>
        <v>8100225</v>
      </c>
      <c r="I92" s="86">
        <f>VLOOKUP($A92,'Data shares'!$C:$FA,92)</f>
        <v>197950</v>
      </c>
      <c r="J92" s="87">
        <f>VLOOKUP($A92,'Data shares'!$C:$FA,93)</f>
        <v>2.5000000000000001E-2</v>
      </c>
      <c r="K92" s="86">
        <f>VLOOKUP($A92,'Data shares'!$C:$FA,94)</f>
        <v>3567725</v>
      </c>
      <c r="L92" s="86">
        <f>VLOOKUP($A92,'Data shares'!$C:$FA,96)</f>
        <v>-53650</v>
      </c>
      <c r="M92" s="87">
        <f>VLOOKUP($A92,'Data shares'!$C:$FA,97)</f>
        <v>-1.4800000000000001E-2</v>
      </c>
      <c r="N92" s="86">
        <f>VLOOKUP($A92,'Data shares'!$C:$FA,78)</f>
        <v>12119350</v>
      </c>
      <c r="O92" s="87">
        <f>VLOOKUP($A92,'Data shares'!$C:$FA,81)</f>
        <v>-1.3599999999999999E-2</v>
      </c>
    </row>
    <row r="93" spans="1:15" x14ac:dyDescent="0.25">
      <c r="A93" s="100" t="str">
        <f>'OI(Value)'!A93</f>
        <v>IDEA</v>
      </c>
      <c r="B93" s="82">
        <f>VLOOKUP(A93,'Data shares'!$C$2:$CV$216,98,0)</f>
        <v>10196337600</v>
      </c>
      <c r="C93" s="82">
        <f>VLOOKUP(A93,'Data shares'!$C$2:$CX$216,100,0)</f>
        <v>91488000</v>
      </c>
      <c r="D93" s="141">
        <f>VLOOKUP(A93,'Data shares'!$C$2:$CY$539,101,0)</f>
        <v>9.1000000000000004E-3</v>
      </c>
      <c r="E93" s="86">
        <f>VLOOKUP($A93,'Data shares'!$C:$FA,74)</f>
        <v>6503367300</v>
      </c>
      <c r="F93" s="86">
        <f>VLOOKUP($A93,'Data shares'!$C:$FA,76)</f>
        <v>-1215075</v>
      </c>
      <c r="G93" s="87">
        <f>VLOOKUP(A93,'Data shares'!$C$2:$CA$216,77,0)</f>
        <v>-2.0000000000000001E-4</v>
      </c>
      <c r="H93" s="86">
        <f>VLOOKUP($A93,'Data shares'!$C:$FA,90)</f>
        <v>2361819900</v>
      </c>
      <c r="I93" s="86">
        <f>VLOOKUP($A93,'Data shares'!$C:$FA,92)</f>
        <v>14580900</v>
      </c>
      <c r="J93" s="87">
        <f>VLOOKUP($A93,'Data shares'!$C:$FA,93)</f>
        <v>6.1999999999999998E-3</v>
      </c>
      <c r="K93" s="86">
        <f>VLOOKUP($A93,'Data shares'!$C:$FA,94)</f>
        <v>1331150400</v>
      </c>
      <c r="L93" s="86">
        <f>VLOOKUP($A93,'Data shares'!$C:$FA,96)</f>
        <v>78122175</v>
      </c>
      <c r="M93" s="87">
        <f>VLOOKUP($A93,'Data shares'!$C:$FA,97)</f>
        <v>6.2300000000000001E-2</v>
      </c>
      <c r="N93" s="86">
        <f>VLOOKUP($A93,'Data shares'!$C:$FA,78)</f>
        <v>5825498400</v>
      </c>
      <c r="O93" s="87">
        <f>VLOOKUP($A93,'Data shares'!$C:$FA,81)</f>
        <v>-7.0000000000000001E-3</v>
      </c>
    </row>
    <row r="94" spans="1:15" x14ac:dyDescent="0.25">
      <c r="A94" s="100" t="str">
        <f>'OI(Value)'!A94</f>
        <v>IDFCFIRSTB</v>
      </c>
      <c r="B94" s="82">
        <f>VLOOKUP(A94,'Data shares'!$C$2:$CV$216,98,0)</f>
        <v>674997400</v>
      </c>
      <c r="C94" s="82">
        <f>VLOOKUP(A94,'Data shares'!$C$2:$CX$216,100,0)</f>
        <v>26934600</v>
      </c>
      <c r="D94" s="141">
        <f>VLOOKUP(A94,'Data shares'!$C$2:$CY$539,101,0)</f>
        <v>4.1599999999999998E-2</v>
      </c>
      <c r="E94" s="86">
        <f>VLOOKUP($A94,'Data shares'!$C:$FA,74)</f>
        <v>410159050</v>
      </c>
      <c r="F94" s="86">
        <f>VLOOKUP($A94,'Data shares'!$C:$FA,76)</f>
        <v>9089500</v>
      </c>
      <c r="G94" s="87">
        <f>VLOOKUP(A94,'Data shares'!$C$2:$CA$216,77,0)</f>
        <v>2.2700000000000001E-2</v>
      </c>
      <c r="H94" s="86">
        <f>VLOOKUP($A94,'Data shares'!$C:$FA,90)</f>
        <v>157628625</v>
      </c>
      <c r="I94" s="86">
        <f>VLOOKUP($A94,'Data shares'!$C:$FA,92)</f>
        <v>12558350</v>
      </c>
      <c r="J94" s="87">
        <f>VLOOKUP($A94,'Data shares'!$C:$FA,93)</f>
        <v>8.6599999999999996E-2</v>
      </c>
      <c r="K94" s="86">
        <f>VLOOKUP($A94,'Data shares'!$C:$FA,94)</f>
        <v>107209725</v>
      </c>
      <c r="L94" s="86">
        <f>VLOOKUP($A94,'Data shares'!$C:$FA,96)</f>
        <v>5286750</v>
      </c>
      <c r="M94" s="87">
        <f>VLOOKUP($A94,'Data shares'!$C:$FA,97)</f>
        <v>5.1900000000000002E-2</v>
      </c>
      <c r="N94" s="86">
        <f>VLOOKUP($A94,'Data shares'!$C:$FA,78)</f>
        <v>356057975</v>
      </c>
      <c r="O94" s="87">
        <f>VLOOKUP($A94,'Data shares'!$C:$FA,81)</f>
        <v>-1.18E-2</v>
      </c>
    </row>
    <row r="95" spans="1:15" x14ac:dyDescent="0.25">
      <c r="A95" s="100" t="str">
        <f>'OI(Value)'!A95</f>
        <v>IEX</v>
      </c>
      <c r="B95" s="82">
        <f>VLOOKUP(A95,'Data shares'!$C$2:$CV$216,98,0)</f>
        <v>135506250</v>
      </c>
      <c r="C95" s="82">
        <f>VLOOKUP(A95,'Data shares'!$C$2:$CX$216,100,0)</f>
        <v>6555000</v>
      </c>
      <c r="D95" s="141">
        <f>VLOOKUP(A95,'Data shares'!$C$2:$CY$539,101,0)</f>
        <v>5.0799999999999998E-2</v>
      </c>
      <c r="E95" s="86">
        <f>VLOOKUP($A95,'Data shares'!$C:$FA,74)</f>
        <v>70541250</v>
      </c>
      <c r="F95" s="86">
        <f>VLOOKUP($A95,'Data shares'!$C:$FA,76)</f>
        <v>3041250</v>
      </c>
      <c r="G95" s="87">
        <f>VLOOKUP(A95,'Data shares'!$C$2:$CA$216,77,0)</f>
        <v>4.5100000000000001E-2</v>
      </c>
      <c r="H95" s="86">
        <f>VLOOKUP($A95,'Data shares'!$C:$FA,90)</f>
        <v>40736250</v>
      </c>
      <c r="I95" s="86">
        <f>VLOOKUP($A95,'Data shares'!$C:$FA,92)</f>
        <v>2193750</v>
      </c>
      <c r="J95" s="87">
        <f>VLOOKUP($A95,'Data shares'!$C:$FA,93)</f>
        <v>5.6899999999999999E-2</v>
      </c>
      <c r="K95" s="86">
        <f>VLOOKUP($A95,'Data shares'!$C:$FA,94)</f>
        <v>24228750</v>
      </c>
      <c r="L95" s="86">
        <f>VLOOKUP($A95,'Data shares'!$C:$FA,96)</f>
        <v>1320000</v>
      </c>
      <c r="M95" s="87">
        <f>VLOOKUP($A95,'Data shares'!$C:$FA,97)</f>
        <v>5.7599999999999998E-2</v>
      </c>
      <c r="N95" s="86">
        <f>VLOOKUP($A95,'Data shares'!$C:$FA,78)</f>
        <v>57742500</v>
      </c>
      <c r="O95" s="87">
        <f>VLOOKUP($A95,'Data shares'!$C:$FA,81)</f>
        <v>3.3300000000000003E-2</v>
      </c>
    </row>
    <row r="96" spans="1:15" x14ac:dyDescent="0.25">
      <c r="A96" s="100" t="str">
        <f>'OI(Value)'!A96</f>
        <v>IGL</v>
      </c>
      <c r="B96" s="82">
        <f>VLOOKUP(A96,'Data shares'!$C$2:$CV$216,98,0)</f>
        <v>50484500</v>
      </c>
      <c r="C96" s="82">
        <f>VLOOKUP(A96,'Data shares'!$C$2:$CX$216,100,0)</f>
        <v>277750</v>
      </c>
      <c r="D96" s="141">
        <f>VLOOKUP(A96,'Data shares'!$C$2:$CY$539,101,0)</f>
        <v>5.4999999999999997E-3</v>
      </c>
      <c r="E96" s="86">
        <f>VLOOKUP($A96,'Data shares'!$C:$FA,74)</f>
        <v>20407750</v>
      </c>
      <c r="F96" s="86">
        <f>VLOOKUP($A96,'Data shares'!$C:$FA,76)</f>
        <v>52250</v>
      </c>
      <c r="G96" s="87">
        <f>VLOOKUP(A96,'Data shares'!$C$2:$CA$216,77,0)</f>
        <v>2.5999999999999999E-3</v>
      </c>
      <c r="H96" s="86">
        <f>VLOOKUP($A96,'Data shares'!$C:$FA,90)</f>
        <v>20028250</v>
      </c>
      <c r="I96" s="86">
        <f>VLOOKUP($A96,'Data shares'!$C:$FA,92)</f>
        <v>244750</v>
      </c>
      <c r="J96" s="87">
        <f>VLOOKUP($A96,'Data shares'!$C:$FA,93)</f>
        <v>1.24E-2</v>
      </c>
      <c r="K96" s="86">
        <f>VLOOKUP($A96,'Data shares'!$C:$FA,94)</f>
        <v>10048500</v>
      </c>
      <c r="L96" s="86">
        <f>VLOOKUP($A96,'Data shares'!$C:$FA,96)</f>
        <v>-19250</v>
      </c>
      <c r="M96" s="87">
        <f>VLOOKUP($A96,'Data shares'!$C:$FA,97)</f>
        <v>-1.9E-3</v>
      </c>
      <c r="N96" s="86">
        <f>VLOOKUP($A96,'Data shares'!$C:$FA,78)</f>
        <v>18480000</v>
      </c>
      <c r="O96" s="87">
        <f>VLOOKUP($A96,'Data shares'!$C:$FA,81)</f>
        <v>-4.1000000000000003E-3</v>
      </c>
    </row>
    <row r="97" spans="1:15" x14ac:dyDescent="0.25">
      <c r="A97" s="100" t="str">
        <f>'OI(Value)'!A97</f>
        <v>IIFL</v>
      </c>
      <c r="B97" s="82">
        <f>VLOOKUP(A97,'Data shares'!$C$2:$CV$216,98,0)</f>
        <v>23530650</v>
      </c>
      <c r="C97" s="82">
        <f>VLOOKUP(A97,'Data shares'!$C$2:$CX$216,100,0)</f>
        <v>-313500</v>
      </c>
      <c r="D97" s="141">
        <f>VLOOKUP(A97,'Data shares'!$C$2:$CY$539,101,0)</f>
        <v>-1.3100000000000001E-2</v>
      </c>
      <c r="E97" s="86">
        <f>VLOOKUP($A97,'Data shares'!$C:$FA,74)</f>
        <v>15952200</v>
      </c>
      <c r="F97" s="86">
        <f>VLOOKUP($A97,'Data shares'!$C:$FA,76)</f>
        <v>-145200</v>
      </c>
      <c r="G97" s="87">
        <f>VLOOKUP(A97,'Data shares'!$C$2:$CA$216,77,0)</f>
        <v>-8.9999999999999993E-3</v>
      </c>
      <c r="H97" s="86">
        <f>VLOOKUP($A97,'Data shares'!$C:$FA,90)</f>
        <v>4448400</v>
      </c>
      <c r="I97" s="86">
        <f>VLOOKUP($A97,'Data shares'!$C:$FA,92)</f>
        <v>33000</v>
      </c>
      <c r="J97" s="87">
        <f>VLOOKUP($A97,'Data shares'!$C:$FA,93)</f>
        <v>7.4999999999999997E-3</v>
      </c>
      <c r="K97" s="86">
        <f>VLOOKUP($A97,'Data shares'!$C:$FA,94)</f>
        <v>3130050</v>
      </c>
      <c r="L97" s="86">
        <f>VLOOKUP($A97,'Data shares'!$C:$FA,96)</f>
        <v>-201300</v>
      </c>
      <c r="M97" s="87">
        <f>VLOOKUP($A97,'Data shares'!$C:$FA,97)</f>
        <v>-6.0400000000000002E-2</v>
      </c>
      <c r="N97" s="86">
        <f>VLOOKUP($A97,'Data shares'!$C:$FA,78)</f>
        <v>15491850</v>
      </c>
      <c r="O97" s="87">
        <f>VLOOKUP($A97,'Data shares'!$C:$FA,81)</f>
        <v>-1.4200000000000001E-2</v>
      </c>
    </row>
    <row r="98" spans="1:15" x14ac:dyDescent="0.25">
      <c r="A98" s="100" t="str">
        <f>'OI(Value)'!A98</f>
        <v>INDHOTEL</v>
      </c>
      <c r="B98" s="82">
        <f>VLOOKUP(A98,'Data shares'!$C$2:$CV$216,98,0)</f>
        <v>50689000</v>
      </c>
      <c r="C98" s="82">
        <f>VLOOKUP(A98,'Data shares'!$C$2:$CX$216,100,0)</f>
        <v>-2610000</v>
      </c>
      <c r="D98" s="141">
        <f>VLOOKUP(A98,'Data shares'!$C$2:$CY$539,101,0)</f>
        <v>-4.9000000000000002E-2</v>
      </c>
      <c r="E98" s="86">
        <f>VLOOKUP($A98,'Data shares'!$C:$FA,74)</f>
        <v>28721000</v>
      </c>
      <c r="F98" s="86">
        <f>VLOOKUP($A98,'Data shares'!$C:$FA,76)</f>
        <v>-1161000</v>
      </c>
      <c r="G98" s="87">
        <f>VLOOKUP(A98,'Data shares'!$C$2:$CA$216,77,0)</f>
        <v>-3.8899999999999997E-2</v>
      </c>
      <c r="H98" s="86">
        <f>VLOOKUP($A98,'Data shares'!$C:$FA,90)</f>
        <v>14768000</v>
      </c>
      <c r="I98" s="86">
        <f>VLOOKUP($A98,'Data shares'!$C:$FA,92)</f>
        <v>-1048000</v>
      </c>
      <c r="J98" s="87">
        <f>VLOOKUP($A98,'Data shares'!$C:$FA,93)</f>
        <v>-6.6299999999999998E-2</v>
      </c>
      <c r="K98" s="86">
        <f>VLOOKUP($A98,'Data shares'!$C:$FA,94)</f>
        <v>7200000</v>
      </c>
      <c r="L98" s="86">
        <f>VLOOKUP($A98,'Data shares'!$C:$FA,96)</f>
        <v>-401000</v>
      </c>
      <c r="M98" s="87">
        <f>VLOOKUP($A98,'Data shares'!$C:$FA,97)</f>
        <v>-5.28E-2</v>
      </c>
      <c r="N98" s="86">
        <f>VLOOKUP($A98,'Data shares'!$C:$FA,78)</f>
        <v>26830000</v>
      </c>
      <c r="O98" s="87">
        <f>VLOOKUP($A98,'Data shares'!$C:$FA,81)</f>
        <v>-4.0800000000000003E-2</v>
      </c>
    </row>
    <row r="99" spans="1:15" x14ac:dyDescent="0.25">
      <c r="A99" s="100" t="str">
        <f>'OI(Value)'!A99</f>
        <v>INDIANB</v>
      </c>
      <c r="B99" s="82">
        <f>VLOOKUP(A99,'Data shares'!$C$2:$CV$216,98,0)</f>
        <v>16663000</v>
      </c>
      <c r="C99" s="82">
        <f>VLOOKUP(A99,'Data shares'!$C$2:$CX$216,100,0)</f>
        <v>2900000</v>
      </c>
      <c r="D99" s="141">
        <f>VLOOKUP(A99,'Data shares'!$C$2:$CY$539,101,0)</f>
        <v>0.2107</v>
      </c>
      <c r="E99" s="86">
        <f>VLOOKUP($A99,'Data shares'!$C:$FA,74)</f>
        <v>7555000</v>
      </c>
      <c r="F99" s="86">
        <f>VLOOKUP($A99,'Data shares'!$C:$FA,76)</f>
        <v>140000</v>
      </c>
      <c r="G99" s="87">
        <f>VLOOKUP(A99,'Data shares'!$C$2:$CA$216,77,0)</f>
        <v>1.89E-2</v>
      </c>
      <c r="H99" s="86">
        <f>VLOOKUP($A99,'Data shares'!$C:$FA,90)</f>
        <v>5625000</v>
      </c>
      <c r="I99" s="86">
        <f>VLOOKUP($A99,'Data shares'!$C:$FA,92)</f>
        <v>2236000</v>
      </c>
      <c r="J99" s="87">
        <f>VLOOKUP($A99,'Data shares'!$C:$FA,93)</f>
        <v>0.65980000000000005</v>
      </c>
      <c r="K99" s="86">
        <f>VLOOKUP($A99,'Data shares'!$C:$FA,94)</f>
        <v>3483000</v>
      </c>
      <c r="L99" s="86">
        <f>VLOOKUP($A99,'Data shares'!$C:$FA,96)</f>
        <v>524000</v>
      </c>
      <c r="M99" s="87">
        <f>VLOOKUP($A99,'Data shares'!$C:$FA,97)</f>
        <v>0.17710000000000001</v>
      </c>
      <c r="N99" s="86">
        <f>VLOOKUP($A99,'Data shares'!$C:$FA,78)</f>
        <v>7013000</v>
      </c>
      <c r="O99" s="87">
        <f>VLOOKUP($A99,'Data shares'!$C:$FA,81)</f>
        <v>-1.5900000000000001E-2</v>
      </c>
    </row>
    <row r="100" spans="1:15" x14ac:dyDescent="0.25">
      <c r="A100" s="100" t="str">
        <f>'OI(Value)'!A100</f>
        <v>INDIAVIX</v>
      </c>
      <c r="B100" s="82">
        <f>VLOOKUP(A100,'Data shares'!$C$2:$CV$216,98,0)</f>
        <v>0</v>
      </c>
      <c r="C100" s="82">
        <f>VLOOKUP(A100,'Data shares'!$C$2:$CX$216,100,0)</f>
        <v>0</v>
      </c>
      <c r="D100" s="141">
        <f>VLOOKUP(A100,'Data shares'!$C$2:$CY$539,101,0)</f>
        <v>0</v>
      </c>
      <c r="E100" s="86">
        <f>VLOOKUP($A100,'Data shares'!$C:$FA,74)</f>
        <v>0</v>
      </c>
      <c r="F100" s="86">
        <f>VLOOKUP($A100,'Data shares'!$C:$FA,76)</f>
        <v>0</v>
      </c>
      <c r="G100" s="87">
        <f>VLOOKUP(A100,'Data shares'!$C$2:$CA$216,77,0)</f>
        <v>0</v>
      </c>
      <c r="H100" s="86">
        <f>VLOOKUP($A100,'Data shares'!$C:$FA,90)</f>
        <v>0</v>
      </c>
      <c r="I100" s="86">
        <f>VLOOKUP($A100,'Data shares'!$C:$FA,92)</f>
        <v>0</v>
      </c>
      <c r="J100" s="87">
        <f>VLOOKUP($A100,'Data shares'!$C:$FA,93)</f>
        <v>0</v>
      </c>
      <c r="K100" s="86">
        <f>VLOOKUP($A100,'Data shares'!$C:$FA,94)</f>
        <v>0</v>
      </c>
      <c r="L100" s="86">
        <f>VLOOKUP($A100,'Data shares'!$C:$FA,96)</f>
        <v>0</v>
      </c>
      <c r="M100" s="87">
        <f>VLOOKUP($A100,'Data shares'!$C:$FA,97)</f>
        <v>0</v>
      </c>
      <c r="N100" s="86">
        <f>VLOOKUP($A100,'Data shares'!$C:$FA,78)</f>
        <v>0</v>
      </c>
      <c r="O100" s="87">
        <f>VLOOKUP($A100,'Data shares'!$C:$FA,81)</f>
        <v>0</v>
      </c>
    </row>
    <row r="101" spans="1:15" x14ac:dyDescent="0.25">
      <c r="A101" s="100" t="str">
        <f>'OI(Value)'!A101</f>
        <v>INDIGO</v>
      </c>
      <c r="B101" s="82">
        <f>VLOOKUP(A101,'Data shares'!$C$2:$CV$216,98,0)</f>
        <v>11534850</v>
      </c>
      <c r="C101" s="82">
        <f>VLOOKUP(A101,'Data shares'!$C$2:$CX$216,100,0)</f>
        <v>226200</v>
      </c>
      <c r="D101" s="141">
        <f>VLOOKUP(A101,'Data shares'!$C$2:$CY$539,101,0)</f>
        <v>0.02</v>
      </c>
      <c r="E101" s="86">
        <f>VLOOKUP($A101,'Data shares'!$C:$FA,74)</f>
        <v>7973700</v>
      </c>
      <c r="F101" s="86">
        <f>VLOOKUP($A101,'Data shares'!$C:$FA,76)</f>
        <v>60450</v>
      </c>
      <c r="G101" s="87">
        <f>VLOOKUP(A101,'Data shares'!$C$2:$CA$216,77,0)</f>
        <v>7.6E-3</v>
      </c>
      <c r="H101" s="86">
        <f>VLOOKUP($A101,'Data shares'!$C:$FA,90)</f>
        <v>1998900</v>
      </c>
      <c r="I101" s="86">
        <f>VLOOKUP($A101,'Data shares'!$C:$FA,92)</f>
        <v>131550</v>
      </c>
      <c r="J101" s="87">
        <f>VLOOKUP($A101,'Data shares'!$C:$FA,93)</f>
        <v>7.0400000000000004E-2</v>
      </c>
      <c r="K101" s="86">
        <f>VLOOKUP($A101,'Data shares'!$C:$FA,94)</f>
        <v>1562250</v>
      </c>
      <c r="L101" s="86">
        <f>VLOOKUP($A101,'Data shares'!$C:$FA,96)</f>
        <v>34200</v>
      </c>
      <c r="M101" s="87">
        <f>VLOOKUP($A101,'Data shares'!$C:$FA,97)</f>
        <v>2.24E-2</v>
      </c>
      <c r="N101" s="86">
        <f>VLOOKUP($A101,'Data shares'!$C:$FA,78)</f>
        <v>7537650</v>
      </c>
      <c r="O101" s="87">
        <f>VLOOKUP($A101,'Data shares'!$C:$FA,81)</f>
        <v>-7.7000000000000002E-3</v>
      </c>
    </row>
    <row r="102" spans="1:15" x14ac:dyDescent="0.25">
      <c r="A102" s="100" t="str">
        <f>'OI(Value)'!A102</f>
        <v>INDUSINDBK</v>
      </c>
      <c r="B102" s="82">
        <f>VLOOKUP(A102,'Data shares'!$C$2:$CV$216,98,0)</f>
        <v>81106900</v>
      </c>
      <c r="C102" s="82">
        <f>VLOOKUP(A102,'Data shares'!$C$2:$CX$216,100,0)</f>
        <v>1815800</v>
      </c>
      <c r="D102" s="141">
        <f>VLOOKUP(A102,'Data shares'!$C$2:$CY$539,101,0)</f>
        <v>2.29E-2</v>
      </c>
      <c r="E102" s="86">
        <f>VLOOKUP($A102,'Data shares'!$C:$FA,74)</f>
        <v>54916400</v>
      </c>
      <c r="F102" s="86">
        <f>VLOOKUP($A102,'Data shares'!$C:$FA,76)</f>
        <v>658000</v>
      </c>
      <c r="G102" s="87">
        <f>VLOOKUP(A102,'Data shares'!$C$2:$CA$216,77,0)</f>
        <v>1.21E-2</v>
      </c>
      <c r="H102" s="86">
        <f>VLOOKUP($A102,'Data shares'!$C:$FA,90)</f>
        <v>13916700</v>
      </c>
      <c r="I102" s="86">
        <f>VLOOKUP($A102,'Data shares'!$C:$FA,92)</f>
        <v>685300</v>
      </c>
      <c r="J102" s="87">
        <f>VLOOKUP($A102,'Data shares'!$C:$FA,93)</f>
        <v>5.1799999999999999E-2</v>
      </c>
      <c r="K102" s="86">
        <f>VLOOKUP($A102,'Data shares'!$C:$FA,94)</f>
        <v>12273800</v>
      </c>
      <c r="L102" s="86">
        <f>VLOOKUP($A102,'Data shares'!$C:$FA,96)</f>
        <v>472500</v>
      </c>
      <c r="M102" s="87">
        <f>VLOOKUP($A102,'Data shares'!$C:$FA,97)</f>
        <v>0.04</v>
      </c>
      <c r="N102" s="86">
        <f>VLOOKUP($A102,'Data shares'!$C:$FA,78)</f>
        <v>50482600</v>
      </c>
      <c r="O102" s="87">
        <f>VLOOKUP($A102,'Data shares'!$C:$FA,81)</f>
        <v>-1.4E-3</v>
      </c>
    </row>
    <row r="103" spans="1:15" x14ac:dyDescent="0.25">
      <c r="A103" s="100" t="str">
        <f>'OI(Value)'!A103</f>
        <v>INDUSTOWER</v>
      </c>
      <c r="B103" s="82">
        <f>VLOOKUP(A103,'Data shares'!$C$2:$CV$216,98,0)</f>
        <v>124999300</v>
      </c>
      <c r="C103" s="82">
        <f>VLOOKUP(A103,'Data shares'!$C$2:$CX$216,100,0)</f>
        <v>872100</v>
      </c>
      <c r="D103" s="141">
        <f>VLOOKUP(A103,'Data shares'!$C$2:$CY$539,101,0)</f>
        <v>7.0000000000000001E-3</v>
      </c>
      <c r="E103" s="86">
        <f>VLOOKUP($A103,'Data shares'!$C:$FA,74)</f>
        <v>90015000</v>
      </c>
      <c r="F103" s="86">
        <f>VLOOKUP($A103,'Data shares'!$C:$FA,76)</f>
        <v>260100</v>
      </c>
      <c r="G103" s="87">
        <f>VLOOKUP(A103,'Data shares'!$C$2:$CA$216,77,0)</f>
        <v>2.8999999999999998E-3</v>
      </c>
      <c r="H103" s="86">
        <f>VLOOKUP($A103,'Data shares'!$C:$FA,90)</f>
        <v>20124600</v>
      </c>
      <c r="I103" s="86">
        <f>VLOOKUP($A103,'Data shares'!$C:$FA,92)</f>
        <v>139400</v>
      </c>
      <c r="J103" s="87">
        <f>VLOOKUP($A103,'Data shares'!$C:$FA,93)</f>
        <v>7.0000000000000001E-3</v>
      </c>
      <c r="K103" s="86">
        <f>VLOOKUP($A103,'Data shares'!$C:$FA,94)</f>
        <v>14859700</v>
      </c>
      <c r="L103" s="86">
        <f>VLOOKUP($A103,'Data shares'!$C:$FA,96)</f>
        <v>472600</v>
      </c>
      <c r="M103" s="87">
        <f>VLOOKUP($A103,'Data shares'!$C:$FA,97)</f>
        <v>3.2800000000000003E-2</v>
      </c>
      <c r="N103" s="86">
        <f>VLOOKUP($A103,'Data shares'!$C:$FA,78)</f>
        <v>86871700</v>
      </c>
      <c r="O103" s="87">
        <f>VLOOKUP($A103,'Data shares'!$C:$FA,81)</f>
        <v>4.0000000000000002E-4</v>
      </c>
    </row>
    <row r="104" spans="1:15" x14ac:dyDescent="0.25">
      <c r="A104" s="100" t="str">
        <f>'OI(Value)'!A104</f>
        <v>INFY</v>
      </c>
      <c r="B104" s="82">
        <f>VLOOKUP(A104,'Data shares'!$C$2:$CV$216,98,0)</f>
        <v>146981600</v>
      </c>
      <c r="C104" s="82">
        <f>VLOOKUP(A104,'Data shares'!$C$2:$CX$216,100,0)</f>
        <v>17116000</v>
      </c>
      <c r="D104" s="141">
        <f>VLOOKUP(A104,'Data shares'!$C$2:$CY$539,101,0)</f>
        <v>0.1318</v>
      </c>
      <c r="E104" s="86">
        <f>VLOOKUP($A104,'Data shares'!$C:$FA,74)</f>
        <v>66774000</v>
      </c>
      <c r="F104" s="86">
        <f>VLOOKUP($A104,'Data shares'!$C:$FA,76)</f>
        <v>2018800</v>
      </c>
      <c r="G104" s="87">
        <f>VLOOKUP(A104,'Data shares'!$C$2:$CA$216,77,0)</f>
        <v>3.1199999999999999E-2</v>
      </c>
      <c r="H104" s="86">
        <f>VLOOKUP($A104,'Data shares'!$C:$FA,90)</f>
        <v>54339600</v>
      </c>
      <c r="I104" s="86">
        <f>VLOOKUP($A104,'Data shares'!$C:$FA,92)</f>
        <v>10480400</v>
      </c>
      <c r="J104" s="87">
        <f>VLOOKUP($A104,'Data shares'!$C:$FA,93)</f>
        <v>0.23899999999999999</v>
      </c>
      <c r="K104" s="86">
        <f>VLOOKUP($A104,'Data shares'!$C:$FA,94)</f>
        <v>25868000</v>
      </c>
      <c r="L104" s="86">
        <f>VLOOKUP($A104,'Data shares'!$C:$FA,96)</f>
        <v>4616800</v>
      </c>
      <c r="M104" s="87">
        <f>VLOOKUP($A104,'Data shares'!$C:$FA,97)</f>
        <v>0.2172</v>
      </c>
      <c r="N104" s="86">
        <f>VLOOKUP($A104,'Data shares'!$C:$FA,78)</f>
        <v>44165600</v>
      </c>
      <c r="O104" s="87">
        <f>VLOOKUP($A104,'Data shares'!$C:$FA,81)</f>
        <v>1.7100000000000001E-2</v>
      </c>
    </row>
    <row r="105" spans="1:15" x14ac:dyDescent="0.25">
      <c r="A105" s="100" t="str">
        <f>'OI(Value)'!A105</f>
        <v>INOXWIND</v>
      </c>
      <c r="B105" s="82">
        <f>VLOOKUP(A105,'Data shares'!$C$2:$CV$216,98,0)</f>
        <v>78770128</v>
      </c>
      <c r="C105" s="82">
        <f>VLOOKUP(A105,'Data shares'!$C$2:$CX$216,100,0)</f>
        <v>1014320</v>
      </c>
      <c r="D105" s="141">
        <f>VLOOKUP(A105,'Data shares'!$C$2:$CY$539,101,0)</f>
        <v>1.2999999999999999E-2</v>
      </c>
      <c r="E105" s="86">
        <f>VLOOKUP($A105,'Data shares'!$C:$FA,74)</f>
        <v>47601056</v>
      </c>
      <c r="F105" s="86">
        <f>VLOOKUP($A105,'Data shares'!$C:$FA,76)</f>
        <v>330472</v>
      </c>
      <c r="G105" s="87">
        <f>VLOOKUP(A105,'Data shares'!$C$2:$CA$216,77,0)</f>
        <v>7.0000000000000001E-3</v>
      </c>
      <c r="H105" s="86">
        <f>VLOOKUP($A105,'Data shares'!$C:$FA,90)</f>
        <v>21389064</v>
      </c>
      <c r="I105" s="86">
        <f>VLOOKUP($A105,'Data shares'!$C:$FA,92)</f>
        <v>471168</v>
      </c>
      <c r="J105" s="87">
        <f>VLOOKUP($A105,'Data shares'!$C:$FA,93)</f>
        <v>2.2499999999999999E-2</v>
      </c>
      <c r="K105" s="86">
        <f>VLOOKUP($A105,'Data shares'!$C:$FA,94)</f>
        <v>9780008</v>
      </c>
      <c r="L105" s="86">
        <f>VLOOKUP($A105,'Data shares'!$C:$FA,96)</f>
        <v>212680</v>
      </c>
      <c r="M105" s="87">
        <f>VLOOKUP($A105,'Data shares'!$C:$FA,97)</f>
        <v>2.2200000000000001E-2</v>
      </c>
      <c r="N105" s="86">
        <f>VLOOKUP($A105,'Data shares'!$C:$FA,78)</f>
        <v>44626808</v>
      </c>
      <c r="O105" s="87">
        <f>VLOOKUP($A105,'Data shares'!$C:$FA,81)</f>
        <v>3.0999999999999999E-3</v>
      </c>
    </row>
    <row r="106" spans="1:15" x14ac:dyDescent="0.25">
      <c r="A106" s="100" t="str">
        <f>'OI(Value)'!A106</f>
        <v>IOC</v>
      </c>
      <c r="B106" s="82">
        <f>VLOOKUP(A106,'Data shares'!$C$2:$CV$216,98,0)</f>
        <v>194585625</v>
      </c>
      <c r="C106" s="82">
        <f>VLOOKUP(A106,'Data shares'!$C$2:$CX$216,100,0)</f>
        <v>5074875</v>
      </c>
      <c r="D106" s="141">
        <f>VLOOKUP(A106,'Data shares'!$C$2:$CY$539,101,0)</f>
        <v>2.6800000000000001E-2</v>
      </c>
      <c r="E106" s="86">
        <f>VLOOKUP($A106,'Data shares'!$C:$FA,74)</f>
        <v>107464500</v>
      </c>
      <c r="F106" s="86">
        <f>VLOOKUP($A106,'Data shares'!$C:$FA,76)</f>
        <v>848250</v>
      </c>
      <c r="G106" s="87">
        <f>VLOOKUP(A106,'Data shares'!$C$2:$CA$216,77,0)</f>
        <v>8.0000000000000002E-3</v>
      </c>
      <c r="H106" s="86">
        <f>VLOOKUP($A106,'Data shares'!$C:$FA,90)</f>
        <v>52659750</v>
      </c>
      <c r="I106" s="86">
        <f>VLOOKUP($A106,'Data shares'!$C:$FA,92)</f>
        <v>1959750</v>
      </c>
      <c r="J106" s="87">
        <f>VLOOKUP($A106,'Data shares'!$C:$FA,93)</f>
        <v>3.8699999999999998E-2</v>
      </c>
      <c r="K106" s="86">
        <f>VLOOKUP($A106,'Data shares'!$C:$FA,94)</f>
        <v>34461375</v>
      </c>
      <c r="L106" s="86">
        <f>VLOOKUP($A106,'Data shares'!$C:$FA,96)</f>
        <v>2266875</v>
      </c>
      <c r="M106" s="87">
        <f>VLOOKUP($A106,'Data shares'!$C:$FA,97)</f>
        <v>7.0400000000000004E-2</v>
      </c>
      <c r="N106" s="86">
        <f>VLOOKUP($A106,'Data shares'!$C:$FA,78)</f>
        <v>99708375</v>
      </c>
      <c r="O106" s="87">
        <f>VLOOKUP($A106,'Data shares'!$C:$FA,81)</f>
        <v>-2.8E-3</v>
      </c>
    </row>
    <row r="107" spans="1:15" x14ac:dyDescent="0.25">
      <c r="A107" s="100" t="str">
        <f>'OI(Value)'!A107</f>
        <v>IRCTC</v>
      </c>
      <c r="B107" s="82">
        <f>VLOOKUP(A107,'Data shares'!$C$2:$CV$216,98,0)</f>
        <v>31258500</v>
      </c>
      <c r="C107" s="82">
        <f>VLOOKUP(A107,'Data shares'!$C$2:$CX$216,100,0)</f>
        <v>-363125</v>
      </c>
      <c r="D107" s="141">
        <f>VLOOKUP(A107,'Data shares'!$C$2:$CY$539,101,0)</f>
        <v>-1.15E-2</v>
      </c>
      <c r="E107" s="86">
        <f>VLOOKUP($A107,'Data shares'!$C:$FA,74)</f>
        <v>15838375</v>
      </c>
      <c r="F107" s="86">
        <f>VLOOKUP($A107,'Data shares'!$C:$FA,76)</f>
        <v>-209125</v>
      </c>
      <c r="G107" s="87">
        <f>VLOOKUP(A107,'Data shares'!$C$2:$CA$216,77,0)</f>
        <v>-1.2999999999999999E-2</v>
      </c>
      <c r="H107" s="86">
        <f>VLOOKUP($A107,'Data shares'!$C:$FA,90)</f>
        <v>10368750</v>
      </c>
      <c r="I107" s="86">
        <f>VLOOKUP($A107,'Data shares'!$C:$FA,92)</f>
        <v>-875</v>
      </c>
      <c r="J107" s="87">
        <f>VLOOKUP($A107,'Data shares'!$C:$FA,93)</f>
        <v>-1E-4</v>
      </c>
      <c r="K107" s="86">
        <f>VLOOKUP($A107,'Data shares'!$C:$FA,94)</f>
        <v>5051375</v>
      </c>
      <c r="L107" s="86">
        <f>VLOOKUP($A107,'Data shares'!$C:$FA,96)</f>
        <v>-153125</v>
      </c>
      <c r="M107" s="87">
        <f>VLOOKUP($A107,'Data shares'!$C:$FA,97)</f>
        <v>-2.9399999999999999E-2</v>
      </c>
      <c r="N107" s="86">
        <f>VLOOKUP($A107,'Data shares'!$C:$FA,78)</f>
        <v>13572125</v>
      </c>
      <c r="O107" s="87">
        <f>VLOOKUP($A107,'Data shares'!$C:$FA,81)</f>
        <v>-2.4500000000000001E-2</v>
      </c>
    </row>
    <row r="108" spans="1:15" x14ac:dyDescent="0.25">
      <c r="A108" s="100" t="str">
        <f>'OI(Value)'!A108</f>
        <v>IREDA</v>
      </c>
      <c r="B108" s="82">
        <f>VLOOKUP(A108,'Data shares'!$C$2:$CV$216,98,0)</f>
        <v>119928900</v>
      </c>
      <c r="C108" s="82">
        <f>VLOOKUP(A108,'Data shares'!$C$2:$CX$216,100,0)</f>
        <v>6489450</v>
      </c>
      <c r="D108" s="141">
        <f>VLOOKUP(A108,'Data shares'!$C$2:$CY$539,101,0)</f>
        <v>5.7200000000000001E-2</v>
      </c>
      <c r="E108" s="86">
        <f>VLOOKUP($A108,'Data shares'!$C:$FA,74)</f>
        <v>51367050</v>
      </c>
      <c r="F108" s="86">
        <f>VLOOKUP($A108,'Data shares'!$C:$FA,76)</f>
        <v>4071000</v>
      </c>
      <c r="G108" s="87">
        <f>VLOOKUP(A108,'Data shares'!$C$2:$CA$216,77,0)</f>
        <v>8.6099999999999996E-2</v>
      </c>
      <c r="H108" s="86">
        <f>VLOOKUP($A108,'Data shares'!$C:$FA,90)</f>
        <v>48465600</v>
      </c>
      <c r="I108" s="86">
        <f>VLOOKUP($A108,'Data shares'!$C:$FA,92)</f>
        <v>1721550</v>
      </c>
      <c r="J108" s="87">
        <f>VLOOKUP($A108,'Data shares'!$C:$FA,93)</f>
        <v>3.6799999999999999E-2</v>
      </c>
      <c r="K108" s="86">
        <f>VLOOKUP($A108,'Data shares'!$C:$FA,94)</f>
        <v>20096250</v>
      </c>
      <c r="L108" s="86">
        <f>VLOOKUP($A108,'Data shares'!$C:$FA,96)</f>
        <v>696900</v>
      </c>
      <c r="M108" s="87">
        <f>VLOOKUP($A108,'Data shares'!$C:$FA,97)</f>
        <v>3.5900000000000001E-2</v>
      </c>
      <c r="N108" s="86">
        <f>VLOOKUP($A108,'Data shares'!$C:$FA,78)</f>
        <v>39419700</v>
      </c>
      <c r="O108" s="87">
        <f>VLOOKUP($A108,'Data shares'!$C:$FA,81)</f>
        <v>4.2500000000000003E-2</v>
      </c>
    </row>
    <row r="109" spans="1:15" x14ac:dyDescent="0.25">
      <c r="A109" s="100" t="str">
        <f>'OI(Value)'!A109</f>
        <v>IRFC</v>
      </c>
      <c r="B109" s="82">
        <f>VLOOKUP(A109,'Data shares'!$C$2:$CV$216,98,0)</f>
        <v>112799250</v>
      </c>
      <c r="C109" s="82">
        <f>VLOOKUP(A109,'Data shares'!$C$2:$CX$216,100,0)</f>
        <v>3969500</v>
      </c>
      <c r="D109" s="141">
        <f>VLOOKUP(A109,'Data shares'!$C$2:$CY$539,101,0)</f>
        <v>3.6499999999999998E-2</v>
      </c>
      <c r="E109" s="86">
        <f>VLOOKUP($A109,'Data shares'!$C:$FA,74)</f>
        <v>49933250</v>
      </c>
      <c r="F109" s="86">
        <f>VLOOKUP($A109,'Data shares'!$C:$FA,76)</f>
        <v>2167500</v>
      </c>
      <c r="G109" s="87">
        <f>VLOOKUP(A109,'Data shares'!$C$2:$CA$216,77,0)</f>
        <v>4.5400000000000003E-2</v>
      </c>
      <c r="H109" s="86">
        <f>VLOOKUP($A109,'Data shares'!$C:$FA,90)</f>
        <v>43928000</v>
      </c>
      <c r="I109" s="86">
        <f>VLOOKUP($A109,'Data shares'!$C:$FA,92)</f>
        <v>1219750</v>
      </c>
      <c r="J109" s="87">
        <f>VLOOKUP($A109,'Data shares'!$C:$FA,93)</f>
        <v>2.86E-2</v>
      </c>
      <c r="K109" s="86">
        <f>VLOOKUP($A109,'Data shares'!$C:$FA,94)</f>
        <v>18938000</v>
      </c>
      <c r="L109" s="86">
        <f>VLOOKUP($A109,'Data shares'!$C:$FA,96)</f>
        <v>582250</v>
      </c>
      <c r="M109" s="87">
        <f>VLOOKUP($A109,'Data shares'!$C:$FA,97)</f>
        <v>3.1699999999999999E-2</v>
      </c>
      <c r="N109" s="86">
        <f>VLOOKUP($A109,'Data shares'!$C:$FA,78)</f>
        <v>42376750</v>
      </c>
      <c r="O109" s="87">
        <f>VLOOKUP($A109,'Data shares'!$C:$FA,81)</f>
        <v>2.3699999999999999E-2</v>
      </c>
    </row>
    <row r="110" spans="1:15" x14ac:dyDescent="0.25">
      <c r="A110" s="100" t="str">
        <f>'OI(Value)'!A110</f>
        <v>ITC</v>
      </c>
      <c r="B110" s="82">
        <f>VLOOKUP(A110,'Data shares'!$C$2:$CV$216,98,0)</f>
        <v>221566400</v>
      </c>
      <c r="C110" s="82">
        <f>VLOOKUP(A110,'Data shares'!$C$2:$CX$216,100,0)</f>
        <v>-3220800</v>
      </c>
      <c r="D110" s="141">
        <f>VLOOKUP(A110,'Data shares'!$C$2:$CY$539,101,0)</f>
        <v>-1.43E-2</v>
      </c>
      <c r="E110" s="86">
        <f>VLOOKUP($A110,'Data shares'!$C:$FA,74)</f>
        <v>144361600</v>
      </c>
      <c r="F110" s="86">
        <f>VLOOKUP($A110,'Data shares'!$C:$FA,76)</f>
        <v>4000000</v>
      </c>
      <c r="G110" s="87">
        <f>VLOOKUP(A110,'Data shares'!$C$2:$CA$216,77,0)</f>
        <v>2.8500000000000001E-2</v>
      </c>
      <c r="H110" s="86">
        <f>VLOOKUP($A110,'Data shares'!$C:$FA,90)</f>
        <v>44254400</v>
      </c>
      <c r="I110" s="86">
        <f>VLOOKUP($A110,'Data shares'!$C:$FA,92)</f>
        <v>-6308800</v>
      </c>
      <c r="J110" s="87">
        <f>VLOOKUP($A110,'Data shares'!$C:$FA,93)</f>
        <v>-0.12479999999999999</v>
      </c>
      <c r="K110" s="86">
        <f>VLOOKUP($A110,'Data shares'!$C:$FA,94)</f>
        <v>32950400</v>
      </c>
      <c r="L110" s="86">
        <f>VLOOKUP($A110,'Data shares'!$C:$FA,96)</f>
        <v>-912000</v>
      </c>
      <c r="M110" s="87">
        <f>VLOOKUP($A110,'Data shares'!$C:$FA,97)</f>
        <v>-2.69E-2</v>
      </c>
      <c r="N110" s="86">
        <f>VLOOKUP($A110,'Data shares'!$C:$FA,78)</f>
        <v>129587200</v>
      </c>
      <c r="O110" s="87">
        <f>VLOOKUP($A110,'Data shares'!$C:$FA,81)</f>
        <v>8.9999999999999993E-3</v>
      </c>
    </row>
    <row r="111" spans="1:15" x14ac:dyDescent="0.25">
      <c r="A111" s="100" t="str">
        <f>'OI(Value)'!A111</f>
        <v>JINDALSTEL</v>
      </c>
      <c r="B111" s="82">
        <f>VLOOKUP(A111,'Data shares'!$C$2:$CV$216,98,0)</f>
        <v>26727500</v>
      </c>
      <c r="C111" s="82">
        <f>VLOOKUP(A111,'Data shares'!$C$2:$CX$216,100,0)</f>
        <v>-1364375</v>
      </c>
      <c r="D111" s="141">
        <f>VLOOKUP(A111,'Data shares'!$C$2:$CY$539,101,0)</f>
        <v>-4.8599999999999997E-2</v>
      </c>
      <c r="E111" s="86">
        <f>VLOOKUP($A111,'Data shares'!$C:$FA,74)</f>
        <v>14325000</v>
      </c>
      <c r="F111" s="86">
        <f>VLOOKUP($A111,'Data shares'!$C:$FA,76)</f>
        <v>-476250</v>
      </c>
      <c r="G111" s="87">
        <f>VLOOKUP(A111,'Data shares'!$C$2:$CA$216,77,0)</f>
        <v>-3.2199999999999999E-2</v>
      </c>
      <c r="H111" s="86">
        <f>VLOOKUP($A111,'Data shares'!$C:$FA,90)</f>
        <v>8210000</v>
      </c>
      <c r="I111" s="86">
        <f>VLOOKUP($A111,'Data shares'!$C:$FA,92)</f>
        <v>-952500</v>
      </c>
      <c r="J111" s="87">
        <f>VLOOKUP($A111,'Data shares'!$C:$FA,93)</f>
        <v>-0.104</v>
      </c>
      <c r="K111" s="86">
        <f>VLOOKUP($A111,'Data shares'!$C:$FA,94)</f>
        <v>4192500</v>
      </c>
      <c r="L111" s="86">
        <f>VLOOKUP($A111,'Data shares'!$C:$FA,96)</f>
        <v>64375</v>
      </c>
      <c r="M111" s="87">
        <f>VLOOKUP($A111,'Data shares'!$C:$FA,97)</f>
        <v>1.5599999999999999E-2</v>
      </c>
      <c r="N111" s="86">
        <f>VLOOKUP($A111,'Data shares'!$C:$FA,78)</f>
        <v>13994375</v>
      </c>
      <c r="O111" s="87">
        <f>VLOOKUP($A111,'Data shares'!$C:$FA,81)</f>
        <v>-3.4299999999999997E-2</v>
      </c>
    </row>
    <row r="112" spans="1:15" x14ac:dyDescent="0.25">
      <c r="A112" s="100" t="str">
        <f>'OI(Value)'!A112</f>
        <v>JIOFIN</v>
      </c>
      <c r="B112" s="82">
        <f>VLOOKUP(A112,'Data shares'!$C$2:$CV$216,98,0)</f>
        <v>257980650</v>
      </c>
      <c r="C112" s="82">
        <f>VLOOKUP(A112,'Data shares'!$C$2:$CX$216,100,0)</f>
        <v>17385300</v>
      </c>
      <c r="D112" s="141">
        <f>VLOOKUP(A112,'Data shares'!$C$2:$CY$539,101,0)</f>
        <v>7.2300000000000003E-2</v>
      </c>
      <c r="E112" s="86">
        <f>VLOOKUP($A112,'Data shares'!$C:$FA,74)</f>
        <v>141307850</v>
      </c>
      <c r="F112" s="86">
        <f>VLOOKUP($A112,'Data shares'!$C:$FA,76)</f>
        <v>3191300</v>
      </c>
      <c r="G112" s="87">
        <f>VLOOKUP(A112,'Data shares'!$C$2:$CA$216,77,0)</f>
        <v>2.3099999999999999E-2</v>
      </c>
      <c r="H112" s="86">
        <f>VLOOKUP($A112,'Data shares'!$C:$FA,90)</f>
        <v>73566750</v>
      </c>
      <c r="I112" s="86">
        <f>VLOOKUP($A112,'Data shares'!$C:$FA,92)</f>
        <v>10530350</v>
      </c>
      <c r="J112" s="87">
        <f>VLOOKUP($A112,'Data shares'!$C:$FA,93)</f>
        <v>0.1671</v>
      </c>
      <c r="K112" s="86">
        <f>VLOOKUP($A112,'Data shares'!$C:$FA,94)</f>
        <v>43106050</v>
      </c>
      <c r="L112" s="86">
        <f>VLOOKUP($A112,'Data shares'!$C:$FA,96)</f>
        <v>3663650</v>
      </c>
      <c r="M112" s="87">
        <f>VLOOKUP($A112,'Data shares'!$C:$FA,97)</f>
        <v>9.2899999999999996E-2</v>
      </c>
      <c r="N112" s="86">
        <f>VLOOKUP($A112,'Data shares'!$C:$FA,78)</f>
        <v>123116500</v>
      </c>
      <c r="O112" s="87">
        <f>VLOOKUP($A112,'Data shares'!$C:$FA,81)</f>
        <v>4.4999999999999997E-3</v>
      </c>
    </row>
    <row r="113" spans="1:15" x14ac:dyDescent="0.25">
      <c r="A113" s="100" t="str">
        <f>'OI(Value)'!A113</f>
        <v>JSWENERGY</v>
      </c>
      <c r="B113" s="82">
        <f>VLOOKUP(A113,'Data shares'!$C$2:$CV$216,98,0)</f>
        <v>50654000</v>
      </c>
      <c r="C113" s="82">
        <f>VLOOKUP(A113,'Data shares'!$C$2:$CX$216,100,0)</f>
        <v>292000</v>
      </c>
      <c r="D113" s="141">
        <f>VLOOKUP(A113,'Data shares'!$C$2:$CY$539,101,0)</f>
        <v>5.7999999999999996E-3</v>
      </c>
      <c r="E113" s="86">
        <f>VLOOKUP($A113,'Data shares'!$C:$FA,74)</f>
        <v>36996000</v>
      </c>
      <c r="F113" s="86">
        <f>VLOOKUP($A113,'Data shares'!$C:$FA,76)</f>
        <v>-582000</v>
      </c>
      <c r="G113" s="87">
        <f>VLOOKUP(A113,'Data shares'!$C$2:$CA$216,77,0)</f>
        <v>-1.55E-2</v>
      </c>
      <c r="H113" s="86">
        <f>VLOOKUP($A113,'Data shares'!$C:$FA,90)</f>
        <v>9454000</v>
      </c>
      <c r="I113" s="86">
        <f>VLOOKUP($A113,'Data shares'!$C:$FA,92)</f>
        <v>707000</v>
      </c>
      <c r="J113" s="87">
        <f>VLOOKUP($A113,'Data shares'!$C:$FA,93)</f>
        <v>8.0799999999999997E-2</v>
      </c>
      <c r="K113" s="86">
        <f>VLOOKUP($A113,'Data shares'!$C:$FA,94)</f>
        <v>4204000</v>
      </c>
      <c r="L113" s="86">
        <f>VLOOKUP($A113,'Data shares'!$C:$FA,96)</f>
        <v>167000</v>
      </c>
      <c r="M113" s="87">
        <f>VLOOKUP($A113,'Data shares'!$C:$FA,97)</f>
        <v>4.1399999999999999E-2</v>
      </c>
      <c r="N113" s="86">
        <f>VLOOKUP($A113,'Data shares'!$C:$FA,78)</f>
        <v>36350000</v>
      </c>
      <c r="O113" s="87">
        <f>VLOOKUP($A113,'Data shares'!$C:$FA,81)</f>
        <v>-1.83E-2</v>
      </c>
    </row>
    <row r="114" spans="1:15" x14ac:dyDescent="0.25">
      <c r="A114" s="100" t="str">
        <f>'OI(Value)'!A114</f>
        <v>JSWSTEEL</v>
      </c>
      <c r="B114" s="82">
        <f>VLOOKUP(A114,'Data shares'!$C$2:$CV$216,98,0)</f>
        <v>55602450</v>
      </c>
      <c r="C114" s="82">
        <f>VLOOKUP(A114,'Data shares'!$C$2:$CX$216,100,0)</f>
        <v>247725</v>
      </c>
      <c r="D114" s="141">
        <f>VLOOKUP(A114,'Data shares'!$C$2:$CY$539,101,0)</f>
        <v>4.4999999999999997E-3</v>
      </c>
      <c r="E114" s="86">
        <f>VLOOKUP($A114,'Data shares'!$C:$FA,74)</f>
        <v>45105525</v>
      </c>
      <c r="F114" s="86">
        <f>VLOOKUP($A114,'Data shares'!$C:$FA,76)</f>
        <v>4725</v>
      </c>
      <c r="G114" s="87">
        <f>VLOOKUP(A114,'Data shares'!$C$2:$CA$216,77,0)</f>
        <v>1E-4</v>
      </c>
      <c r="H114" s="86">
        <f>VLOOKUP($A114,'Data shares'!$C:$FA,90)</f>
        <v>6222150</v>
      </c>
      <c r="I114" s="86">
        <f>VLOOKUP($A114,'Data shares'!$C:$FA,92)</f>
        <v>2025</v>
      </c>
      <c r="J114" s="87">
        <f>VLOOKUP($A114,'Data shares'!$C:$FA,93)</f>
        <v>2.9999999999999997E-4</v>
      </c>
      <c r="K114" s="86">
        <f>VLOOKUP($A114,'Data shares'!$C:$FA,94)</f>
        <v>4274775</v>
      </c>
      <c r="L114" s="86">
        <f>VLOOKUP($A114,'Data shares'!$C:$FA,96)</f>
        <v>240975</v>
      </c>
      <c r="M114" s="87">
        <f>VLOOKUP($A114,'Data shares'!$C:$FA,97)</f>
        <v>5.9700000000000003E-2</v>
      </c>
      <c r="N114" s="86">
        <f>VLOOKUP($A114,'Data shares'!$C:$FA,78)</f>
        <v>44496000</v>
      </c>
      <c r="O114" s="87">
        <f>VLOOKUP($A114,'Data shares'!$C:$FA,81)</f>
        <v>-5.9999999999999995E-4</v>
      </c>
    </row>
    <row r="115" spans="1:15" x14ac:dyDescent="0.25">
      <c r="A115" s="100" t="str">
        <f>'OI(Value)'!A115</f>
        <v>JUBLFOOD</v>
      </c>
      <c r="B115" s="82">
        <f>VLOOKUP(A115,'Data shares'!$C$2:$CV$216,98,0)</f>
        <v>38955000</v>
      </c>
      <c r="C115" s="82">
        <f>VLOOKUP(A115,'Data shares'!$C$2:$CX$216,100,0)</f>
        <v>-1860000</v>
      </c>
      <c r="D115" s="141">
        <f>VLOOKUP(A115,'Data shares'!$C$2:$CY$539,101,0)</f>
        <v>-4.5600000000000002E-2</v>
      </c>
      <c r="E115" s="86">
        <f>VLOOKUP($A115,'Data shares'!$C:$FA,74)</f>
        <v>22287500</v>
      </c>
      <c r="F115" s="86">
        <f>VLOOKUP($A115,'Data shares'!$C:$FA,76)</f>
        <v>-228750</v>
      </c>
      <c r="G115" s="87">
        <f>VLOOKUP(A115,'Data shares'!$C$2:$CA$216,77,0)</f>
        <v>-1.0200000000000001E-2</v>
      </c>
      <c r="H115" s="86">
        <f>VLOOKUP($A115,'Data shares'!$C:$FA,90)</f>
        <v>11652500</v>
      </c>
      <c r="I115" s="86">
        <f>VLOOKUP($A115,'Data shares'!$C:$FA,92)</f>
        <v>-1238750</v>
      </c>
      <c r="J115" s="87">
        <f>VLOOKUP($A115,'Data shares'!$C:$FA,93)</f>
        <v>-9.6100000000000005E-2</v>
      </c>
      <c r="K115" s="86">
        <f>VLOOKUP($A115,'Data shares'!$C:$FA,94)</f>
        <v>5015000</v>
      </c>
      <c r="L115" s="86">
        <f>VLOOKUP($A115,'Data shares'!$C:$FA,96)</f>
        <v>-392500</v>
      </c>
      <c r="M115" s="87">
        <f>VLOOKUP($A115,'Data shares'!$C:$FA,97)</f>
        <v>-7.2599999999999998E-2</v>
      </c>
      <c r="N115" s="86">
        <f>VLOOKUP($A115,'Data shares'!$C:$FA,78)</f>
        <v>21118750</v>
      </c>
      <c r="O115" s="87">
        <f>VLOOKUP($A115,'Data shares'!$C:$FA,81)</f>
        <v>-1.4800000000000001E-2</v>
      </c>
    </row>
    <row r="116" spans="1:15" x14ac:dyDescent="0.25">
      <c r="A116" s="100" t="str">
        <f>'OI(Value)'!A116</f>
        <v>KALYANKJIL</v>
      </c>
      <c r="B116" s="82">
        <f>VLOOKUP(A116,'Data shares'!$C$2:$CV$216,98,0)</f>
        <v>54926550</v>
      </c>
      <c r="C116" s="82">
        <f>VLOOKUP(A116,'Data shares'!$C$2:$CX$216,100,0)</f>
        <v>-1661450</v>
      </c>
      <c r="D116" s="141">
        <f>VLOOKUP(A116,'Data shares'!$C$2:$CY$539,101,0)</f>
        <v>-2.9399999999999999E-2</v>
      </c>
      <c r="E116" s="86">
        <f>VLOOKUP($A116,'Data shares'!$C:$FA,74)</f>
        <v>30499475</v>
      </c>
      <c r="F116" s="86">
        <f>VLOOKUP($A116,'Data shares'!$C:$FA,76)</f>
        <v>-900050</v>
      </c>
      <c r="G116" s="87">
        <f>VLOOKUP(A116,'Data shares'!$C$2:$CA$216,77,0)</f>
        <v>-2.87E-2</v>
      </c>
      <c r="H116" s="86">
        <f>VLOOKUP($A116,'Data shares'!$C:$FA,90)</f>
        <v>16398300</v>
      </c>
      <c r="I116" s="86">
        <f>VLOOKUP($A116,'Data shares'!$C:$FA,92)</f>
        <v>-540500</v>
      </c>
      <c r="J116" s="87">
        <f>VLOOKUP($A116,'Data shares'!$C:$FA,93)</f>
        <v>-3.1899999999999998E-2</v>
      </c>
      <c r="K116" s="86">
        <f>VLOOKUP($A116,'Data shares'!$C:$FA,94)</f>
        <v>8028775</v>
      </c>
      <c r="L116" s="86">
        <f>VLOOKUP($A116,'Data shares'!$C:$FA,96)</f>
        <v>-220900</v>
      </c>
      <c r="M116" s="87">
        <f>VLOOKUP($A116,'Data shares'!$C:$FA,97)</f>
        <v>-2.6800000000000001E-2</v>
      </c>
      <c r="N116" s="86">
        <f>VLOOKUP($A116,'Data shares'!$C:$FA,78)</f>
        <v>29062450</v>
      </c>
      <c r="O116" s="87">
        <f>VLOOKUP($A116,'Data shares'!$C:$FA,81)</f>
        <v>-3.1800000000000002E-2</v>
      </c>
    </row>
    <row r="117" spans="1:15" x14ac:dyDescent="0.25">
      <c r="A117" s="100" t="str">
        <f>'OI(Value)'!A117</f>
        <v>KAYNES</v>
      </c>
      <c r="B117" s="82">
        <f>VLOOKUP(A117,'Data shares'!$C$2:$CV$216,98,0)</f>
        <v>4805600</v>
      </c>
      <c r="C117" s="82">
        <f>VLOOKUP(A117,'Data shares'!$C$2:$CX$216,100,0)</f>
        <v>186600</v>
      </c>
      <c r="D117" s="141">
        <f>VLOOKUP(A117,'Data shares'!$C$2:$CY$539,101,0)</f>
        <v>4.0399999999999998E-2</v>
      </c>
      <c r="E117" s="86">
        <f>VLOOKUP($A117,'Data shares'!$C:$FA,74)</f>
        <v>1502100</v>
      </c>
      <c r="F117" s="86">
        <f>VLOOKUP($A117,'Data shares'!$C:$FA,76)</f>
        <v>65400</v>
      </c>
      <c r="G117" s="87">
        <f>VLOOKUP(A117,'Data shares'!$C$2:$CA$216,77,0)</f>
        <v>4.5499999999999999E-2</v>
      </c>
      <c r="H117" s="86">
        <f>VLOOKUP($A117,'Data shares'!$C:$FA,90)</f>
        <v>2319900</v>
      </c>
      <c r="I117" s="86">
        <f>VLOOKUP($A117,'Data shares'!$C:$FA,92)</f>
        <v>107400</v>
      </c>
      <c r="J117" s="87">
        <f>VLOOKUP($A117,'Data shares'!$C:$FA,93)</f>
        <v>4.8500000000000001E-2</v>
      </c>
      <c r="K117" s="86">
        <f>VLOOKUP($A117,'Data shares'!$C:$FA,94)</f>
        <v>983600</v>
      </c>
      <c r="L117" s="86">
        <f>VLOOKUP($A117,'Data shares'!$C:$FA,96)</f>
        <v>13800</v>
      </c>
      <c r="M117" s="87">
        <f>VLOOKUP($A117,'Data shares'!$C:$FA,97)</f>
        <v>1.4200000000000001E-2</v>
      </c>
      <c r="N117" s="86">
        <f>VLOOKUP($A117,'Data shares'!$C:$FA,78)</f>
        <v>1377200</v>
      </c>
      <c r="O117" s="87">
        <f>VLOOKUP($A117,'Data shares'!$C:$FA,81)</f>
        <v>2.7099999999999999E-2</v>
      </c>
    </row>
    <row r="118" spans="1:15" x14ac:dyDescent="0.25">
      <c r="A118" s="100" t="str">
        <f>'OI(Value)'!A118</f>
        <v>KEI</v>
      </c>
      <c r="B118" s="82">
        <f>VLOOKUP(A118,'Data shares'!$C$2:$CV$216,98,0)</f>
        <v>4257750</v>
      </c>
      <c r="C118" s="82">
        <f>VLOOKUP(A118,'Data shares'!$C$2:$CX$216,100,0)</f>
        <v>1607550</v>
      </c>
      <c r="D118" s="141">
        <f>VLOOKUP(A118,'Data shares'!$C$2:$CY$539,101,0)</f>
        <v>0.60660000000000003</v>
      </c>
      <c r="E118" s="86">
        <f>VLOOKUP($A118,'Data shares'!$C:$FA,74)</f>
        <v>1571500</v>
      </c>
      <c r="F118" s="86">
        <f>VLOOKUP($A118,'Data shares'!$C:$FA,76)</f>
        <v>173600</v>
      </c>
      <c r="G118" s="87">
        <f>VLOOKUP(A118,'Data shares'!$C$2:$CA$216,77,0)</f>
        <v>0.1242</v>
      </c>
      <c r="H118" s="86">
        <f>VLOOKUP($A118,'Data shares'!$C:$FA,90)</f>
        <v>1947050</v>
      </c>
      <c r="I118" s="86">
        <f>VLOOKUP($A118,'Data shares'!$C:$FA,92)</f>
        <v>1195250</v>
      </c>
      <c r="J118" s="87">
        <f>VLOOKUP($A118,'Data shares'!$C:$FA,93)</f>
        <v>1.5899000000000001</v>
      </c>
      <c r="K118" s="86">
        <f>VLOOKUP($A118,'Data shares'!$C:$FA,94)</f>
        <v>739200</v>
      </c>
      <c r="L118" s="86">
        <f>VLOOKUP($A118,'Data shares'!$C:$FA,96)</f>
        <v>238700</v>
      </c>
      <c r="M118" s="87">
        <f>VLOOKUP($A118,'Data shares'!$C:$FA,97)</f>
        <v>0.47689999999999999</v>
      </c>
      <c r="N118" s="86">
        <f>VLOOKUP($A118,'Data shares'!$C:$FA,78)</f>
        <v>1415225</v>
      </c>
      <c r="O118" s="87">
        <f>VLOOKUP($A118,'Data shares'!$C:$FA,81)</f>
        <v>2.8400000000000002E-2</v>
      </c>
    </row>
    <row r="119" spans="1:15" x14ac:dyDescent="0.25">
      <c r="A119" s="100" t="str">
        <f>'OI(Value)'!A119</f>
        <v>KFINTECH</v>
      </c>
      <c r="B119" s="82">
        <f>VLOOKUP(A119,'Data shares'!$C$2:$CV$216,98,0)</f>
        <v>5338350</v>
      </c>
      <c r="C119" s="82">
        <f>VLOOKUP(A119,'Data shares'!$C$2:$CX$216,100,0)</f>
        <v>39600</v>
      </c>
      <c r="D119" s="141">
        <f>VLOOKUP(A119,'Data shares'!$C$2:$CY$539,101,0)</f>
        <v>7.4999999999999997E-3</v>
      </c>
      <c r="E119" s="86">
        <f>VLOOKUP($A119,'Data shares'!$C:$FA,74)</f>
        <v>2380950</v>
      </c>
      <c r="F119" s="86">
        <f>VLOOKUP($A119,'Data shares'!$C:$FA,76)</f>
        <v>20250</v>
      </c>
      <c r="G119" s="87">
        <f>VLOOKUP(A119,'Data shares'!$C$2:$CA$216,77,0)</f>
        <v>8.6E-3</v>
      </c>
      <c r="H119" s="86">
        <f>VLOOKUP($A119,'Data shares'!$C:$FA,90)</f>
        <v>1901250</v>
      </c>
      <c r="I119" s="86">
        <f>VLOOKUP($A119,'Data shares'!$C:$FA,92)</f>
        <v>-7650</v>
      </c>
      <c r="J119" s="87">
        <f>VLOOKUP($A119,'Data shares'!$C:$FA,93)</f>
        <v>-4.0000000000000001E-3</v>
      </c>
      <c r="K119" s="86">
        <f>VLOOKUP($A119,'Data shares'!$C:$FA,94)</f>
        <v>1056150</v>
      </c>
      <c r="L119" s="86">
        <f>VLOOKUP($A119,'Data shares'!$C:$FA,96)</f>
        <v>27000</v>
      </c>
      <c r="M119" s="87">
        <f>VLOOKUP($A119,'Data shares'!$C:$FA,97)</f>
        <v>2.6200000000000001E-2</v>
      </c>
      <c r="N119" s="86">
        <f>VLOOKUP($A119,'Data shares'!$C:$FA,78)</f>
        <v>2155050</v>
      </c>
      <c r="O119" s="87">
        <f>VLOOKUP($A119,'Data shares'!$C:$FA,81)</f>
        <v>5.1999999999999998E-3</v>
      </c>
    </row>
    <row r="120" spans="1:15" x14ac:dyDescent="0.25">
      <c r="A120" s="100" t="str">
        <f>'OI(Value)'!A120</f>
        <v>KOTAKBANK</v>
      </c>
      <c r="B120" s="82">
        <f>VLOOKUP(A120,'Data shares'!$C$2:$CV$216,98,0)</f>
        <v>52005200</v>
      </c>
      <c r="C120" s="82">
        <f>VLOOKUP(A120,'Data shares'!$C$2:$CX$216,100,0)</f>
        <v>1367600</v>
      </c>
      <c r="D120" s="141">
        <f>VLOOKUP(A120,'Data shares'!$C$2:$CY$539,101,0)</f>
        <v>2.7E-2</v>
      </c>
      <c r="E120" s="86">
        <f>VLOOKUP($A120,'Data shares'!$C:$FA,74)</f>
        <v>33785200</v>
      </c>
      <c r="F120" s="86">
        <f>VLOOKUP($A120,'Data shares'!$C:$FA,76)</f>
        <v>398800</v>
      </c>
      <c r="G120" s="87">
        <f>VLOOKUP(A120,'Data shares'!$C$2:$CA$216,77,0)</f>
        <v>1.1900000000000001E-2</v>
      </c>
      <c r="H120" s="86">
        <f>VLOOKUP($A120,'Data shares'!$C:$FA,90)</f>
        <v>8724800</v>
      </c>
      <c r="I120" s="86">
        <f>VLOOKUP($A120,'Data shares'!$C:$FA,92)</f>
        <v>156000</v>
      </c>
      <c r="J120" s="87">
        <f>VLOOKUP($A120,'Data shares'!$C:$FA,93)</f>
        <v>1.8200000000000001E-2</v>
      </c>
      <c r="K120" s="86">
        <f>VLOOKUP($A120,'Data shares'!$C:$FA,94)</f>
        <v>9495200</v>
      </c>
      <c r="L120" s="86">
        <f>VLOOKUP($A120,'Data shares'!$C:$FA,96)</f>
        <v>812800</v>
      </c>
      <c r="M120" s="87">
        <f>VLOOKUP($A120,'Data shares'!$C:$FA,97)</f>
        <v>9.3600000000000003E-2</v>
      </c>
      <c r="N120" s="86">
        <f>VLOOKUP($A120,'Data shares'!$C:$FA,78)</f>
        <v>31769600</v>
      </c>
      <c r="O120" s="87">
        <f>VLOOKUP($A120,'Data shares'!$C:$FA,81)</f>
        <v>2E-3</v>
      </c>
    </row>
    <row r="121" spans="1:15" x14ac:dyDescent="0.25">
      <c r="A121" s="100" t="str">
        <f>'OI(Value)'!A121</f>
        <v>KPITTECH</v>
      </c>
      <c r="B121" s="82">
        <f>VLOOKUP(A121,'Data shares'!$C$2:$CV$216,98,0)</f>
        <v>10530800</v>
      </c>
      <c r="C121" s="82">
        <f>VLOOKUP(A121,'Data shares'!$C$2:$CX$216,100,0)</f>
        <v>-324400</v>
      </c>
      <c r="D121" s="141">
        <f>VLOOKUP(A121,'Data shares'!$C$2:$CY$539,101,0)</f>
        <v>-2.9899999999999999E-2</v>
      </c>
      <c r="E121" s="86">
        <f>VLOOKUP($A121,'Data shares'!$C:$FA,74)</f>
        <v>4863200</v>
      </c>
      <c r="F121" s="86">
        <f>VLOOKUP($A121,'Data shares'!$C:$FA,76)</f>
        <v>-287600</v>
      </c>
      <c r="G121" s="87">
        <f>VLOOKUP(A121,'Data shares'!$C$2:$CA$216,77,0)</f>
        <v>-5.5800000000000002E-2</v>
      </c>
      <c r="H121" s="86">
        <f>VLOOKUP($A121,'Data shares'!$C:$FA,90)</f>
        <v>3355600</v>
      </c>
      <c r="I121" s="86">
        <f>VLOOKUP($A121,'Data shares'!$C:$FA,92)</f>
        <v>-59600</v>
      </c>
      <c r="J121" s="87">
        <f>VLOOKUP($A121,'Data shares'!$C:$FA,93)</f>
        <v>-1.7500000000000002E-2</v>
      </c>
      <c r="K121" s="86">
        <f>VLOOKUP($A121,'Data shares'!$C:$FA,94)</f>
        <v>2312000</v>
      </c>
      <c r="L121" s="86">
        <f>VLOOKUP($A121,'Data shares'!$C:$FA,96)</f>
        <v>22800</v>
      </c>
      <c r="M121" s="87">
        <f>VLOOKUP($A121,'Data shares'!$C:$FA,97)</f>
        <v>0.01</v>
      </c>
      <c r="N121" s="86">
        <f>VLOOKUP($A121,'Data shares'!$C:$FA,78)</f>
        <v>4286800</v>
      </c>
      <c r="O121" s="87">
        <f>VLOOKUP($A121,'Data shares'!$C:$FA,81)</f>
        <v>-7.5999999999999998E-2</v>
      </c>
    </row>
    <row r="122" spans="1:15" x14ac:dyDescent="0.25">
      <c r="A122" s="100" t="str">
        <f>'OI(Value)'!A122</f>
        <v>LAURUSLABS</v>
      </c>
      <c r="B122" s="82">
        <f>VLOOKUP(A122,'Data shares'!$C$2:$CV$216,98,0)</f>
        <v>48742400</v>
      </c>
      <c r="C122" s="82">
        <f>VLOOKUP(A122,'Data shares'!$C$2:$CX$216,100,0)</f>
        <v>1365100</v>
      </c>
      <c r="D122" s="141">
        <f>VLOOKUP(A122,'Data shares'!$C$2:$CY$539,101,0)</f>
        <v>2.8799999999999999E-2</v>
      </c>
      <c r="E122" s="86">
        <f>VLOOKUP($A122,'Data shares'!$C:$FA,74)</f>
        <v>24723100</v>
      </c>
      <c r="F122" s="86">
        <f>VLOOKUP($A122,'Data shares'!$C:$FA,76)</f>
        <v>821100</v>
      </c>
      <c r="G122" s="87">
        <f>VLOOKUP(A122,'Data shares'!$C$2:$CA$216,77,0)</f>
        <v>3.44E-2</v>
      </c>
      <c r="H122" s="86">
        <f>VLOOKUP($A122,'Data shares'!$C:$FA,90)</f>
        <v>15612800</v>
      </c>
      <c r="I122" s="86">
        <f>VLOOKUP($A122,'Data shares'!$C:$FA,92)</f>
        <v>416500</v>
      </c>
      <c r="J122" s="87">
        <f>VLOOKUP($A122,'Data shares'!$C:$FA,93)</f>
        <v>2.7400000000000001E-2</v>
      </c>
      <c r="K122" s="86">
        <f>VLOOKUP($A122,'Data shares'!$C:$FA,94)</f>
        <v>8406500</v>
      </c>
      <c r="L122" s="86">
        <f>VLOOKUP($A122,'Data shares'!$C:$FA,96)</f>
        <v>127500</v>
      </c>
      <c r="M122" s="87">
        <f>VLOOKUP($A122,'Data shares'!$C:$FA,97)</f>
        <v>1.54E-2</v>
      </c>
      <c r="N122" s="86">
        <f>VLOOKUP($A122,'Data shares'!$C:$FA,78)</f>
        <v>22475700</v>
      </c>
      <c r="O122" s="87">
        <f>VLOOKUP($A122,'Data shares'!$C:$FA,81)</f>
        <v>2.6499999999999999E-2</v>
      </c>
    </row>
    <row r="123" spans="1:15" x14ac:dyDescent="0.25">
      <c r="A123" s="100" t="str">
        <f>'OI(Value)'!A123</f>
        <v>LICHSGFIN</v>
      </c>
      <c r="B123" s="82">
        <f>VLOOKUP(A123,'Data shares'!$C$2:$CV$216,98,0)</f>
        <v>49000000</v>
      </c>
      <c r="C123" s="82">
        <f>VLOOKUP(A123,'Data shares'!$C$2:$CX$216,100,0)</f>
        <v>777000</v>
      </c>
      <c r="D123" s="141">
        <f>VLOOKUP(A123,'Data shares'!$C$2:$CY$539,101,0)</f>
        <v>1.61E-2</v>
      </c>
      <c r="E123" s="86">
        <f>VLOOKUP($A123,'Data shares'!$C:$FA,74)</f>
        <v>32185000</v>
      </c>
      <c r="F123" s="86">
        <f>VLOOKUP($A123,'Data shares'!$C:$FA,76)</f>
        <v>436000</v>
      </c>
      <c r="G123" s="87">
        <f>VLOOKUP(A123,'Data shares'!$C$2:$CA$216,77,0)</f>
        <v>1.37E-2</v>
      </c>
      <c r="H123" s="86">
        <f>VLOOKUP($A123,'Data shares'!$C:$FA,90)</f>
        <v>9827000</v>
      </c>
      <c r="I123" s="86">
        <f>VLOOKUP($A123,'Data shares'!$C:$FA,92)</f>
        <v>337000</v>
      </c>
      <c r="J123" s="87">
        <f>VLOOKUP($A123,'Data shares'!$C:$FA,93)</f>
        <v>3.5499999999999997E-2</v>
      </c>
      <c r="K123" s="86">
        <f>VLOOKUP($A123,'Data shares'!$C:$FA,94)</f>
        <v>6988000</v>
      </c>
      <c r="L123" s="86">
        <f>VLOOKUP($A123,'Data shares'!$C:$FA,96)</f>
        <v>4000</v>
      </c>
      <c r="M123" s="87">
        <f>VLOOKUP($A123,'Data shares'!$C:$FA,97)</f>
        <v>5.9999999999999995E-4</v>
      </c>
      <c r="N123" s="86">
        <f>VLOOKUP($A123,'Data shares'!$C:$FA,78)</f>
        <v>30191000</v>
      </c>
      <c r="O123" s="87">
        <f>VLOOKUP($A123,'Data shares'!$C:$FA,81)</f>
        <v>2.0999999999999999E-3</v>
      </c>
    </row>
    <row r="124" spans="1:15" x14ac:dyDescent="0.25">
      <c r="A124" s="100" t="str">
        <f>'OI(Value)'!A124</f>
        <v>LICI</v>
      </c>
      <c r="B124" s="82">
        <f>VLOOKUP(A124,'Data shares'!$C$2:$CV$216,98,0)</f>
        <v>15865500</v>
      </c>
      <c r="C124" s="82">
        <f>VLOOKUP(A124,'Data shares'!$C$2:$CX$216,100,0)</f>
        <v>515900</v>
      </c>
      <c r="D124" s="141">
        <f>VLOOKUP(A124,'Data shares'!$C$2:$CY$539,101,0)</f>
        <v>3.3599999999999998E-2</v>
      </c>
      <c r="E124" s="86">
        <f>VLOOKUP($A124,'Data shares'!$C:$FA,74)</f>
        <v>8361500</v>
      </c>
      <c r="F124" s="86">
        <f>VLOOKUP($A124,'Data shares'!$C:$FA,76)</f>
        <v>207900</v>
      </c>
      <c r="G124" s="87">
        <f>VLOOKUP(A124,'Data shares'!$C$2:$CA$216,77,0)</f>
        <v>2.5499999999999998E-2</v>
      </c>
      <c r="H124" s="86">
        <f>VLOOKUP($A124,'Data shares'!$C:$FA,90)</f>
        <v>5206600</v>
      </c>
      <c r="I124" s="86">
        <f>VLOOKUP($A124,'Data shares'!$C:$FA,92)</f>
        <v>160300</v>
      </c>
      <c r="J124" s="87">
        <f>VLOOKUP($A124,'Data shares'!$C:$FA,93)</f>
        <v>3.1800000000000002E-2</v>
      </c>
      <c r="K124" s="86">
        <f>VLOOKUP($A124,'Data shares'!$C:$FA,94)</f>
        <v>2297400</v>
      </c>
      <c r="L124" s="86">
        <f>VLOOKUP($A124,'Data shares'!$C:$FA,96)</f>
        <v>147700</v>
      </c>
      <c r="M124" s="87">
        <f>VLOOKUP($A124,'Data shares'!$C:$FA,97)</f>
        <v>6.8699999999999997E-2</v>
      </c>
      <c r="N124" s="86">
        <f>VLOOKUP($A124,'Data shares'!$C:$FA,78)</f>
        <v>7502600</v>
      </c>
      <c r="O124" s="87">
        <f>VLOOKUP($A124,'Data shares'!$C:$FA,81)</f>
        <v>3.8999999999999998E-3</v>
      </c>
    </row>
    <row r="125" spans="1:15" x14ac:dyDescent="0.25">
      <c r="A125" s="100" t="str">
        <f>'OI(Value)'!A125</f>
        <v>LODHA</v>
      </c>
      <c r="B125" s="82">
        <f>VLOOKUP(A125,'Data shares'!$C$2:$CV$216,98,0)</f>
        <v>16718400</v>
      </c>
      <c r="C125" s="82">
        <f>VLOOKUP(A125,'Data shares'!$C$2:$CX$216,100,0)</f>
        <v>-1467900</v>
      </c>
      <c r="D125" s="141">
        <f>VLOOKUP(A125,'Data shares'!$C$2:$CY$539,101,0)</f>
        <v>-8.0699999999999994E-2</v>
      </c>
      <c r="E125" s="86">
        <f>VLOOKUP($A125,'Data shares'!$C:$FA,74)</f>
        <v>11639250</v>
      </c>
      <c r="F125" s="86">
        <f>VLOOKUP($A125,'Data shares'!$C:$FA,76)</f>
        <v>-688050</v>
      </c>
      <c r="G125" s="87">
        <f>VLOOKUP(A125,'Data shares'!$C$2:$CA$216,77,0)</f>
        <v>-5.5800000000000002E-2</v>
      </c>
      <c r="H125" s="86">
        <f>VLOOKUP($A125,'Data shares'!$C:$FA,90)</f>
        <v>3040200</v>
      </c>
      <c r="I125" s="86">
        <f>VLOOKUP($A125,'Data shares'!$C:$FA,92)</f>
        <v>-638550</v>
      </c>
      <c r="J125" s="87">
        <f>VLOOKUP($A125,'Data shares'!$C:$FA,93)</f>
        <v>-0.1736</v>
      </c>
      <c r="K125" s="86">
        <f>VLOOKUP($A125,'Data shares'!$C:$FA,94)</f>
        <v>2038950</v>
      </c>
      <c r="L125" s="86">
        <f>VLOOKUP($A125,'Data shares'!$C:$FA,96)</f>
        <v>-141300</v>
      </c>
      <c r="M125" s="87">
        <f>VLOOKUP($A125,'Data shares'!$C:$FA,97)</f>
        <v>-6.4799999999999996E-2</v>
      </c>
      <c r="N125" s="86">
        <f>VLOOKUP($A125,'Data shares'!$C:$FA,78)</f>
        <v>11160900</v>
      </c>
      <c r="O125" s="87">
        <f>VLOOKUP($A125,'Data shares'!$C:$FA,81)</f>
        <v>-6.0999999999999999E-2</v>
      </c>
    </row>
    <row r="126" spans="1:15" x14ac:dyDescent="0.25">
      <c r="A126" s="100" t="str">
        <f>'OI(Value)'!A126</f>
        <v>LT</v>
      </c>
      <c r="B126" s="82">
        <f>VLOOKUP(A126,'Data shares'!$C$2:$CV$216,98,0)</f>
        <v>28471625</v>
      </c>
      <c r="C126" s="82">
        <f>VLOOKUP(A126,'Data shares'!$C$2:$CX$216,100,0)</f>
        <v>575225</v>
      </c>
      <c r="D126" s="141">
        <f>VLOOKUP(A126,'Data shares'!$C$2:$CY$539,101,0)</f>
        <v>2.06E-2</v>
      </c>
      <c r="E126" s="86">
        <f>VLOOKUP($A126,'Data shares'!$C:$FA,74)</f>
        <v>15795850</v>
      </c>
      <c r="F126" s="86">
        <f>VLOOKUP($A126,'Data shares'!$C:$FA,76)</f>
        <v>58625</v>
      </c>
      <c r="G126" s="87">
        <f>VLOOKUP(A126,'Data shares'!$C$2:$CA$216,77,0)</f>
        <v>3.7000000000000002E-3</v>
      </c>
      <c r="H126" s="86">
        <f>VLOOKUP($A126,'Data shares'!$C:$FA,90)</f>
        <v>7810250</v>
      </c>
      <c r="I126" s="86">
        <f>VLOOKUP($A126,'Data shares'!$C:$FA,92)</f>
        <v>-44800</v>
      </c>
      <c r="J126" s="87">
        <f>VLOOKUP($A126,'Data shares'!$C:$FA,93)</f>
        <v>-5.7000000000000002E-3</v>
      </c>
      <c r="K126" s="86">
        <f>VLOOKUP($A126,'Data shares'!$C:$FA,94)</f>
        <v>4865525</v>
      </c>
      <c r="L126" s="86">
        <f>VLOOKUP($A126,'Data shares'!$C:$FA,96)</f>
        <v>561400</v>
      </c>
      <c r="M126" s="87">
        <f>VLOOKUP($A126,'Data shares'!$C:$FA,97)</f>
        <v>0.13039999999999999</v>
      </c>
      <c r="N126" s="86">
        <f>VLOOKUP($A126,'Data shares'!$C:$FA,78)</f>
        <v>14962850</v>
      </c>
      <c r="O126" s="87">
        <f>VLOOKUP($A126,'Data shares'!$C:$FA,81)</f>
        <v>-2.5999999999999999E-3</v>
      </c>
    </row>
    <row r="127" spans="1:15" x14ac:dyDescent="0.25">
      <c r="A127" s="100" t="str">
        <f>'OI(Value)'!A127</f>
        <v>LTF</v>
      </c>
      <c r="B127" s="82">
        <f>VLOOKUP(A127,'Data shares'!$C$2:$CV$216,98,0)</f>
        <v>121250388</v>
      </c>
      <c r="C127" s="82">
        <f>VLOOKUP(A127,'Data shares'!$C$2:$CX$216,100,0)</f>
        <v>3342038</v>
      </c>
      <c r="D127" s="141">
        <f>VLOOKUP(A127,'Data shares'!$C$2:$CY$539,101,0)</f>
        <v>2.8299999999999999E-2</v>
      </c>
      <c r="E127" s="86">
        <f>VLOOKUP($A127,'Data shares'!$C:$FA,74)</f>
        <v>49711142</v>
      </c>
      <c r="F127" s="86">
        <f>VLOOKUP($A127,'Data shares'!$C:$FA,76)</f>
        <v>-638066</v>
      </c>
      <c r="G127" s="87">
        <f>VLOOKUP(A127,'Data shares'!$C$2:$CA$216,77,0)</f>
        <v>-1.2699999999999999E-2</v>
      </c>
      <c r="H127" s="86">
        <f>VLOOKUP($A127,'Data shares'!$C:$FA,90)</f>
        <v>36003878</v>
      </c>
      <c r="I127" s="86">
        <f>VLOOKUP($A127,'Data shares'!$C:$FA,92)</f>
        <v>2101602</v>
      </c>
      <c r="J127" s="87">
        <f>VLOOKUP($A127,'Data shares'!$C:$FA,93)</f>
        <v>6.2E-2</v>
      </c>
      <c r="K127" s="86">
        <f>VLOOKUP($A127,'Data shares'!$C:$FA,94)</f>
        <v>35535368</v>
      </c>
      <c r="L127" s="86">
        <f>VLOOKUP($A127,'Data shares'!$C:$FA,96)</f>
        <v>1878502</v>
      </c>
      <c r="M127" s="87">
        <f>VLOOKUP($A127,'Data shares'!$C:$FA,97)</f>
        <v>5.5800000000000002E-2</v>
      </c>
      <c r="N127" s="86">
        <f>VLOOKUP($A127,'Data shares'!$C:$FA,78)</f>
        <v>45797968</v>
      </c>
      <c r="O127" s="87">
        <f>VLOOKUP($A127,'Data shares'!$C:$FA,81)</f>
        <v>-3.3700000000000001E-2</v>
      </c>
    </row>
    <row r="128" spans="1:15" x14ac:dyDescent="0.25">
      <c r="A128" s="100" t="str">
        <f>'OI(Value)'!A128</f>
        <v>LTIM</v>
      </c>
      <c r="B128" s="82">
        <f>VLOOKUP(A128,'Data shares'!$C$2:$CV$216,98,0)</f>
        <v>5420100</v>
      </c>
      <c r="C128" s="82">
        <f>VLOOKUP(A128,'Data shares'!$C$2:$CX$216,100,0)</f>
        <v>511650</v>
      </c>
      <c r="D128" s="141">
        <f>VLOOKUP(A128,'Data shares'!$C$2:$CY$539,101,0)</f>
        <v>0.1042</v>
      </c>
      <c r="E128" s="86">
        <f>VLOOKUP($A128,'Data shares'!$C:$FA,74)</f>
        <v>3146400</v>
      </c>
      <c r="F128" s="86">
        <f>VLOOKUP($A128,'Data shares'!$C:$FA,76)</f>
        <v>-76650</v>
      </c>
      <c r="G128" s="87">
        <f>VLOOKUP(A128,'Data shares'!$C$2:$CA$216,77,0)</f>
        <v>-2.3800000000000002E-2</v>
      </c>
      <c r="H128" s="86">
        <f>VLOOKUP($A128,'Data shares'!$C:$FA,90)</f>
        <v>1373250</v>
      </c>
      <c r="I128" s="86">
        <f>VLOOKUP($A128,'Data shares'!$C:$FA,92)</f>
        <v>401550</v>
      </c>
      <c r="J128" s="87">
        <f>VLOOKUP($A128,'Data shares'!$C:$FA,93)</f>
        <v>0.41320000000000001</v>
      </c>
      <c r="K128" s="86">
        <f>VLOOKUP($A128,'Data shares'!$C:$FA,94)</f>
        <v>900450</v>
      </c>
      <c r="L128" s="86">
        <f>VLOOKUP($A128,'Data shares'!$C:$FA,96)</f>
        <v>186750</v>
      </c>
      <c r="M128" s="87">
        <f>VLOOKUP($A128,'Data shares'!$C:$FA,97)</f>
        <v>0.26169999999999999</v>
      </c>
      <c r="N128" s="86">
        <f>VLOOKUP($A128,'Data shares'!$C:$FA,78)</f>
        <v>2910000</v>
      </c>
      <c r="O128" s="87">
        <f>VLOOKUP($A128,'Data shares'!$C:$FA,81)</f>
        <v>-3.95E-2</v>
      </c>
    </row>
    <row r="129" spans="1:15" x14ac:dyDescent="0.25">
      <c r="A129" s="100" t="str">
        <f>'OI(Value)'!A129</f>
        <v>LUPIN</v>
      </c>
      <c r="B129" s="82">
        <f>VLOOKUP(A129,'Data shares'!$C$2:$CV$216,98,0)</f>
        <v>17473875</v>
      </c>
      <c r="C129" s="82">
        <f>VLOOKUP(A129,'Data shares'!$C$2:$CX$216,100,0)</f>
        <v>26775</v>
      </c>
      <c r="D129" s="141">
        <f>VLOOKUP(A129,'Data shares'!$C$2:$CY$539,101,0)</f>
        <v>1.5E-3</v>
      </c>
      <c r="E129" s="86">
        <f>VLOOKUP($A129,'Data shares'!$C:$FA,74)</f>
        <v>11378950</v>
      </c>
      <c r="F129" s="86">
        <f>VLOOKUP($A129,'Data shares'!$C:$FA,76)</f>
        <v>55675</v>
      </c>
      <c r="G129" s="87">
        <f>VLOOKUP(A129,'Data shares'!$C$2:$CA$216,77,0)</f>
        <v>4.8999999999999998E-3</v>
      </c>
      <c r="H129" s="86">
        <f>VLOOKUP($A129,'Data shares'!$C:$FA,90)</f>
        <v>3762525</v>
      </c>
      <c r="I129" s="86">
        <f>VLOOKUP($A129,'Data shares'!$C:$FA,92)</f>
        <v>-425</v>
      </c>
      <c r="J129" s="87">
        <f>VLOOKUP($A129,'Data shares'!$C:$FA,93)</f>
        <v>-1E-4</v>
      </c>
      <c r="K129" s="86">
        <f>VLOOKUP($A129,'Data shares'!$C:$FA,94)</f>
        <v>2332400</v>
      </c>
      <c r="L129" s="86">
        <f>VLOOKUP($A129,'Data shares'!$C:$FA,96)</f>
        <v>-28475</v>
      </c>
      <c r="M129" s="87">
        <f>VLOOKUP($A129,'Data shares'!$C:$FA,97)</f>
        <v>-1.21E-2</v>
      </c>
      <c r="N129" s="86">
        <f>VLOOKUP($A129,'Data shares'!$C:$FA,78)</f>
        <v>11120550</v>
      </c>
      <c r="O129" s="87">
        <f>VLOOKUP($A129,'Data shares'!$C:$FA,81)</f>
        <v>1E-3</v>
      </c>
    </row>
    <row r="130" spans="1:15" x14ac:dyDescent="0.25">
      <c r="A130" s="100" t="str">
        <f>'OI(Value)'!A130</f>
        <v>M&amp;M</v>
      </c>
      <c r="B130" s="82">
        <f>VLOOKUP(A130,'Data shares'!$C$2:$CV$216,98,0)</f>
        <v>28671800</v>
      </c>
      <c r="C130" s="82">
        <f>VLOOKUP(A130,'Data shares'!$C$2:$CX$216,100,0)</f>
        <v>-345800</v>
      </c>
      <c r="D130" s="141">
        <f>VLOOKUP(A130,'Data shares'!$C$2:$CY$539,101,0)</f>
        <v>-1.1900000000000001E-2</v>
      </c>
      <c r="E130" s="86">
        <f>VLOOKUP($A130,'Data shares'!$C:$FA,74)</f>
        <v>19674600</v>
      </c>
      <c r="F130" s="86">
        <f>VLOOKUP($A130,'Data shares'!$C:$FA,76)</f>
        <v>-134400</v>
      </c>
      <c r="G130" s="87">
        <f>VLOOKUP(A130,'Data shares'!$C$2:$CA$216,77,0)</f>
        <v>-6.7999999999999996E-3</v>
      </c>
      <c r="H130" s="86">
        <f>VLOOKUP($A130,'Data shares'!$C:$FA,90)</f>
        <v>5914200</v>
      </c>
      <c r="I130" s="86">
        <f>VLOOKUP($A130,'Data shares'!$C:$FA,92)</f>
        <v>-410000</v>
      </c>
      <c r="J130" s="87">
        <f>VLOOKUP($A130,'Data shares'!$C:$FA,93)</f>
        <v>-6.4799999999999996E-2</v>
      </c>
      <c r="K130" s="86">
        <f>VLOOKUP($A130,'Data shares'!$C:$FA,94)</f>
        <v>3083000</v>
      </c>
      <c r="L130" s="86">
        <f>VLOOKUP($A130,'Data shares'!$C:$FA,96)</f>
        <v>198600</v>
      </c>
      <c r="M130" s="87">
        <f>VLOOKUP($A130,'Data shares'!$C:$FA,97)</f>
        <v>6.8900000000000003E-2</v>
      </c>
      <c r="N130" s="86">
        <f>VLOOKUP($A130,'Data shares'!$C:$FA,78)</f>
        <v>18945400</v>
      </c>
      <c r="O130" s="87">
        <f>VLOOKUP($A130,'Data shares'!$C:$FA,81)</f>
        <v>-1.4200000000000001E-2</v>
      </c>
    </row>
    <row r="131" spans="1:15" x14ac:dyDescent="0.25">
      <c r="A131" s="100" t="str">
        <f>'OI(Value)'!A131</f>
        <v>MANAPPURAM</v>
      </c>
      <c r="B131" s="82">
        <f>VLOOKUP(A131,'Data shares'!$C$2:$CV$216,98,0)</f>
        <v>54957000</v>
      </c>
      <c r="C131" s="82">
        <f>VLOOKUP(A131,'Data shares'!$C$2:$CX$216,100,0)</f>
        <v>1707000</v>
      </c>
      <c r="D131" s="141">
        <f>VLOOKUP(A131,'Data shares'!$C$2:$CY$539,101,0)</f>
        <v>3.2099999999999997E-2</v>
      </c>
      <c r="E131" s="86">
        <f>VLOOKUP($A131,'Data shares'!$C:$FA,74)</f>
        <v>27948000</v>
      </c>
      <c r="F131" s="86">
        <f>VLOOKUP($A131,'Data shares'!$C:$FA,76)</f>
        <v>-345000</v>
      </c>
      <c r="G131" s="87">
        <f>VLOOKUP(A131,'Data shares'!$C$2:$CA$216,77,0)</f>
        <v>-1.2200000000000001E-2</v>
      </c>
      <c r="H131" s="86">
        <f>VLOOKUP($A131,'Data shares'!$C:$FA,90)</f>
        <v>18117000</v>
      </c>
      <c r="I131" s="86">
        <f>VLOOKUP($A131,'Data shares'!$C:$FA,92)</f>
        <v>2082000</v>
      </c>
      <c r="J131" s="87">
        <f>VLOOKUP($A131,'Data shares'!$C:$FA,93)</f>
        <v>0.1298</v>
      </c>
      <c r="K131" s="86">
        <f>VLOOKUP($A131,'Data shares'!$C:$FA,94)</f>
        <v>8892000</v>
      </c>
      <c r="L131" s="86">
        <f>VLOOKUP($A131,'Data shares'!$C:$FA,96)</f>
        <v>-30000</v>
      </c>
      <c r="M131" s="87">
        <f>VLOOKUP($A131,'Data shares'!$C:$FA,97)</f>
        <v>-3.3999999999999998E-3</v>
      </c>
      <c r="N131" s="86">
        <f>VLOOKUP($A131,'Data shares'!$C:$FA,78)</f>
        <v>26082000</v>
      </c>
      <c r="O131" s="87">
        <f>VLOOKUP($A131,'Data shares'!$C:$FA,81)</f>
        <v>-2.2700000000000001E-2</v>
      </c>
    </row>
    <row r="132" spans="1:15" x14ac:dyDescent="0.25">
      <c r="A132" s="100" t="str">
        <f>'OI(Value)'!A132</f>
        <v>MANKIND</v>
      </c>
      <c r="B132" s="82">
        <f>VLOOKUP(A132,'Data shares'!$C$2:$CV$216,98,0)</f>
        <v>3110175</v>
      </c>
      <c r="C132" s="82">
        <f>VLOOKUP(A132,'Data shares'!$C$2:$CX$216,100,0)</f>
        <v>-25200</v>
      </c>
      <c r="D132" s="141">
        <f>VLOOKUP(A132,'Data shares'!$C$2:$CY$539,101,0)</f>
        <v>-8.0000000000000002E-3</v>
      </c>
      <c r="E132" s="86">
        <f>VLOOKUP($A132,'Data shares'!$C:$FA,74)</f>
        <v>1695150</v>
      </c>
      <c r="F132" s="86">
        <f>VLOOKUP($A132,'Data shares'!$C:$FA,76)</f>
        <v>1800</v>
      </c>
      <c r="G132" s="87">
        <f>VLOOKUP(A132,'Data shares'!$C$2:$CA$216,77,0)</f>
        <v>1.1000000000000001E-3</v>
      </c>
      <c r="H132" s="86">
        <f>VLOOKUP($A132,'Data shares'!$C:$FA,90)</f>
        <v>988650</v>
      </c>
      <c r="I132" s="86">
        <f>VLOOKUP($A132,'Data shares'!$C:$FA,92)</f>
        <v>-26550</v>
      </c>
      <c r="J132" s="87">
        <f>VLOOKUP($A132,'Data shares'!$C:$FA,93)</f>
        <v>-2.6200000000000001E-2</v>
      </c>
      <c r="K132" s="86">
        <f>VLOOKUP($A132,'Data shares'!$C:$FA,94)</f>
        <v>426375</v>
      </c>
      <c r="L132" s="86">
        <f>VLOOKUP($A132,'Data shares'!$C:$FA,96)</f>
        <v>-450</v>
      </c>
      <c r="M132" s="87">
        <f>VLOOKUP($A132,'Data shares'!$C:$FA,97)</f>
        <v>-1.1000000000000001E-3</v>
      </c>
      <c r="N132" s="86">
        <f>VLOOKUP($A132,'Data shares'!$C:$FA,78)</f>
        <v>1606275</v>
      </c>
      <c r="O132" s="87">
        <f>VLOOKUP($A132,'Data shares'!$C:$FA,81)</f>
        <v>-1.6999999999999999E-3</v>
      </c>
    </row>
    <row r="133" spans="1:15" x14ac:dyDescent="0.25">
      <c r="A133" s="100" t="str">
        <f>'OI(Value)'!A133</f>
        <v>MARICO</v>
      </c>
      <c r="B133" s="82">
        <f>VLOOKUP(A133,'Data shares'!$C$2:$CV$216,98,0)</f>
        <v>33674400</v>
      </c>
      <c r="C133" s="82">
        <f>VLOOKUP(A133,'Data shares'!$C$2:$CX$216,100,0)</f>
        <v>-212400</v>
      </c>
      <c r="D133" s="141">
        <f>VLOOKUP(A133,'Data shares'!$C$2:$CY$539,101,0)</f>
        <v>-6.3E-3</v>
      </c>
      <c r="E133" s="86">
        <f>VLOOKUP($A133,'Data shares'!$C:$FA,74)</f>
        <v>27572400</v>
      </c>
      <c r="F133" s="86">
        <f>VLOOKUP($A133,'Data shares'!$C:$FA,76)</f>
        <v>-138000</v>
      </c>
      <c r="G133" s="87">
        <f>VLOOKUP(A133,'Data shares'!$C$2:$CA$216,77,0)</f>
        <v>-5.0000000000000001E-3</v>
      </c>
      <c r="H133" s="86">
        <f>VLOOKUP($A133,'Data shares'!$C:$FA,90)</f>
        <v>3732000</v>
      </c>
      <c r="I133" s="86">
        <f>VLOOKUP($A133,'Data shares'!$C:$FA,92)</f>
        <v>-146400</v>
      </c>
      <c r="J133" s="87">
        <f>VLOOKUP($A133,'Data shares'!$C:$FA,93)</f>
        <v>-3.7699999999999997E-2</v>
      </c>
      <c r="K133" s="86">
        <f>VLOOKUP($A133,'Data shares'!$C:$FA,94)</f>
        <v>2370000</v>
      </c>
      <c r="L133" s="86">
        <f>VLOOKUP($A133,'Data shares'!$C:$FA,96)</f>
        <v>72000</v>
      </c>
      <c r="M133" s="87">
        <f>VLOOKUP($A133,'Data shares'!$C:$FA,97)</f>
        <v>3.1300000000000001E-2</v>
      </c>
      <c r="N133" s="86">
        <f>VLOOKUP($A133,'Data shares'!$C:$FA,78)</f>
        <v>27368400</v>
      </c>
      <c r="O133" s="87">
        <f>VLOOKUP($A133,'Data shares'!$C:$FA,81)</f>
        <v>-5.7999999999999996E-3</v>
      </c>
    </row>
    <row r="134" spans="1:15" x14ac:dyDescent="0.25">
      <c r="A134" s="100" t="str">
        <f>'OI(Value)'!A134</f>
        <v>MARUTI</v>
      </c>
      <c r="B134" s="82">
        <f>VLOOKUP(A134,'Data shares'!$C$2:$CV$216,98,0)</f>
        <v>7660200</v>
      </c>
      <c r="C134" s="82">
        <f>VLOOKUP(A134,'Data shares'!$C$2:$CX$216,100,0)</f>
        <v>-89000</v>
      </c>
      <c r="D134" s="141">
        <f>VLOOKUP(A134,'Data shares'!$C$2:$CY$539,101,0)</f>
        <v>-1.15E-2</v>
      </c>
      <c r="E134" s="86">
        <f>VLOOKUP($A134,'Data shares'!$C:$FA,74)</f>
        <v>2820700</v>
      </c>
      <c r="F134" s="86">
        <f>VLOOKUP($A134,'Data shares'!$C:$FA,76)</f>
        <v>-5950</v>
      </c>
      <c r="G134" s="87">
        <f>VLOOKUP(A134,'Data shares'!$C$2:$CA$216,77,0)</f>
        <v>-2.0999999999999999E-3</v>
      </c>
      <c r="H134" s="86">
        <f>VLOOKUP($A134,'Data shares'!$C:$FA,90)</f>
        <v>3058100</v>
      </c>
      <c r="I134" s="86">
        <f>VLOOKUP($A134,'Data shares'!$C:$FA,92)</f>
        <v>-123200</v>
      </c>
      <c r="J134" s="87">
        <f>VLOOKUP($A134,'Data shares'!$C:$FA,93)</f>
        <v>-3.8699999999999998E-2</v>
      </c>
      <c r="K134" s="86">
        <f>VLOOKUP($A134,'Data shares'!$C:$FA,94)</f>
        <v>1781400</v>
      </c>
      <c r="L134" s="86">
        <f>VLOOKUP($A134,'Data shares'!$C:$FA,96)</f>
        <v>40150</v>
      </c>
      <c r="M134" s="87">
        <f>VLOOKUP($A134,'Data shares'!$C:$FA,97)</f>
        <v>2.3099999999999999E-2</v>
      </c>
      <c r="N134" s="86">
        <f>VLOOKUP($A134,'Data shares'!$C:$FA,78)</f>
        <v>2663950</v>
      </c>
      <c r="O134" s="87">
        <f>VLOOKUP($A134,'Data shares'!$C:$FA,81)</f>
        <v>-1.1599999999999999E-2</v>
      </c>
    </row>
    <row r="135" spans="1:15" x14ac:dyDescent="0.25">
      <c r="A135" s="100" t="str">
        <f>'OI(Value)'!A135</f>
        <v>MAXHEALTH</v>
      </c>
      <c r="B135" s="82">
        <f>VLOOKUP(A135,'Data shares'!$C$2:$CV$216,98,0)</f>
        <v>23508450</v>
      </c>
      <c r="C135" s="82">
        <f>VLOOKUP(A135,'Data shares'!$C$2:$CX$216,100,0)</f>
        <v>262500</v>
      </c>
      <c r="D135" s="141">
        <f>VLOOKUP(A135,'Data shares'!$C$2:$CY$539,101,0)</f>
        <v>1.1299999999999999E-2</v>
      </c>
      <c r="E135" s="86">
        <f>VLOOKUP($A135,'Data shares'!$C:$FA,74)</f>
        <v>16456650</v>
      </c>
      <c r="F135" s="86">
        <f>VLOOKUP($A135,'Data shares'!$C:$FA,76)</f>
        <v>-50925</v>
      </c>
      <c r="G135" s="87">
        <f>VLOOKUP(A135,'Data shares'!$C$2:$CA$216,77,0)</f>
        <v>-3.0999999999999999E-3</v>
      </c>
      <c r="H135" s="86">
        <f>VLOOKUP($A135,'Data shares'!$C:$FA,90)</f>
        <v>4208925</v>
      </c>
      <c r="I135" s="86">
        <f>VLOOKUP($A135,'Data shares'!$C:$FA,92)</f>
        <v>237825</v>
      </c>
      <c r="J135" s="87">
        <f>VLOOKUP($A135,'Data shares'!$C:$FA,93)</f>
        <v>5.9900000000000002E-2</v>
      </c>
      <c r="K135" s="86">
        <f>VLOOKUP($A135,'Data shares'!$C:$FA,94)</f>
        <v>2842875</v>
      </c>
      <c r="L135" s="86">
        <f>VLOOKUP($A135,'Data shares'!$C:$FA,96)</f>
        <v>75600</v>
      </c>
      <c r="M135" s="87">
        <f>VLOOKUP($A135,'Data shares'!$C:$FA,97)</f>
        <v>2.7300000000000001E-2</v>
      </c>
      <c r="N135" s="86">
        <f>VLOOKUP($A135,'Data shares'!$C:$FA,78)</f>
        <v>16015650</v>
      </c>
      <c r="O135" s="87">
        <f>VLOOKUP($A135,'Data shares'!$C:$FA,81)</f>
        <v>-5.1999999999999998E-3</v>
      </c>
    </row>
    <row r="136" spans="1:15" x14ac:dyDescent="0.25">
      <c r="A136" s="100" t="str">
        <f>'OI(Value)'!A136</f>
        <v>MAZDOCK</v>
      </c>
      <c r="B136" s="82">
        <f>VLOOKUP(A136,'Data shares'!$C$2:$CV$216,98,0)</f>
        <v>8094450</v>
      </c>
      <c r="C136" s="82">
        <f>VLOOKUP(A136,'Data shares'!$C$2:$CX$216,100,0)</f>
        <v>60200</v>
      </c>
      <c r="D136" s="141">
        <f>VLOOKUP(A136,'Data shares'!$C$2:$CY$539,101,0)</f>
        <v>7.4999999999999997E-3</v>
      </c>
      <c r="E136" s="86">
        <f>VLOOKUP($A136,'Data shares'!$C:$FA,74)</f>
        <v>3726450</v>
      </c>
      <c r="F136" s="86">
        <f>VLOOKUP($A136,'Data shares'!$C:$FA,76)</f>
        <v>24850</v>
      </c>
      <c r="G136" s="87">
        <f>VLOOKUP(A136,'Data shares'!$C$2:$CA$216,77,0)</f>
        <v>6.7000000000000002E-3</v>
      </c>
      <c r="H136" s="86">
        <f>VLOOKUP($A136,'Data shares'!$C:$FA,90)</f>
        <v>2951200</v>
      </c>
      <c r="I136" s="86">
        <f>VLOOKUP($A136,'Data shares'!$C:$FA,92)</f>
        <v>19250</v>
      </c>
      <c r="J136" s="87">
        <f>VLOOKUP($A136,'Data shares'!$C:$FA,93)</f>
        <v>6.6E-3</v>
      </c>
      <c r="K136" s="86">
        <f>VLOOKUP($A136,'Data shares'!$C:$FA,94)</f>
        <v>1416800</v>
      </c>
      <c r="L136" s="86">
        <f>VLOOKUP($A136,'Data shares'!$C:$FA,96)</f>
        <v>16100</v>
      </c>
      <c r="M136" s="87">
        <f>VLOOKUP($A136,'Data shares'!$C:$FA,97)</f>
        <v>1.15E-2</v>
      </c>
      <c r="N136" s="86">
        <f>VLOOKUP($A136,'Data shares'!$C:$FA,78)</f>
        <v>3400075</v>
      </c>
      <c r="O136" s="87">
        <f>VLOOKUP($A136,'Data shares'!$C:$FA,81)</f>
        <v>-7.7999999999999996E-3</v>
      </c>
    </row>
    <row r="137" spans="1:15" x14ac:dyDescent="0.25">
      <c r="A137" s="100" t="str">
        <f>'OI(Value)'!A137</f>
        <v>MCX</v>
      </c>
      <c r="B137" s="82">
        <f>VLOOKUP(A137,'Data shares'!$C$2:$CV$216,98,0)</f>
        <v>8882750</v>
      </c>
      <c r="C137" s="82">
        <f>VLOOKUP(A137,'Data shares'!$C$2:$CX$216,100,0)</f>
        <v>78375</v>
      </c>
      <c r="D137" s="141">
        <f>VLOOKUP(A137,'Data shares'!$C$2:$CY$539,101,0)</f>
        <v>8.8999999999999999E-3</v>
      </c>
      <c r="E137" s="86">
        <f>VLOOKUP($A137,'Data shares'!$C:$FA,74)</f>
        <v>2898000</v>
      </c>
      <c r="F137" s="86">
        <f>VLOOKUP($A137,'Data shares'!$C:$FA,76)</f>
        <v>-38750</v>
      </c>
      <c r="G137" s="87">
        <f>VLOOKUP(A137,'Data shares'!$C$2:$CA$216,77,0)</f>
        <v>-1.32E-2</v>
      </c>
      <c r="H137" s="86">
        <f>VLOOKUP($A137,'Data shares'!$C:$FA,90)</f>
        <v>3200250</v>
      </c>
      <c r="I137" s="86">
        <f>VLOOKUP($A137,'Data shares'!$C:$FA,92)</f>
        <v>288875</v>
      </c>
      <c r="J137" s="87">
        <f>VLOOKUP($A137,'Data shares'!$C:$FA,93)</f>
        <v>9.9199999999999997E-2</v>
      </c>
      <c r="K137" s="86">
        <f>VLOOKUP($A137,'Data shares'!$C:$FA,94)</f>
        <v>2784500</v>
      </c>
      <c r="L137" s="86">
        <f>VLOOKUP($A137,'Data shares'!$C:$FA,96)</f>
        <v>-171750</v>
      </c>
      <c r="M137" s="87">
        <f>VLOOKUP($A137,'Data shares'!$C:$FA,97)</f>
        <v>-5.8099999999999999E-2</v>
      </c>
      <c r="N137" s="86">
        <f>VLOOKUP($A137,'Data shares'!$C:$FA,78)</f>
        <v>2683250</v>
      </c>
      <c r="O137" s="87">
        <f>VLOOKUP($A137,'Data shares'!$C:$FA,81)</f>
        <v>-2.9100000000000001E-2</v>
      </c>
    </row>
    <row r="138" spans="1:15" x14ac:dyDescent="0.25">
      <c r="A138" s="100" t="str">
        <f>'OI(Value)'!A138</f>
        <v>MFSL</v>
      </c>
      <c r="B138" s="82">
        <f>VLOOKUP(A138,'Data shares'!$C$2:$CV$216,98,0)</f>
        <v>9168000</v>
      </c>
      <c r="C138" s="82">
        <f>VLOOKUP(A138,'Data shares'!$C$2:$CX$216,100,0)</f>
        <v>1034400</v>
      </c>
      <c r="D138" s="141">
        <f>VLOOKUP(A138,'Data shares'!$C$2:$CY$539,101,0)</f>
        <v>0.12720000000000001</v>
      </c>
      <c r="E138" s="86">
        <f>VLOOKUP($A138,'Data shares'!$C:$FA,74)</f>
        <v>5941600</v>
      </c>
      <c r="F138" s="86">
        <f>VLOOKUP($A138,'Data shares'!$C:$FA,76)</f>
        <v>-145600</v>
      </c>
      <c r="G138" s="87">
        <f>VLOOKUP(A138,'Data shares'!$C$2:$CA$216,77,0)</f>
        <v>-2.3900000000000001E-2</v>
      </c>
      <c r="H138" s="86">
        <f>VLOOKUP($A138,'Data shares'!$C:$FA,90)</f>
        <v>2109600</v>
      </c>
      <c r="I138" s="86">
        <f>VLOOKUP($A138,'Data shares'!$C:$FA,92)</f>
        <v>844800</v>
      </c>
      <c r="J138" s="87">
        <f>VLOOKUP($A138,'Data shares'!$C:$FA,93)</f>
        <v>0.66790000000000005</v>
      </c>
      <c r="K138" s="86">
        <f>VLOOKUP($A138,'Data shares'!$C:$FA,94)</f>
        <v>1116800</v>
      </c>
      <c r="L138" s="86">
        <f>VLOOKUP($A138,'Data shares'!$C:$FA,96)</f>
        <v>335200</v>
      </c>
      <c r="M138" s="87">
        <f>VLOOKUP($A138,'Data shares'!$C:$FA,97)</f>
        <v>0.4289</v>
      </c>
      <c r="N138" s="86">
        <f>VLOOKUP($A138,'Data shares'!$C:$FA,78)</f>
        <v>5785600</v>
      </c>
      <c r="O138" s="87">
        <f>VLOOKUP($A138,'Data shares'!$C:$FA,81)</f>
        <v>-3.6600000000000001E-2</v>
      </c>
    </row>
    <row r="139" spans="1:15" x14ac:dyDescent="0.25">
      <c r="A139" s="100" t="str">
        <f>'OI(Value)'!A139</f>
        <v>MIDCPNIFTY</v>
      </c>
      <c r="B139" s="82">
        <f>VLOOKUP(A139,'Data shares'!$C$2:$CV$216,98,0)</f>
        <v>19398260</v>
      </c>
      <c r="C139" s="82">
        <f>VLOOKUP(A139,'Data shares'!$C$2:$CX$216,100,0)</f>
        <v>1298080</v>
      </c>
      <c r="D139" s="141">
        <f>VLOOKUP(A139,'Data shares'!$C$2:$CY$539,101,0)</f>
        <v>7.17E-2</v>
      </c>
      <c r="E139" s="86">
        <f>VLOOKUP($A139,'Data shares'!$C:$FA,74)</f>
        <v>2859080</v>
      </c>
      <c r="F139" s="86">
        <f>VLOOKUP($A139,'Data shares'!$C:$FA,76)</f>
        <v>98420</v>
      </c>
      <c r="G139" s="87">
        <f>VLOOKUP(A139,'Data shares'!$C$2:$CA$216,77,0)</f>
        <v>3.5700000000000003E-2</v>
      </c>
      <c r="H139" s="86">
        <f>VLOOKUP($A139,'Data shares'!$C:$FA,90)</f>
        <v>7051100</v>
      </c>
      <c r="I139" s="86">
        <f>VLOOKUP($A139,'Data shares'!$C:$FA,92)</f>
        <v>700</v>
      </c>
      <c r="J139" s="87">
        <f>VLOOKUP($A139,'Data shares'!$C:$FA,93)</f>
        <v>1E-4</v>
      </c>
      <c r="K139" s="86">
        <f>VLOOKUP($A139,'Data shares'!$C:$FA,94)</f>
        <v>9488080</v>
      </c>
      <c r="L139" s="86">
        <f>VLOOKUP($A139,'Data shares'!$C:$FA,96)</f>
        <v>1198960</v>
      </c>
      <c r="M139" s="87">
        <f>VLOOKUP($A139,'Data shares'!$C:$FA,97)</f>
        <v>0.14460000000000001</v>
      </c>
      <c r="N139" s="86">
        <f>VLOOKUP($A139,'Data shares'!$C:$FA,78)</f>
        <v>2736580</v>
      </c>
      <c r="O139" s="87">
        <f>VLOOKUP($A139,'Data shares'!$C:$FA,81)</f>
        <v>2.9700000000000001E-2</v>
      </c>
    </row>
    <row r="140" spans="1:15" x14ac:dyDescent="0.25">
      <c r="A140" s="100" t="str">
        <f>'OI(Value)'!A140</f>
        <v>MOTHERSON</v>
      </c>
      <c r="B140" s="82">
        <f>VLOOKUP(A140,'Data shares'!$C$2:$CV$216,98,0)</f>
        <v>270378600</v>
      </c>
      <c r="C140" s="82">
        <f>VLOOKUP(A140,'Data shares'!$C$2:$CX$216,100,0)</f>
        <v>2933550</v>
      </c>
      <c r="D140" s="141">
        <f>VLOOKUP(A140,'Data shares'!$C$2:$CY$539,101,0)</f>
        <v>1.0999999999999999E-2</v>
      </c>
      <c r="E140" s="86">
        <f>VLOOKUP($A140,'Data shares'!$C:$FA,74)</f>
        <v>169764600</v>
      </c>
      <c r="F140" s="86">
        <f>VLOOKUP($A140,'Data shares'!$C:$FA,76)</f>
        <v>1328400</v>
      </c>
      <c r="G140" s="87">
        <f>VLOOKUP(A140,'Data shares'!$C$2:$CA$216,77,0)</f>
        <v>7.9000000000000008E-3</v>
      </c>
      <c r="H140" s="86">
        <f>VLOOKUP($A140,'Data shares'!$C:$FA,90)</f>
        <v>64021500</v>
      </c>
      <c r="I140" s="86">
        <f>VLOOKUP($A140,'Data shares'!$C:$FA,92)</f>
        <v>-2607600</v>
      </c>
      <c r="J140" s="87">
        <f>VLOOKUP($A140,'Data shares'!$C:$FA,93)</f>
        <v>-3.9100000000000003E-2</v>
      </c>
      <c r="K140" s="86">
        <f>VLOOKUP($A140,'Data shares'!$C:$FA,94)</f>
        <v>36592500</v>
      </c>
      <c r="L140" s="86">
        <f>VLOOKUP($A140,'Data shares'!$C:$FA,96)</f>
        <v>4212750</v>
      </c>
      <c r="M140" s="87">
        <f>VLOOKUP($A140,'Data shares'!$C:$FA,97)</f>
        <v>0.13009999999999999</v>
      </c>
      <c r="N140" s="86">
        <f>VLOOKUP($A140,'Data shares'!$C:$FA,78)</f>
        <v>160828650</v>
      </c>
      <c r="O140" s="87">
        <f>VLOOKUP($A140,'Data shares'!$C:$FA,81)</f>
        <v>3.2000000000000002E-3</v>
      </c>
    </row>
    <row r="141" spans="1:15" x14ac:dyDescent="0.25">
      <c r="A141" s="100" t="str">
        <f>'OI(Value)'!A141</f>
        <v>MPHASIS</v>
      </c>
      <c r="B141" s="82">
        <f>VLOOKUP(A141,'Data shares'!$C$2:$CV$216,98,0)</f>
        <v>5946875</v>
      </c>
      <c r="C141" s="82">
        <f>VLOOKUP(A141,'Data shares'!$C$2:$CX$216,100,0)</f>
        <v>-56650</v>
      </c>
      <c r="D141" s="141">
        <f>VLOOKUP(A141,'Data shares'!$C$2:$CY$539,101,0)</f>
        <v>-9.4000000000000004E-3</v>
      </c>
      <c r="E141" s="86">
        <f>VLOOKUP($A141,'Data shares'!$C:$FA,74)</f>
        <v>4010875</v>
      </c>
      <c r="F141" s="86">
        <f>VLOOKUP($A141,'Data shares'!$C:$FA,76)</f>
        <v>-51150</v>
      </c>
      <c r="G141" s="87">
        <f>VLOOKUP(A141,'Data shares'!$C$2:$CA$216,77,0)</f>
        <v>-1.26E-2</v>
      </c>
      <c r="H141" s="86">
        <f>VLOOKUP($A141,'Data shares'!$C:$FA,90)</f>
        <v>1255650</v>
      </c>
      <c r="I141" s="86">
        <f>VLOOKUP($A141,'Data shares'!$C:$FA,92)</f>
        <v>-29700</v>
      </c>
      <c r="J141" s="87">
        <f>VLOOKUP($A141,'Data shares'!$C:$FA,93)</f>
        <v>-2.3099999999999999E-2</v>
      </c>
      <c r="K141" s="86">
        <f>VLOOKUP($A141,'Data shares'!$C:$FA,94)</f>
        <v>680350</v>
      </c>
      <c r="L141" s="86">
        <f>VLOOKUP($A141,'Data shares'!$C:$FA,96)</f>
        <v>24200</v>
      </c>
      <c r="M141" s="87">
        <f>VLOOKUP($A141,'Data shares'!$C:$FA,97)</f>
        <v>3.6900000000000002E-2</v>
      </c>
      <c r="N141" s="86">
        <f>VLOOKUP($A141,'Data shares'!$C:$FA,78)</f>
        <v>3927550</v>
      </c>
      <c r="O141" s="87">
        <f>VLOOKUP($A141,'Data shares'!$C:$FA,81)</f>
        <v>-1.3899999999999999E-2</v>
      </c>
    </row>
    <row r="142" spans="1:15" x14ac:dyDescent="0.25">
      <c r="A142" s="100" t="str">
        <f>'OI(Value)'!A142</f>
        <v>MUTHOOTFIN</v>
      </c>
      <c r="B142" s="82">
        <f>VLOOKUP(A142,'Data shares'!$C$2:$CV$216,98,0)</f>
        <v>7006725</v>
      </c>
      <c r="C142" s="82">
        <f>VLOOKUP(A142,'Data shares'!$C$2:$CX$216,100,0)</f>
        <v>314050</v>
      </c>
      <c r="D142" s="141">
        <f>VLOOKUP(A142,'Data shares'!$C$2:$CY$539,101,0)</f>
        <v>4.6899999999999997E-2</v>
      </c>
      <c r="E142" s="86">
        <f>VLOOKUP($A142,'Data shares'!$C:$FA,74)</f>
        <v>2700775</v>
      </c>
      <c r="F142" s="86">
        <f>VLOOKUP($A142,'Data shares'!$C:$FA,76)</f>
        <v>-550</v>
      </c>
      <c r="G142" s="87">
        <f>VLOOKUP(A142,'Data shares'!$C$2:$CA$216,77,0)</f>
        <v>-2.0000000000000001E-4</v>
      </c>
      <c r="H142" s="86">
        <f>VLOOKUP($A142,'Data shares'!$C:$FA,90)</f>
        <v>2526150</v>
      </c>
      <c r="I142" s="86">
        <f>VLOOKUP($A142,'Data shares'!$C:$FA,92)</f>
        <v>180400</v>
      </c>
      <c r="J142" s="87">
        <f>VLOOKUP($A142,'Data shares'!$C:$FA,93)</f>
        <v>7.6899999999999996E-2</v>
      </c>
      <c r="K142" s="86">
        <f>VLOOKUP($A142,'Data shares'!$C:$FA,94)</f>
        <v>1779800</v>
      </c>
      <c r="L142" s="86">
        <f>VLOOKUP($A142,'Data shares'!$C:$FA,96)</f>
        <v>134200</v>
      </c>
      <c r="M142" s="87">
        <f>VLOOKUP($A142,'Data shares'!$C:$FA,97)</f>
        <v>8.1600000000000006E-2</v>
      </c>
      <c r="N142" s="86">
        <f>VLOOKUP($A142,'Data shares'!$C:$FA,78)</f>
        <v>2529725</v>
      </c>
      <c r="O142" s="87">
        <f>VLOOKUP($A142,'Data shares'!$C:$FA,81)</f>
        <v>-1.46E-2</v>
      </c>
    </row>
    <row r="143" spans="1:15" x14ac:dyDescent="0.25">
      <c r="A143" s="100" t="str">
        <f>'OI(Value)'!A143</f>
        <v>NATIONALUM</v>
      </c>
      <c r="B143" s="82">
        <f>VLOOKUP(A143,'Data shares'!$C$2:$CV$216,98,0)</f>
        <v>142788750</v>
      </c>
      <c r="C143" s="82">
        <f>VLOOKUP(A143,'Data shares'!$C$2:$CX$216,100,0)</f>
        <v>277500</v>
      </c>
      <c r="D143" s="141">
        <f>VLOOKUP(A143,'Data shares'!$C$2:$CY$539,101,0)</f>
        <v>1.9E-3</v>
      </c>
      <c r="E143" s="86">
        <f>VLOOKUP($A143,'Data shares'!$C:$FA,74)</f>
        <v>82376250</v>
      </c>
      <c r="F143" s="86">
        <f>VLOOKUP($A143,'Data shares'!$C:$FA,76)</f>
        <v>753750</v>
      </c>
      <c r="G143" s="87">
        <f>VLOOKUP(A143,'Data shares'!$C$2:$CA$216,77,0)</f>
        <v>9.1999999999999998E-3</v>
      </c>
      <c r="H143" s="86">
        <f>VLOOKUP($A143,'Data shares'!$C:$FA,90)</f>
        <v>35088750</v>
      </c>
      <c r="I143" s="86">
        <f>VLOOKUP($A143,'Data shares'!$C:$FA,92)</f>
        <v>-787500</v>
      </c>
      <c r="J143" s="87">
        <f>VLOOKUP($A143,'Data shares'!$C:$FA,93)</f>
        <v>-2.1999999999999999E-2</v>
      </c>
      <c r="K143" s="86">
        <f>VLOOKUP($A143,'Data shares'!$C:$FA,94)</f>
        <v>25323750</v>
      </c>
      <c r="L143" s="86">
        <f>VLOOKUP($A143,'Data shares'!$C:$FA,96)</f>
        <v>311250</v>
      </c>
      <c r="M143" s="87">
        <f>VLOOKUP($A143,'Data shares'!$C:$FA,97)</f>
        <v>1.24E-2</v>
      </c>
      <c r="N143" s="86">
        <f>VLOOKUP($A143,'Data shares'!$C:$FA,78)</f>
        <v>76676250</v>
      </c>
      <c r="O143" s="87">
        <f>VLOOKUP($A143,'Data shares'!$C:$FA,81)</f>
        <v>-2.7000000000000001E-3</v>
      </c>
    </row>
    <row r="144" spans="1:15" x14ac:dyDescent="0.25">
      <c r="A144" s="100" t="str">
        <f>'OI(Value)'!A144</f>
        <v>NAUKRI</v>
      </c>
      <c r="B144" s="82">
        <f>VLOOKUP(A144,'Data shares'!$C$2:$CV$216,98,0)</f>
        <v>13154250</v>
      </c>
      <c r="C144" s="82">
        <f>VLOOKUP(A144,'Data shares'!$C$2:$CX$216,100,0)</f>
        <v>-483750</v>
      </c>
      <c r="D144" s="141">
        <f>VLOOKUP(A144,'Data shares'!$C$2:$CY$539,101,0)</f>
        <v>-3.5499999999999997E-2</v>
      </c>
      <c r="E144" s="86">
        <f>VLOOKUP($A144,'Data shares'!$C:$FA,74)</f>
        <v>10039125</v>
      </c>
      <c r="F144" s="86">
        <f>VLOOKUP($A144,'Data shares'!$C:$FA,76)</f>
        <v>-157500</v>
      </c>
      <c r="G144" s="87">
        <f>VLOOKUP(A144,'Data shares'!$C$2:$CA$216,77,0)</f>
        <v>-1.54E-2</v>
      </c>
      <c r="H144" s="86">
        <f>VLOOKUP($A144,'Data shares'!$C:$FA,90)</f>
        <v>1947375</v>
      </c>
      <c r="I144" s="86">
        <f>VLOOKUP($A144,'Data shares'!$C:$FA,92)</f>
        <v>-304125</v>
      </c>
      <c r="J144" s="87">
        <f>VLOOKUP($A144,'Data shares'!$C:$FA,93)</f>
        <v>-0.1351</v>
      </c>
      <c r="K144" s="86">
        <f>VLOOKUP($A144,'Data shares'!$C:$FA,94)</f>
        <v>1167750</v>
      </c>
      <c r="L144" s="86">
        <f>VLOOKUP($A144,'Data shares'!$C:$FA,96)</f>
        <v>-22125</v>
      </c>
      <c r="M144" s="87">
        <f>VLOOKUP($A144,'Data shares'!$C:$FA,97)</f>
        <v>-1.8599999999999998E-2</v>
      </c>
      <c r="N144" s="86">
        <f>VLOOKUP($A144,'Data shares'!$C:$FA,78)</f>
        <v>9888750</v>
      </c>
      <c r="O144" s="87">
        <f>VLOOKUP($A144,'Data shares'!$C:$FA,81)</f>
        <v>-1.61E-2</v>
      </c>
    </row>
    <row r="145" spans="1:15" x14ac:dyDescent="0.25">
      <c r="A145" s="100" t="str">
        <f>'OI(Value)'!A145</f>
        <v>NBCC</v>
      </c>
      <c r="B145" s="82">
        <f>VLOOKUP(A145,'Data shares'!$C$2:$CV$216,98,0)</f>
        <v>112437000</v>
      </c>
      <c r="C145" s="82">
        <f>VLOOKUP(A145,'Data shares'!$C$2:$CX$216,100,0)</f>
        <v>-1800500</v>
      </c>
      <c r="D145" s="141">
        <f>VLOOKUP(A145,'Data shares'!$C$2:$CY$539,101,0)</f>
        <v>-1.5800000000000002E-2</v>
      </c>
      <c r="E145" s="86">
        <f>VLOOKUP($A145,'Data shares'!$C:$FA,74)</f>
        <v>61516000</v>
      </c>
      <c r="F145" s="86">
        <f>VLOOKUP($A145,'Data shares'!$C:$FA,76)</f>
        <v>-968500</v>
      </c>
      <c r="G145" s="87">
        <f>VLOOKUP(A145,'Data shares'!$C$2:$CA$216,77,0)</f>
        <v>-1.55E-2</v>
      </c>
      <c r="H145" s="86">
        <f>VLOOKUP($A145,'Data shares'!$C:$FA,90)</f>
        <v>33442500</v>
      </c>
      <c r="I145" s="86">
        <f>VLOOKUP($A145,'Data shares'!$C:$FA,92)</f>
        <v>-1092000</v>
      </c>
      <c r="J145" s="87">
        <f>VLOOKUP($A145,'Data shares'!$C:$FA,93)</f>
        <v>-3.1600000000000003E-2</v>
      </c>
      <c r="K145" s="86">
        <f>VLOOKUP($A145,'Data shares'!$C:$FA,94)</f>
        <v>17478500</v>
      </c>
      <c r="L145" s="86">
        <f>VLOOKUP($A145,'Data shares'!$C:$FA,96)</f>
        <v>260000</v>
      </c>
      <c r="M145" s="87">
        <f>VLOOKUP($A145,'Data shares'!$C:$FA,97)</f>
        <v>1.5100000000000001E-2</v>
      </c>
      <c r="N145" s="86">
        <f>VLOOKUP($A145,'Data shares'!$C:$FA,78)</f>
        <v>57148000</v>
      </c>
      <c r="O145" s="87">
        <f>VLOOKUP($A145,'Data shares'!$C:$FA,81)</f>
        <v>-2.35E-2</v>
      </c>
    </row>
    <row r="146" spans="1:15" x14ac:dyDescent="0.25">
      <c r="A146" s="100" t="str">
        <f>'OI(Value)'!A146</f>
        <v>NCC</v>
      </c>
      <c r="B146" s="82">
        <f>VLOOKUP(A146,'Data shares'!$C$2:$CV$216,98,0)</f>
        <v>31617000</v>
      </c>
      <c r="C146" s="82">
        <f>VLOOKUP(A146,'Data shares'!$C$2:$CX$216,100,0)</f>
        <v>-5400</v>
      </c>
      <c r="D146" s="141">
        <f>VLOOKUP(A146,'Data shares'!$C$2:$CY$539,101,0)</f>
        <v>-2.0000000000000001E-4</v>
      </c>
      <c r="E146" s="86">
        <f>VLOOKUP($A146,'Data shares'!$C:$FA,74)</f>
        <v>19021500</v>
      </c>
      <c r="F146" s="86">
        <f>VLOOKUP($A146,'Data shares'!$C:$FA,76)</f>
        <v>72900</v>
      </c>
      <c r="G146" s="87">
        <f>VLOOKUP(A146,'Data shares'!$C$2:$CA$216,77,0)</f>
        <v>3.8E-3</v>
      </c>
      <c r="H146" s="86">
        <f>VLOOKUP($A146,'Data shares'!$C:$FA,90)</f>
        <v>8453700</v>
      </c>
      <c r="I146" s="86">
        <f>VLOOKUP($A146,'Data shares'!$C:$FA,92)</f>
        <v>43200</v>
      </c>
      <c r="J146" s="87">
        <f>VLOOKUP($A146,'Data shares'!$C:$FA,93)</f>
        <v>5.1000000000000004E-3</v>
      </c>
      <c r="K146" s="86">
        <f>VLOOKUP($A146,'Data shares'!$C:$FA,94)</f>
        <v>4141800</v>
      </c>
      <c r="L146" s="86">
        <f>VLOOKUP($A146,'Data shares'!$C:$FA,96)</f>
        <v>-121500</v>
      </c>
      <c r="M146" s="87">
        <f>VLOOKUP($A146,'Data shares'!$C:$FA,97)</f>
        <v>-2.8500000000000001E-2</v>
      </c>
      <c r="N146" s="86">
        <f>VLOOKUP($A146,'Data shares'!$C:$FA,78)</f>
        <v>17655300</v>
      </c>
      <c r="O146" s="87">
        <f>VLOOKUP($A146,'Data shares'!$C:$FA,81)</f>
        <v>-6.1000000000000004E-3</v>
      </c>
    </row>
    <row r="147" spans="1:15" x14ac:dyDescent="0.25">
      <c r="A147" s="100" t="str">
        <f>'OI(Value)'!A147</f>
        <v>NESTLEIND</v>
      </c>
      <c r="B147" s="82">
        <f>VLOOKUP(A147,'Data shares'!$C$2:$CV$216,98,0)</f>
        <v>38442500</v>
      </c>
      <c r="C147" s="82">
        <f>VLOOKUP(A147,'Data shares'!$C$2:$CX$216,100,0)</f>
        <v>9469000</v>
      </c>
      <c r="D147" s="141">
        <f>VLOOKUP(A147,'Data shares'!$C$2:$CY$539,101,0)</f>
        <v>0.32679999999999998</v>
      </c>
      <c r="E147" s="86">
        <f>VLOOKUP($A147,'Data shares'!$C:$FA,74)</f>
        <v>20317500</v>
      </c>
      <c r="F147" s="86">
        <f>VLOOKUP($A147,'Data shares'!$C:$FA,76)</f>
        <v>315000</v>
      </c>
      <c r="G147" s="87">
        <f>VLOOKUP(A147,'Data shares'!$C$2:$CA$216,77,0)</f>
        <v>1.5699999999999999E-2</v>
      </c>
      <c r="H147" s="86">
        <f>VLOOKUP($A147,'Data shares'!$C:$FA,90)</f>
        <v>8974500</v>
      </c>
      <c r="I147" s="86">
        <f>VLOOKUP($A147,'Data shares'!$C:$FA,92)</f>
        <v>3887500</v>
      </c>
      <c r="J147" s="87">
        <f>VLOOKUP($A147,'Data shares'!$C:$FA,93)</f>
        <v>0.76419999999999999</v>
      </c>
      <c r="K147" s="86">
        <f>VLOOKUP($A147,'Data shares'!$C:$FA,94)</f>
        <v>9150500</v>
      </c>
      <c r="L147" s="86">
        <f>VLOOKUP($A147,'Data shares'!$C:$FA,96)</f>
        <v>5266500</v>
      </c>
      <c r="M147" s="87">
        <f>VLOOKUP($A147,'Data shares'!$C:$FA,97)</f>
        <v>1.3559000000000001</v>
      </c>
      <c r="N147" s="86">
        <f>VLOOKUP($A147,'Data shares'!$C:$FA,78)</f>
        <v>18331000</v>
      </c>
      <c r="O147" s="87">
        <f>VLOOKUP($A147,'Data shares'!$C:$FA,81)</f>
        <v>-1E-3</v>
      </c>
    </row>
    <row r="148" spans="1:15" x14ac:dyDescent="0.25">
      <c r="A148" s="100" t="str">
        <f>'OI(Value)'!A148</f>
        <v>NHPC</v>
      </c>
      <c r="B148" s="82">
        <f>VLOOKUP(A148,'Data shares'!$C$2:$CV$216,98,0)</f>
        <v>76038400</v>
      </c>
      <c r="C148" s="82">
        <f>VLOOKUP(A148,'Data shares'!$C$2:$CX$216,100,0)</f>
        <v>736000</v>
      </c>
      <c r="D148" s="141">
        <f>VLOOKUP(A148,'Data shares'!$C$2:$CY$539,101,0)</f>
        <v>9.7999999999999997E-3</v>
      </c>
      <c r="E148" s="86">
        <f>VLOOKUP($A148,'Data shares'!$C:$FA,74)</f>
        <v>46931200</v>
      </c>
      <c r="F148" s="86">
        <f>VLOOKUP($A148,'Data shares'!$C:$FA,76)</f>
        <v>537600</v>
      </c>
      <c r="G148" s="87">
        <f>VLOOKUP(A148,'Data shares'!$C$2:$CA$216,77,0)</f>
        <v>1.1599999999999999E-2</v>
      </c>
      <c r="H148" s="86">
        <f>VLOOKUP($A148,'Data shares'!$C:$FA,90)</f>
        <v>19616000</v>
      </c>
      <c r="I148" s="86">
        <f>VLOOKUP($A148,'Data shares'!$C:$FA,92)</f>
        <v>268800</v>
      </c>
      <c r="J148" s="87">
        <f>VLOOKUP($A148,'Data shares'!$C:$FA,93)</f>
        <v>1.3899999999999999E-2</v>
      </c>
      <c r="K148" s="86">
        <f>VLOOKUP($A148,'Data shares'!$C:$FA,94)</f>
        <v>9491200</v>
      </c>
      <c r="L148" s="86">
        <f>VLOOKUP($A148,'Data shares'!$C:$FA,96)</f>
        <v>-70400</v>
      </c>
      <c r="M148" s="87">
        <f>VLOOKUP($A148,'Data shares'!$C:$FA,97)</f>
        <v>-7.4000000000000003E-3</v>
      </c>
      <c r="N148" s="86">
        <f>VLOOKUP($A148,'Data shares'!$C:$FA,78)</f>
        <v>43827200</v>
      </c>
      <c r="O148" s="87">
        <f>VLOOKUP($A148,'Data shares'!$C:$FA,81)</f>
        <v>4.0000000000000001E-3</v>
      </c>
    </row>
    <row r="149" spans="1:15" x14ac:dyDescent="0.25">
      <c r="A149" s="100" t="str">
        <f>'OI(Value)'!A149</f>
        <v>NIFTY</v>
      </c>
      <c r="B149" s="82">
        <f>VLOOKUP(A149,'Data shares'!$C$2:$CV$216,98,0)</f>
        <v>524672650</v>
      </c>
      <c r="C149" s="82">
        <f>VLOOKUP(A149,'Data shares'!$C$2:$CX$216,100,0)</f>
        <v>67044550</v>
      </c>
      <c r="D149" s="141">
        <f>VLOOKUP(A149,'Data shares'!$C$2:$CY$539,101,0)</f>
        <v>0.14649999999999999</v>
      </c>
      <c r="E149" s="86">
        <f>VLOOKUP($A149,'Data shares'!$C:$FA,74)</f>
        <v>20341800</v>
      </c>
      <c r="F149" s="86">
        <f>VLOOKUP($A149,'Data shares'!$C:$FA,76)</f>
        <v>133575</v>
      </c>
      <c r="G149" s="87">
        <f>VLOOKUP(A149,'Data shares'!$C$2:$CA$216,77,0)</f>
        <v>6.6E-3</v>
      </c>
      <c r="H149" s="86">
        <f>VLOOKUP($A149,'Data shares'!$C:$FA,90)</f>
        <v>211647275</v>
      </c>
      <c r="I149" s="86">
        <f>VLOOKUP($A149,'Data shares'!$C:$FA,92)</f>
        <v>13940525</v>
      </c>
      <c r="J149" s="87">
        <f>VLOOKUP($A149,'Data shares'!$C:$FA,93)</f>
        <v>7.0499999999999993E-2</v>
      </c>
      <c r="K149" s="86">
        <f>VLOOKUP($A149,'Data shares'!$C:$FA,94)</f>
        <v>292683575</v>
      </c>
      <c r="L149" s="86">
        <f>VLOOKUP($A149,'Data shares'!$C:$FA,96)</f>
        <v>52970450</v>
      </c>
      <c r="M149" s="87">
        <f>VLOOKUP($A149,'Data shares'!$C:$FA,97)</f>
        <v>0.221</v>
      </c>
      <c r="N149" s="86">
        <f>VLOOKUP($A149,'Data shares'!$C:$FA,78)</f>
        <v>17756925</v>
      </c>
      <c r="O149" s="87">
        <f>VLOOKUP($A149,'Data shares'!$C:$FA,81)</f>
        <v>-9.7000000000000003E-3</v>
      </c>
    </row>
    <row r="150" spans="1:15" x14ac:dyDescent="0.25">
      <c r="A150" s="100" t="str">
        <f>'OI(Value)'!A150</f>
        <v>NIFTYNXT50</v>
      </c>
      <c r="B150" s="82">
        <f>VLOOKUP(A150,'Data shares'!$C$2:$CV$216,98,0)</f>
        <v>38400</v>
      </c>
      <c r="C150" s="82">
        <f>VLOOKUP(A150,'Data shares'!$C$2:$CX$216,100,0)</f>
        <v>1800</v>
      </c>
      <c r="D150" s="141">
        <f>VLOOKUP(A150,'Data shares'!$C$2:$CY$539,101,0)</f>
        <v>4.9200000000000001E-2</v>
      </c>
      <c r="E150" s="86">
        <f>VLOOKUP($A150,'Data shares'!$C:$FA,74)</f>
        <v>23825</v>
      </c>
      <c r="F150" s="86">
        <f>VLOOKUP($A150,'Data shares'!$C:$FA,76)</f>
        <v>900</v>
      </c>
      <c r="G150" s="87">
        <f>VLOOKUP(A150,'Data shares'!$C$2:$CA$216,77,0)</f>
        <v>3.9300000000000002E-2</v>
      </c>
      <c r="H150" s="86">
        <f>VLOOKUP($A150,'Data shares'!$C:$FA,90)</f>
        <v>7750</v>
      </c>
      <c r="I150" s="86">
        <f>VLOOKUP($A150,'Data shares'!$C:$FA,92)</f>
        <v>525</v>
      </c>
      <c r="J150" s="87">
        <f>VLOOKUP($A150,'Data shares'!$C:$FA,93)</f>
        <v>7.2700000000000001E-2</v>
      </c>
      <c r="K150" s="86">
        <f>VLOOKUP($A150,'Data shares'!$C:$FA,94)</f>
        <v>6825</v>
      </c>
      <c r="L150" s="86">
        <f>VLOOKUP($A150,'Data shares'!$C:$FA,96)</f>
        <v>375</v>
      </c>
      <c r="M150" s="87">
        <f>VLOOKUP($A150,'Data shares'!$C:$FA,97)</f>
        <v>5.8099999999999999E-2</v>
      </c>
      <c r="N150" s="86">
        <f>VLOOKUP($A150,'Data shares'!$C:$FA,78)</f>
        <v>19875</v>
      </c>
      <c r="O150" s="87">
        <f>VLOOKUP($A150,'Data shares'!$C:$FA,81)</f>
        <v>2.7099999999999999E-2</v>
      </c>
    </row>
    <row r="151" spans="1:15" x14ac:dyDescent="0.25">
      <c r="A151" s="100" t="str">
        <f>'OI(Value)'!A151</f>
        <v>NMDC</v>
      </c>
      <c r="B151" s="82">
        <f>VLOOKUP(A151,'Data shares'!$C$2:$CV$216,98,0)</f>
        <v>547614000</v>
      </c>
      <c r="C151" s="82">
        <f>VLOOKUP(A151,'Data shares'!$C$2:$CX$216,100,0)</f>
        <v>15390000</v>
      </c>
      <c r="D151" s="141">
        <f>VLOOKUP(A151,'Data shares'!$C$2:$CY$539,101,0)</f>
        <v>2.8899999999999999E-2</v>
      </c>
      <c r="E151" s="86">
        <f>VLOOKUP($A151,'Data shares'!$C:$FA,74)</f>
        <v>298161000</v>
      </c>
      <c r="F151" s="86">
        <f>VLOOKUP($A151,'Data shares'!$C:$FA,76)</f>
        <v>3483000</v>
      </c>
      <c r="G151" s="87">
        <f>VLOOKUP(A151,'Data shares'!$C$2:$CA$216,77,0)</f>
        <v>1.18E-2</v>
      </c>
      <c r="H151" s="86">
        <f>VLOOKUP($A151,'Data shares'!$C:$FA,90)</f>
        <v>162162000</v>
      </c>
      <c r="I151" s="86">
        <f>VLOOKUP($A151,'Data shares'!$C:$FA,92)</f>
        <v>9423000</v>
      </c>
      <c r="J151" s="87">
        <f>VLOOKUP($A151,'Data shares'!$C:$FA,93)</f>
        <v>6.1699999999999998E-2</v>
      </c>
      <c r="K151" s="86">
        <f>VLOOKUP($A151,'Data shares'!$C:$FA,94)</f>
        <v>87291000</v>
      </c>
      <c r="L151" s="86">
        <f>VLOOKUP($A151,'Data shares'!$C:$FA,96)</f>
        <v>2484000</v>
      </c>
      <c r="M151" s="87">
        <f>VLOOKUP($A151,'Data shares'!$C:$FA,97)</f>
        <v>2.93E-2</v>
      </c>
      <c r="N151" s="86">
        <f>VLOOKUP($A151,'Data shares'!$C:$FA,78)</f>
        <v>268623000</v>
      </c>
      <c r="O151" s="87">
        <f>VLOOKUP($A151,'Data shares'!$C:$FA,81)</f>
        <v>-2.3E-3</v>
      </c>
    </row>
    <row r="152" spans="1:15" x14ac:dyDescent="0.25">
      <c r="A152" s="100" t="str">
        <f>'OI(Value)'!A152</f>
        <v>NTPC</v>
      </c>
      <c r="B152" s="82">
        <f>VLOOKUP(A152,'Data shares'!$C$2:$CV$216,98,0)</f>
        <v>161238000</v>
      </c>
      <c r="C152" s="82">
        <f>VLOOKUP(A152,'Data shares'!$C$2:$CX$216,100,0)</f>
        <v>171000</v>
      </c>
      <c r="D152" s="141">
        <f>VLOOKUP(A152,'Data shares'!$C$2:$CY$539,101,0)</f>
        <v>1.1000000000000001E-3</v>
      </c>
      <c r="E152" s="86">
        <f>VLOOKUP($A152,'Data shares'!$C:$FA,74)</f>
        <v>98425500</v>
      </c>
      <c r="F152" s="86">
        <f>VLOOKUP($A152,'Data shares'!$C:$FA,76)</f>
        <v>147000</v>
      </c>
      <c r="G152" s="87">
        <f>VLOOKUP(A152,'Data shares'!$C$2:$CA$216,77,0)</f>
        <v>1.5E-3</v>
      </c>
      <c r="H152" s="86">
        <f>VLOOKUP($A152,'Data shares'!$C:$FA,90)</f>
        <v>44421000</v>
      </c>
      <c r="I152" s="86">
        <f>VLOOKUP($A152,'Data shares'!$C:$FA,92)</f>
        <v>-972000</v>
      </c>
      <c r="J152" s="87">
        <f>VLOOKUP($A152,'Data shares'!$C:$FA,93)</f>
        <v>-2.1399999999999999E-2</v>
      </c>
      <c r="K152" s="86">
        <f>VLOOKUP($A152,'Data shares'!$C:$FA,94)</f>
        <v>18391500</v>
      </c>
      <c r="L152" s="86">
        <f>VLOOKUP($A152,'Data shares'!$C:$FA,96)</f>
        <v>996000</v>
      </c>
      <c r="M152" s="87">
        <f>VLOOKUP($A152,'Data shares'!$C:$FA,97)</f>
        <v>5.7299999999999997E-2</v>
      </c>
      <c r="N152" s="86">
        <f>VLOOKUP($A152,'Data shares'!$C:$FA,78)</f>
        <v>91782000</v>
      </c>
      <c r="O152" s="87">
        <f>VLOOKUP($A152,'Data shares'!$C:$FA,81)</f>
        <v>-2.7000000000000001E-3</v>
      </c>
    </row>
    <row r="153" spans="1:15" x14ac:dyDescent="0.25">
      <c r="A153" s="100" t="str">
        <f>'OI(Value)'!A153</f>
        <v>NUVAMA</v>
      </c>
      <c r="B153" s="82">
        <f>VLOOKUP(A153,'Data shares'!$C$2:$CV$216,98,0)</f>
        <v>847125</v>
      </c>
      <c r="C153" s="82">
        <f>VLOOKUP(A153,'Data shares'!$C$2:$CX$216,100,0)</f>
        <v>-27225</v>
      </c>
      <c r="D153" s="141">
        <f>VLOOKUP(A153,'Data shares'!$C$2:$CY$539,101,0)</f>
        <v>-3.1099999999999999E-2</v>
      </c>
      <c r="E153" s="86">
        <f>VLOOKUP($A153,'Data shares'!$C:$FA,74)</f>
        <v>365925</v>
      </c>
      <c r="F153" s="86">
        <f>VLOOKUP($A153,'Data shares'!$C:$FA,76)</f>
        <v>-5625</v>
      </c>
      <c r="G153" s="87">
        <f>VLOOKUP(A153,'Data shares'!$C$2:$CA$216,77,0)</f>
        <v>-1.5100000000000001E-2</v>
      </c>
      <c r="H153" s="86">
        <f>VLOOKUP($A153,'Data shares'!$C:$FA,90)</f>
        <v>261825</v>
      </c>
      <c r="I153" s="86">
        <f>VLOOKUP($A153,'Data shares'!$C:$FA,92)</f>
        <v>-3825</v>
      </c>
      <c r="J153" s="87">
        <f>VLOOKUP($A153,'Data shares'!$C:$FA,93)</f>
        <v>-1.44E-2</v>
      </c>
      <c r="K153" s="86">
        <f>VLOOKUP($A153,'Data shares'!$C:$FA,94)</f>
        <v>219375</v>
      </c>
      <c r="L153" s="86">
        <f>VLOOKUP($A153,'Data shares'!$C:$FA,96)</f>
        <v>-17775</v>
      </c>
      <c r="M153" s="87">
        <f>VLOOKUP($A153,'Data shares'!$C:$FA,97)</f>
        <v>-7.4999999999999997E-2</v>
      </c>
      <c r="N153" s="86">
        <f>VLOOKUP($A153,'Data shares'!$C:$FA,78)</f>
        <v>340950</v>
      </c>
      <c r="O153" s="87">
        <f>VLOOKUP($A153,'Data shares'!$C:$FA,81)</f>
        <v>-1.8800000000000001E-2</v>
      </c>
    </row>
    <row r="154" spans="1:15" x14ac:dyDescent="0.25">
      <c r="A154" s="100" t="str">
        <f>'OI(Value)'!A154</f>
        <v>NYKAA</v>
      </c>
      <c r="B154" s="82">
        <f>VLOOKUP(A154,'Data shares'!$C$2:$CV$216,98,0)</f>
        <v>96446875</v>
      </c>
      <c r="C154" s="82">
        <f>VLOOKUP(A154,'Data shares'!$C$2:$CX$216,100,0)</f>
        <v>4009375</v>
      </c>
      <c r="D154" s="141">
        <f>VLOOKUP(A154,'Data shares'!$C$2:$CY$539,101,0)</f>
        <v>4.3400000000000001E-2</v>
      </c>
      <c r="E154" s="86">
        <f>VLOOKUP($A154,'Data shares'!$C:$FA,74)</f>
        <v>71396875</v>
      </c>
      <c r="F154" s="86">
        <f>VLOOKUP($A154,'Data shares'!$C:$FA,76)</f>
        <v>4287500</v>
      </c>
      <c r="G154" s="87">
        <f>VLOOKUP(A154,'Data shares'!$C$2:$CA$216,77,0)</f>
        <v>6.3899999999999998E-2</v>
      </c>
      <c r="H154" s="86">
        <f>VLOOKUP($A154,'Data shares'!$C:$FA,90)</f>
        <v>14540625</v>
      </c>
      <c r="I154" s="86">
        <f>VLOOKUP($A154,'Data shares'!$C:$FA,92)</f>
        <v>-662500</v>
      </c>
      <c r="J154" s="87">
        <f>VLOOKUP($A154,'Data shares'!$C:$FA,93)</f>
        <v>-4.36E-2</v>
      </c>
      <c r="K154" s="86">
        <f>VLOOKUP($A154,'Data shares'!$C:$FA,94)</f>
        <v>10509375</v>
      </c>
      <c r="L154" s="86">
        <f>VLOOKUP($A154,'Data shares'!$C:$FA,96)</f>
        <v>384375</v>
      </c>
      <c r="M154" s="87">
        <f>VLOOKUP($A154,'Data shares'!$C:$FA,97)</f>
        <v>3.7999999999999999E-2</v>
      </c>
      <c r="N154" s="86">
        <f>VLOOKUP($A154,'Data shares'!$C:$FA,78)</f>
        <v>64253125</v>
      </c>
      <c r="O154" s="87">
        <f>VLOOKUP($A154,'Data shares'!$C:$FA,81)</f>
        <v>6.4000000000000003E-3</v>
      </c>
    </row>
    <row r="155" spans="1:15" x14ac:dyDescent="0.25">
      <c r="A155" s="100" t="str">
        <f>'OI(Value)'!A155</f>
        <v>OBEROIRLTY</v>
      </c>
      <c r="B155" s="82">
        <f>VLOOKUP(A155,'Data shares'!$C$2:$CV$216,98,0)</f>
        <v>9188200</v>
      </c>
      <c r="C155" s="82">
        <f>VLOOKUP(A155,'Data shares'!$C$2:$CX$216,100,0)</f>
        <v>1037050</v>
      </c>
      <c r="D155" s="141">
        <f>VLOOKUP(A155,'Data shares'!$C$2:$CY$539,101,0)</f>
        <v>0.12720000000000001</v>
      </c>
      <c r="E155" s="86">
        <f>VLOOKUP($A155,'Data shares'!$C:$FA,74)</f>
        <v>4725350</v>
      </c>
      <c r="F155" s="86">
        <f>VLOOKUP($A155,'Data shares'!$C:$FA,76)</f>
        <v>-349650</v>
      </c>
      <c r="G155" s="87">
        <f>VLOOKUP(A155,'Data shares'!$C$2:$CA$216,77,0)</f>
        <v>-6.8900000000000003E-2</v>
      </c>
      <c r="H155" s="86">
        <f>VLOOKUP($A155,'Data shares'!$C:$FA,90)</f>
        <v>2619050</v>
      </c>
      <c r="I155" s="86">
        <f>VLOOKUP($A155,'Data shares'!$C:$FA,92)</f>
        <v>666050</v>
      </c>
      <c r="J155" s="87">
        <f>VLOOKUP($A155,'Data shares'!$C:$FA,93)</f>
        <v>0.34100000000000003</v>
      </c>
      <c r="K155" s="86">
        <f>VLOOKUP($A155,'Data shares'!$C:$FA,94)</f>
        <v>1843800</v>
      </c>
      <c r="L155" s="86">
        <f>VLOOKUP($A155,'Data shares'!$C:$FA,96)</f>
        <v>720650</v>
      </c>
      <c r="M155" s="87">
        <f>VLOOKUP($A155,'Data shares'!$C:$FA,97)</f>
        <v>0.64159999999999995</v>
      </c>
      <c r="N155" s="86">
        <f>VLOOKUP($A155,'Data shares'!$C:$FA,78)</f>
        <v>4556650</v>
      </c>
      <c r="O155" s="87">
        <f>VLOOKUP($A155,'Data shares'!$C:$FA,81)</f>
        <v>-7.7700000000000005E-2</v>
      </c>
    </row>
    <row r="156" spans="1:15" x14ac:dyDescent="0.25">
      <c r="A156" s="100" t="str">
        <f>'OI(Value)'!A156</f>
        <v>OFSS</v>
      </c>
      <c r="B156" s="82">
        <f>VLOOKUP(A156,'Data shares'!$C$2:$CV$216,98,0)</f>
        <v>2432175</v>
      </c>
      <c r="C156" s="82">
        <f>VLOOKUP(A156,'Data shares'!$C$2:$CX$216,100,0)</f>
        <v>100575</v>
      </c>
      <c r="D156" s="141">
        <f>VLOOKUP(A156,'Data shares'!$C$2:$CY$539,101,0)</f>
        <v>4.3099999999999999E-2</v>
      </c>
      <c r="E156" s="86">
        <f>VLOOKUP($A156,'Data shares'!$C:$FA,74)</f>
        <v>1219425</v>
      </c>
      <c r="F156" s="86">
        <f>VLOOKUP($A156,'Data shares'!$C:$FA,76)</f>
        <v>44700</v>
      </c>
      <c r="G156" s="87">
        <f>VLOOKUP(A156,'Data shares'!$C$2:$CA$216,77,0)</f>
        <v>3.8100000000000002E-2</v>
      </c>
      <c r="H156" s="86">
        <f>VLOOKUP($A156,'Data shares'!$C:$FA,90)</f>
        <v>788400</v>
      </c>
      <c r="I156" s="86">
        <f>VLOOKUP($A156,'Data shares'!$C:$FA,92)</f>
        <v>34950</v>
      </c>
      <c r="J156" s="87">
        <f>VLOOKUP($A156,'Data shares'!$C:$FA,93)</f>
        <v>4.6399999999999997E-2</v>
      </c>
      <c r="K156" s="86">
        <f>VLOOKUP($A156,'Data shares'!$C:$FA,94)</f>
        <v>424350</v>
      </c>
      <c r="L156" s="86">
        <f>VLOOKUP($A156,'Data shares'!$C:$FA,96)</f>
        <v>20925</v>
      </c>
      <c r="M156" s="87">
        <f>VLOOKUP($A156,'Data shares'!$C:$FA,97)</f>
        <v>5.1900000000000002E-2</v>
      </c>
      <c r="N156" s="86">
        <f>VLOOKUP($A156,'Data shares'!$C:$FA,78)</f>
        <v>1137525</v>
      </c>
      <c r="O156" s="87">
        <f>VLOOKUP($A156,'Data shares'!$C:$FA,81)</f>
        <v>2.86E-2</v>
      </c>
    </row>
    <row r="157" spans="1:15" x14ac:dyDescent="0.25">
      <c r="A157" s="100" t="str">
        <f>'OI(Value)'!A157</f>
        <v>OIL</v>
      </c>
      <c r="B157" s="82">
        <f>VLOOKUP(A157,'Data shares'!$C$2:$CV$216,98,0)</f>
        <v>20503000</v>
      </c>
      <c r="C157" s="82">
        <f>VLOOKUP(A157,'Data shares'!$C$2:$CX$216,100,0)</f>
        <v>364000</v>
      </c>
      <c r="D157" s="141">
        <f>VLOOKUP(A157,'Data shares'!$C$2:$CY$539,101,0)</f>
        <v>1.8100000000000002E-2</v>
      </c>
      <c r="E157" s="86">
        <f>VLOOKUP($A157,'Data shares'!$C:$FA,74)</f>
        <v>10802400</v>
      </c>
      <c r="F157" s="86">
        <f>VLOOKUP($A157,'Data shares'!$C:$FA,76)</f>
        <v>172200</v>
      </c>
      <c r="G157" s="87">
        <f>VLOOKUP(A157,'Data shares'!$C$2:$CA$216,77,0)</f>
        <v>1.6199999999999999E-2</v>
      </c>
      <c r="H157" s="86">
        <f>VLOOKUP($A157,'Data shares'!$C:$FA,90)</f>
        <v>6307000</v>
      </c>
      <c r="I157" s="86">
        <f>VLOOKUP($A157,'Data shares'!$C:$FA,92)</f>
        <v>148400</v>
      </c>
      <c r="J157" s="87">
        <f>VLOOKUP($A157,'Data shares'!$C:$FA,93)</f>
        <v>2.41E-2</v>
      </c>
      <c r="K157" s="86">
        <f>VLOOKUP($A157,'Data shares'!$C:$FA,94)</f>
        <v>3393600</v>
      </c>
      <c r="L157" s="86">
        <f>VLOOKUP($A157,'Data shares'!$C:$FA,96)</f>
        <v>43400</v>
      </c>
      <c r="M157" s="87">
        <f>VLOOKUP($A157,'Data shares'!$C:$FA,97)</f>
        <v>1.2999999999999999E-2</v>
      </c>
      <c r="N157" s="86">
        <f>VLOOKUP($A157,'Data shares'!$C:$FA,78)</f>
        <v>10141600</v>
      </c>
      <c r="O157" s="87">
        <f>VLOOKUP($A157,'Data shares'!$C:$FA,81)</f>
        <v>7.7999999999999996E-3</v>
      </c>
    </row>
    <row r="158" spans="1:15" x14ac:dyDescent="0.25">
      <c r="A158" s="100" t="str">
        <f>'OI(Value)'!A158</f>
        <v>ONGC</v>
      </c>
      <c r="B158" s="82">
        <f>VLOOKUP(A158,'Data shares'!$C$2:$CV$216,98,0)</f>
        <v>176170500</v>
      </c>
      <c r="C158" s="82">
        <f>VLOOKUP(A158,'Data shares'!$C$2:$CX$216,100,0)</f>
        <v>1433250</v>
      </c>
      <c r="D158" s="141">
        <f>VLOOKUP(A158,'Data shares'!$C$2:$CY$539,101,0)</f>
        <v>8.2000000000000007E-3</v>
      </c>
      <c r="E158" s="86">
        <f>VLOOKUP($A158,'Data shares'!$C:$FA,74)</f>
        <v>97456500</v>
      </c>
      <c r="F158" s="86">
        <f>VLOOKUP($A158,'Data shares'!$C:$FA,76)</f>
        <v>517500</v>
      </c>
      <c r="G158" s="87">
        <f>VLOOKUP(A158,'Data shares'!$C$2:$CA$216,77,0)</f>
        <v>5.3E-3</v>
      </c>
      <c r="H158" s="86">
        <f>VLOOKUP($A158,'Data shares'!$C:$FA,90)</f>
        <v>55698750</v>
      </c>
      <c r="I158" s="86">
        <f>VLOOKUP($A158,'Data shares'!$C:$FA,92)</f>
        <v>157500</v>
      </c>
      <c r="J158" s="87">
        <f>VLOOKUP($A158,'Data shares'!$C:$FA,93)</f>
        <v>2.8E-3</v>
      </c>
      <c r="K158" s="86">
        <f>VLOOKUP($A158,'Data shares'!$C:$FA,94)</f>
        <v>23015250</v>
      </c>
      <c r="L158" s="86">
        <f>VLOOKUP($A158,'Data shares'!$C:$FA,96)</f>
        <v>758250</v>
      </c>
      <c r="M158" s="87">
        <f>VLOOKUP($A158,'Data shares'!$C:$FA,97)</f>
        <v>3.4099999999999998E-2</v>
      </c>
      <c r="N158" s="86">
        <f>VLOOKUP($A158,'Data shares'!$C:$FA,78)</f>
        <v>93631500</v>
      </c>
      <c r="O158" s="87">
        <f>VLOOKUP($A158,'Data shares'!$C:$FA,81)</f>
        <v>2.0000000000000001E-4</v>
      </c>
    </row>
    <row r="159" spans="1:15" x14ac:dyDescent="0.25">
      <c r="A159" s="100" t="str">
        <f>'OI(Value)'!A159</f>
        <v>PAGEIND</v>
      </c>
      <c r="B159" s="82">
        <f>VLOOKUP(A159,'Data shares'!$C$2:$CV$216,98,0)</f>
        <v>412425</v>
      </c>
      <c r="C159" s="82">
        <f>VLOOKUP(A159,'Data shares'!$C$2:$CX$216,100,0)</f>
        <v>14340</v>
      </c>
      <c r="D159" s="141">
        <f>VLOOKUP(A159,'Data shares'!$C$2:$CY$539,101,0)</f>
        <v>3.5999999999999997E-2</v>
      </c>
      <c r="E159" s="86">
        <f>VLOOKUP($A159,'Data shares'!$C:$FA,74)</f>
        <v>242265</v>
      </c>
      <c r="F159" s="86">
        <f>VLOOKUP($A159,'Data shares'!$C:$FA,76)</f>
        <v>-2955</v>
      </c>
      <c r="G159" s="87">
        <f>VLOOKUP(A159,'Data shares'!$C$2:$CA$216,77,0)</f>
        <v>-1.21E-2</v>
      </c>
      <c r="H159" s="86">
        <f>VLOOKUP($A159,'Data shares'!$C:$FA,90)</f>
        <v>119715</v>
      </c>
      <c r="I159" s="86">
        <f>VLOOKUP($A159,'Data shares'!$C:$FA,92)</f>
        <v>4470</v>
      </c>
      <c r="J159" s="87">
        <f>VLOOKUP($A159,'Data shares'!$C:$FA,93)</f>
        <v>3.8800000000000001E-2</v>
      </c>
      <c r="K159" s="86">
        <f>VLOOKUP($A159,'Data shares'!$C:$FA,94)</f>
        <v>50445</v>
      </c>
      <c r="L159" s="86">
        <f>VLOOKUP($A159,'Data shares'!$C:$FA,96)</f>
        <v>12825</v>
      </c>
      <c r="M159" s="87">
        <f>VLOOKUP($A159,'Data shares'!$C:$FA,97)</f>
        <v>0.34089999999999998</v>
      </c>
      <c r="N159" s="86">
        <f>VLOOKUP($A159,'Data shares'!$C:$FA,78)</f>
        <v>216285</v>
      </c>
      <c r="O159" s="87">
        <f>VLOOKUP($A159,'Data shares'!$C:$FA,81)</f>
        <v>-2.87E-2</v>
      </c>
    </row>
    <row r="160" spans="1:15" x14ac:dyDescent="0.25">
      <c r="A160" s="100" t="str">
        <f>'OI(Value)'!A160</f>
        <v>PATANJALI</v>
      </c>
      <c r="B160" s="82">
        <f>VLOOKUP(A160,'Data shares'!$C$2:$CV$216,98,0)</f>
        <v>42374700</v>
      </c>
      <c r="C160" s="82">
        <f>VLOOKUP(A160,'Data shares'!$C$2:$CX$216,100,0)</f>
        <v>-88200</v>
      </c>
      <c r="D160" s="141">
        <f>VLOOKUP(A160,'Data shares'!$C$2:$CY$539,101,0)</f>
        <v>-2.0999999999999999E-3</v>
      </c>
      <c r="E160" s="86">
        <f>VLOOKUP($A160,'Data shares'!$C:$FA,74)</f>
        <v>32801400</v>
      </c>
      <c r="F160" s="86">
        <f>VLOOKUP($A160,'Data shares'!$C:$FA,76)</f>
        <v>-71100</v>
      </c>
      <c r="G160" s="87">
        <f>VLOOKUP(A160,'Data shares'!$C$2:$CA$216,77,0)</f>
        <v>-2.2000000000000001E-3</v>
      </c>
      <c r="H160" s="86">
        <f>VLOOKUP($A160,'Data shares'!$C:$FA,90)</f>
        <v>6746400</v>
      </c>
      <c r="I160" s="86">
        <f>VLOOKUP($A160,'Data shares'!$C:$FA,92)</f>
        <v>13500</v>
      </c>
      <c r="J160" s="87">
        <f>VLOOKUP($A160,'Data shares'!$C:$FA,93)</f>
        <v>2E-3</v>
      </c>
      <c r="K160" s="86">
        <f>VLOOKUP($A160,'Data shares'!$C:$FA,94)</f>
        <v>2826900</v>
      </c>
      <c r="L160" s="86">
        <f>VLOOKUP($A160,'Data shares'!$C:$FA,96)</f>
        <v>-30600</v>
      </c>
      <c r="M160" s="87">
        <f>VLOOKUP($A160,'Data shares'!$C:$FA,97)</f>
        <v>-1.0699999999999999E-2</v>
      </c>
      <c r="N160" s="86">
        <f>VLOOKUP($A160,'Data shares'!$C:$FA,78)</f>
        <v>32431500</v>
      </c>
      <c r="O160" s="87">
        <f>VLOOKUP($A160,'Data shares'!$C:$FA,81)</f>
        <v>-4.0000000000000001E-3</v>
      </c>
    </row>
    <row r="161" spans="1:15" x14ac:dyDescent="0.25">
      <c r="A161" s="100" t="str">
        <f>'OI(Value)'!A161</f>
        <v>PAYTM</v>
      </c>
      <c r="B161" s="82">
        <f>VLOOKUP(A161,'Data shares'!$C$2:$CV$216,98,0)</f>
        <v>37367950</v>
      </c>
      <c r="C161" s="82">
        <f>VLOOKUP(A161,'Data shares'!$C$2:$CX$216,100,0)</f>
        <v>-447325</v>
      </c>
      <c r="D161" s="141">
        <f>VLOOKUP(A161,'Data shares'!$C$2:$CY$539,101,0)</f>
        <v>-1.18E-2</v>
      </c>
      <c r="E161" s="86">
        <f>VLOOKUP($A161,'Data shares'!$C:$FA,74)</f>
        <v>24354925</v>
      </c>
      <c r="F161" s="86">
        <f>VLOOKUP($A161,'Data shares'!$C:$FA,76)</f>
        <v>-994700</v>
      </c>
      <c r="G161" s="87">
        <f>VLOOKUP(A161,'Data shares'!$C$2:$CA$216,77,0)</f>
        <v>-3.9199999999999999E-2</v>
      </c>
      <c r="H161" s="86">
        <f>VLOOKUP($A161,'Data shares'!$C:$FA,90)</f>
        <v>7289150</v>
      </c>
      <c r="I161" s="86">
        <f>VLOOKUP($A161,'Data shares'!$C:$FA,92)</f>
        <v>105850</v>
      </c>
      <c r="J161" s="87">
        <f>VLOOKUP($A161,'Data shares'!$C:$FA,93)</f>
        <v>1.47E-2</v>
      </c>
      <c r="K161" s="86">
        <f>VLOOKUP($A161,'Data shares'!$C:$FA,94)</f>
        <v>5723875</v>
      </c>
      <c r="L161" s="86">
        <f>VLOOKUP($A161,'Data shares'!$C:$FA,96)</f>
        <v>441525</v>
      </c>
      <c r="M161" s="87">
        <f>VLOOKUP($A161,'Data shares'!$C:$FA,97)</f>
        <v>8.3599999999999994E-2</v>
      </c>
      <c r="N161" s="86">
        <f>VLOOKUP($A161,'Data shares'!$C:$FA,78)</f>
        <v>23658200</v>
      </c>
      <c r="O161" s="87">
        <f>VLOOKUP($A161,'Data shares'!$C:$FA,81)</f>
        <v>-4.6399999999999997E-2</v>
      </c>
    </row>
    <row r="162" spans="1:15" x14ac:dyDescent="0.25">
      <c r="A162" s="100" t="str">
        <f>'OI(Value)'!A162</f>
        <v>PERSISTENT</v>
      </c>
      <c r="B162" s="82">
        <f>VLOOKUP(A162,'Data shares'!$C$2:$CV$216,98,0)</f>
        <v>6573300</v>
      </c>
      <c r="C162" s="82">
        <f>VLOOKUP(A162,'Data shares'!$C$2:$CX$216,100,0)</f>
        <v>-289400</v>
      </c>
      <c r="D162" s="141">
        <f>VLOOKUP(A162,'Data shares'!$C$2:$CY$539,101,0)</f>
        <v>-4.2200000000000001E-2</v>
      </c>
      <c r="E162" s="86">
        <f>VLOOKUP($A162,'Data shares'!$C:$FA,74)</f>
        <v>3217600</v>
      </c>
      <c r="F162" s="86">
        <f>VLOOKUP($A162,'Data shares'!$C:$FA,76)</f>
        <v>-65900</v>
      </c>
      <c r="G162" s="87">
        <f>VLOOKUP(A162,'Data shares'!$C$2:$CA$216,77,0)</f>
        <v>-2.01E-2</v>
      </c>
      <c r="H162" s="86">
        <f>VLOOKUP($A162,'Data shares'!$C:$FA,90)</f>
        <v>1458100</v>
      </c>
      <c r="I162" s="86">
        <f>VLOOKUP($A162,'Data shares'!$C:$FA,92)</f>
        <v>-229700</v>
      </c>
      <c r="J162" s="87">
        <f>VLOOKUP($A162,'Data shares'!$C:$FA,93)</f>
        <v>-0.1361</v>
      </c>
      <c r="K162" s="86">
        <f>VLOOKUP($A162,'Data shares'!$C:$FA,94)</f>
        <v>1897600</v>
      </c>
      <c r="L162" s="86">
        <f>VLOOKUP($A162,'Data shares'!$C:$FA,96)</f>
        <v>6200</v>
      </c>
      <c r="M162" s="87">
        <f>VLOOKUP($A162,'Data shares'!$C:$FA,97)</f>
        <v>3.3E-3</v>
      </c>
      <c r="N162" s="86">
        <f>VLOOKUP($A162,'Data shares'!$C:$FA,78)</f>
        <v>3099000</v>
      </c>
      <c r="O162" s="87">
        <f>VLOOKUP($A162,'Data shares'!$C:$FA,81)</f>
        <v>-2.7400000000000001E-2</v>
      </c>
    </row>
    <row r="163" spans="1:15" x14ac:dyDescent="0.25">
      <c r="A163" s="100" t="str">
        <f>'OI(Value)'!A163</f>
        <v>PETRONET</v>
      </c>
      <c r="B163" s="82">
        <f>VLOOKUP(A163,'Data shares'!$C$2:$CV$216,98,0)</f>
        <v>77736600</v>
      </c>
      <c r="C163" s="82">
        <f>VLOOKUP(A163,'Data shares'!$C$2:$CX$216,100,0)</f>
        <v>1470600</v>
      </c>
      <c r="D163" s="141">
        <f>VLOOKUP(A163,'Data shares'!$C$2:$CY$539,101,0)</f>
        <v>1.9300000000000001E-2</v>
      </c>
      <c r="E163" s="86">
        <f>VLOOKUP($A163,'Data shares'!$C:$FA,74)</f>
        <v>45599400</v>
      </c>
      <c r="F163" s="86">
        <f>VLOOKUP($A163,'Data shares'!$C:$FA,76)</f>
        <v>1571400</v>
      </c>
      <c r="G163" s="87">
        <f>VLOOKUP(A163,'Data shares'!$C$2:$CA$216,77,0)</f>
        <v>3.5700000000000003E-2</v>
      </c>
      <c r="H163" s="86">
        <f>VLOOKUP($A163,'Data shares'!$C:$FA,90)</f>
        <v>16255800</v>
      </c>
      <c r="I163" s="86">
        <f>VLOOKUP($A163,'Data shares'!$C:$FA,92)</f>
        <v>-205200</v>
      </c>
      <c r="J163" s="87">
        <f>VLOOKUP($A163,'Data shares'!$C:$FA,93)</f>
        <v>-1.2500000000000001E-2</v>
      </c>
      <c r="K163" s="86">
        <f>VLOOKUP($A163,'Data shares'!$C:$FA,94)</f>
        <v>15881400</v>
      </c>
      <c r="L163" s="86">
        <f>VLOOKUP($A163,'Data shares'!$C:$FA,96)</f>
        <v>104400</v>
      </c>
      <c r="M163" s="87">
        <f>VLOOKUP($A163,'Data shares'!$C:$FA,97)</f>
        <v>6.6E-3</v>
      </c>
      <c r="N163" s="86">
        <f>VLOOKUP($A163,'Data shares'!$C:$FA,78)</f>
        <v>40964400</v>
      </c>
      <c r="O163" s="87">
        <f>VLOOKUP($A163,'Data shares'!$C:$FA,81)</f>
        <v>-2.4799999999999999E-2</v>
      </c>
    </row>
    <row r="164" spans="1:15" x14ac:dyDescent="0.25">
      <c r="A164" s="100" t="str">
        <f>'OI(Value)'!A164</f>
        <v>PFC</v>
      </c>
      <c r="B164" s="82">
        <f>VLOOKUP(A164,'Data shares'!$C$2:$CV$216,98,0)</f>
        <v>104273000</v>
      </c>
      <c r="C164" s="82">
        <f>VLOOKUP(A164,'Data shares'!$C$2:$CX$216,100,0)</f>
        <v>4361500</v>
      </c>
      <c r="D164" s="141">
        <f>VLOOKUP(A164,'Data shares'!$C$2:$CY$539,101,0)</f>
        <v>4.3700000000000003E-2</v>
      </c>
      <c r="E164" s="86">
        <f>VLOOKUP($A164,'Data shares'!$C:$FA,74)</f>
        <v>57748600</v>
      </c>
      <c r="F164" s="86">
        <f>VLOOKUP($A164,'Data shares'!$C:$FA,76)</f>
        <v>1209000</v>
      </c>
      <c r="G164" s="87">
        <f>VLOOKUP(A164,'Data shares'!$C$2:$CA$216,77,0)</f>
        <v>2.1399999999999999E-2</v>
      </c>
      <c r="H164" s="86">
        <f>VLOOKUP($A164,'Data shares'!$C:$FA,90)</f>
        <v>26527800</v>
      </c>
      <c r="I164" s="86">
        <f>VLOOKUP($A164,'Data shares'!$C:$FA,92)</f>
        <v>2249000</v>
      </c>
      <c r="J164" s="87">
        <f>VLOOKUP($A164,'Data shares'!$C:$FA,93)</f>
        <v>9.2600000000000002E-2</v>
      </c>
      <c r="K164" s="86">
        <f>VLOOKUP($A164,'Data shares'!$C:$FA,94)</f>
        <v>19996600</v>
      </c>
      <c r="L164" s="86">
        <f>VLOOKUP($A164,'Data shares'!$C:$FA,96)</f>
        <v>903500</v>
      </c>
      <c r="M164" s="87">
        <f>VLOOKUP($A164,'Data shares'!$C:$FA,97)</f>
        <v>4.7300000000000002E-2</v>
      </c>
      <c r="N164" s="86">
        <f>VLOOKUP($A164,'Data shares'!$C:$FA,78)</f>
        <v>50226800</v>
      </c>
      <c r="O164" s="87">
        <f>VLOOKUP($A164,'Data shares'!$C:$FA,81)</f>
        <v>-2.3E-3</v>
      </c>
    </row>
    <row r="165" spans="1:15" x14ac:dyDescent="0.25">
      <c r="A165" s="100" t="str">
        <f>'OI(Value)'!A165</f>
        <v>PGEL</v>
      </c>
      <c r="B165" s="82">
        <f>VLOOKUP(A165,'Data shares'!$C$2:$CV$216,98,0)</f>
        <v>21344400</v>
      </c>
      <c r="C165" s="82">
        <f>VLOOKUP(A165,'Data shares'!$C$2:$CX$216,100,0)</f>
        <v>-215600</v>
      </c>
      <c r="D165" s="141">
        <f>VLOOKUP(A165,'Data shares'!$C$2:$CY$539,101,0)</f>
        <v>-0.01</v>
      </c>
      <c r="E165" s="86">
        <f>VLOOKUP($A165,'Data shares'!$C:$FA,74)</f>
        <v>9347800</v>
      </c>
      <c r="F165" s="86">
        <f>VLOOKUP($A165,'Data shares'!$C:$FA,76)</f>
        <v>-229600</v>
      </c>
      <c r="G165" s="87">
        <f>VLOOKUP(A165,'Data shares'!$C$2:$CA$216,77,0)</f>
        <v>-2.4E-2</v>
      </c>
      <c r="H165" s="86">
        <f>VLOOKUP($A165,'Data shares'!$C:$FA,90)</f>
        <v>6962900</v>
      </c>
      <c r="I165" s="86">
        <f>VLOOKUP($A165,'Data shares'!$C:$FA,92)</f>
        <v>-28000</v>
      </c>
      <c r="J165" s="87">
        <f>VLOOKUP($A165,'Data shares'!$C:$FA,93)</f>
        <v>-4.0000000000000001E-3</v>
      </c>
      <c r="K165" s="86">
        <f>VLOOKUP($A165,'Data shares'!$C:$FA,94)</f>
        <v>5033700</v>
      </c>
      <c r="L165" s="86">
        <f>VLOOKUP($A165,'Data shares'!$C:$FA,96)</f>
        <v>42000</v>
      </c>
      <c r="M165" s="87">
        <f>VLOOKUP($A165,'Data shares'!$C:$FA,97)</f>
        <v>8.3999999999999995E-3</v>
      </c>
      <c r="N165" s="86">
        <f>VLOOKUP($A165,'Data shares'!$C:$FA,78)</f>
        <v>8801100</v>
      </c>
      <c r="O165" s="87">
        <f>VLOOKUP($A165,'Data shares'!$C:$FA,81)</f>
        <v>-2.9399999999999999E-2</v>
      </c>
    </row>
    <row r="166" spans="1:15" x14ac:dyDescent="0.25">
      <c r="A166" s="100" t="str">
        <f>'OI(Value)'!A166</f>
        <v>PHOENIXLTD</v>
      </c>
      <c r="B166" s="82">
        <f>VLOOKUP(A166,'Data shares'!$C$2:$CV$216,98,0)</f>
        <v>6954500</v>
      </c>
      <c r="C166" s="82">
        <f>VLOOKUP(A166,'Data shares'!$C$2:$CX$216,100,0)</f>
        <v>1017800</v>
      </c>
      <c r="D166" s="141">
        <f>VLOOKUP(A166,'Data shares'!$C$2:$CY$539,101,0)</f>
        <v>0.1714</v>
      </c>
      <c r="E166" s="86">
        <f>VLOOKUP($A166,'Data shares'!$C:$FA,74)</f>
        <v>4257050</v>
      </c>
      <c r="F166" s="86">
        <f>VLOOKUP($A166,'Data shares'!$C:$FA,76)</f>
        <v>331800</v>
      </c>
      <c r="G166" s="87">
        <f>VLOOKUP(A166,'Data shares'!$C$2:$CA$216,77,0)</f>
        <v>8.4500000000000006E-2</v>
      </c>
      <c r="H166" s="86">
        <f>VLOOKUP($A166,'Data shares'!$C:$FA,90)</f>
        <v>1549450</v>
      </c>
      <c r="I166" s="86">
        <f>VLOOKUP($A166,'Data shares'!$C:$FA,92)</f>
        <v>414400</v>
      </c>
      <c r="J166" s="87">
        <f>VLOOKUP($A166,'Data shares'!$C:$FA,93)</f>
        <v>0.36509999999999998</v>
      </c>
      <c r="K166" s="86">
        <f>VLOOKUP($A166,'Data shares'!$C:$FA,94)</f>
        <v>1148000</v>
      </c>
      <c r="L166" s="86">
        <f>VLOOKUP($A166,'Data shares'!$C:$FA,96)</f>
        <v>271600</v>
      </c>
      <c r="M166" s="87">
        <f>VLOOKUP($A166,'Data shares'!$C:$FA,97)</f>
        <v>0.30990000000000001</v>
      </c>
      <c r="N166" s="86">
        <f>VLOOKUP($A166,'Data shares'!$C:$FA,78)</f>
        <v>4151350</v>
      </c>
      <c r="O166" s="87">
        <f>VLOOKUP($A166,'Data shares'!$C:$FA,81)</f>
        <v>8.3900000000000002E-2</v>
      </c>
    </row>
    <row r="167" spans="1:15" x14ac:dyDescent="0.25">
      <c r="A167" s="100" t="str">
        <f>'OI(Value)'!A167</f>
        <v>PIDILITIND</v>
      </c>
      <c r="B167" s="82">
        <f>VLOOKUP(A167,'Data shares'!$C$2:$CV$216,98,0)</f>
        <v>12043000</v>
      </c>
      <c r="C167" s="82">
        <f>VLOOKUP(A167,'Data shares'!$C$2:$CX$216,100,0)</f>
        <v>75500</v>
      </c>
      <c r="D167" s="141">
        <f>VLOOKUP(A167,'Data shares'!$C$2:$CY$539,101,0)</f>
        <v>6.3E-3</v>
      </c>
      <c r="E167" s="86">
        <f>VLOOKUP($A167,'Data shares'!$C:$FA,74)</f>
        <v>9625000</v>
      </c>
      <c r="F167" s="86">
        <f>VLOOKUP($A167,'Data shares'!$C:$FA,76)</f>
        <v>-118000</v>
      </c>
      <c r="G167" s="87">
        <f>VLOOKUP(A167,'Data shares'!$C$2:$CA$216,77,0)</f>
        <v>-1.21E-2</v>
      </c>
      <c r="H167" s="86">
        <f>VLOOKUP($A167,'Data shares'!$C:$FA,90)</f>
        <v>1467500</v>
      </c>
      <c r="I167" s="86">
        <f>VLOOKUP($A167,'Data shares'!$C:$FA,92)</f>
        <v>93000</v>
      </c>
      <c r="J167" s="87">
        <f>VLOOKUP($A167,'Data shares'!$C:$FA,93)</f>
        <v>6.7699999999999996E-2</v>
      </c>
      <c r="K167" s="86">
        <f>VLOOKUP($A167,'Data shares'!$C:$FA,94)</f>
        <v>950500</v>
      </c>
      <c r="L167" s="86">
        <f>VLOOKUP($A167,'Data shares'!$C:$FA,96)</f>
        <v>100500</v>
      </c>
      <c r="M167" s="87">
        <f>VLOOKUP($A167,'Data shares'!$C:$FA,97)</f>
        <v>0.1182</v>
      </c>
      <c r="N167" s="86">
        <f>VLOOKUP($A167,'Data shares'!$C:$FA,78)</f>
        <v>9486000</v>
      </c>
      <c r="O167" s="87">
        <f>VLOOKUP($A167,'Data shares'!$C:$FA,81)</f>
        <v>-1.3599999999999999E-2</v>
      </c>
    </row>
    <row r="168" spans="1:15" x14ac:dyDescent="0.25">
      <c r="A168" s="100" t="str">
        <f>'OI(Value)'!A168</f>
        <v>PIIND</v>
      </c>
      <c r="B168" s="82">
        <f>VLOOKUP(A168,'Data shares'!$C$2:$CV$216,98,0)</f>
        <v>2687650</v>
      </c>
      <c r="C168" s="82">
        <f>VLOOKUP(A168,'Data shares'!$C$2:$CX$216,100,0)</f>
        <v>40600</v>
      </c>
      <c r="D168" s="141">
        <f>VLOOKUP(A168,'Data shares'!$C$2:$CY$539,101,0)</f>
        <v>1.5299999999999999E-2</v>
      </c>
      <c r="E168" s="86">
        <f>VLOOKUP($A168,'Data shares'!$C:$FA,74)</f>
        <v>1860600</v>
      </c>
      <c r="F168" s="86">
        <f>VLOOKUP($A168,'Data shares'!$C:$FA,76)</f>
        <v>12600</v>
      </c>
      <c r="G168" s="87">
        <f>VLOOKUP(A168,'Data shares'!$C$2:$CA$216,77,0)</f>
        <v>6.7999999999999996E-3</v>
      </c>
      <c r="H168" s="86">
        <f>VLOOKUP($A168,'Data shares'!$C:$FA,90)</f>
        <v>525175</v>
      </c>
      <c r="I168" s="86">
        <f>VLOOKUP($A168,'Data shares'!$C:$FA,92)</f>
        <v>27825</v>
      </c>
      <c r="J168" s="87">
        <f>VLOOKUP($A168,'Data shares'!$C:$FA,93)</f>
        <v>5.5899999999999998E-2</v>
      </c>
      <c r="K168" s="86">
        <f>VLOOKUP($A168,'Data shares'!$C:$FA,94)</f>
        <v>301875</v>
      </c>
      <c r="L168" s="86">
        <f>VLOOKUP($A168,'Data shares'!$C:$FA,96)</f>
        <v>175</v>
      </c>
      <c r="M168" s="87">
        <f>VLOOKUP($A168,'Data shares'!$C:$FA,97)</f>
        <v>5.9999999999999995E-4</v>
      </c>
      <c r="N168" s="86">
        <f>VLOOKUP($A168,'Data shares'!$C:$FA,78)</f>
        <v>1805825</v>
      </c>
      <c r="O168" s="87">
        <f>VLOOKUP($A168,'Data shares'!$C:$FA,81)</f>
        <v>4.4000000000000003E-3</v>
      </c>
    </row>
    <row r="169" spans="1:15" x14ac:dyDescent="0.25">
      <c r="A169" s="100" t="str">
        <f>'OI(Value)'!A169</f>
        <v>PNB</v>
      </c>
      <c r="B169" s="82">
        <f>VLOOKUP(A169,'Data shares'!$C$2:$CV$216,98,0)</f>
        <v>478904000</v>
      </c>
      <c r="C169" s="82">
        <f>VLOOKUP(A169,'Data shares'!$C$2:$CX$216,100,0)</f>
        <v>544000</v>
      </c>
      <c r="D169" s="141">
        <f>VLOOKUP(A169,'Data shares'!$C$2:$CY$539,101,0)</f>
        <v>1.1000000000000001E-3</v>
      </c>
      <c r="E169" s="86">
        <f>VLOOKUP($A169,'Data shares'!$C:$FA,74)</f>
        <v>248664000</v>
      </c>
      <c r="F169" s="86">
        <f>VLOOKUP($A169,'Data shares'!$C:$FA,76)</f>
        <v>-8680000</v>
      </c>
      <c r="G169" s="87">
        <f>VLOOKUP(A169,'Data shares'!$C$2:$CA$216,77,0)</f>
        <v>-3.3700000000000001E-2</v>
      </c>
      <c r="H169" s="86">
        <f>VLOOKUP($A169,'Data shares'!$C:$FA,90)</f>
        <v>127680000</v>
      </c>
      <c r="I169" s="86">
        <f>VLOOKUP($A169,'Data shares'!$C:$FA,92)</f>
        <v>5312000</v>
      </c>
      <c r="J169" s="87">
        <f>VLOOKUP($A169,'Data shares'!$C:$FA,93)</f>
        <v>4.3400000000000001E-2</v>
      </c>
      <c r="K169" s="86">
        <f>VLOOKUP($A169,'Data shares'!$C:$FA,94)</f>
        <v>102560000</v>
      </c>
      <c r="L169" s="86">
        <f>VLOOKUP($A169,'Data shares'!$C:$FA,96)</f>
        <v>3912000</v>
      </c>
      <c r="M169" s="87">
        <f>VLOOKUP($A169,'Data shares'!$C:$FA,97)</f>
        <v>3.9699999999999999E-2</v>
      </c>
      <c r="N169" s="86">
        <f>VLOOKUP($A169,'Data shares'!$C:$FA,78)</f>
        <v>224144000</v>
      </c>
      <c r="O169" s="87">
        <f>VLOOKUP($A169,'Data shares'!$C:$FA,81)</f>
        <v>-4.9000000000000002E-2</v>
      </c>
    </row>
    <row r="170" spans="1:15" x14ac:dyDescent="0.25">
      <c r="A170" s="100" t="str">
        <f>'OI(Value)'!A170</f>
        <v>PNBHOUSING</v>
      </c>
      <c r="B170" s="82">
        <f>VLOOKUP(A170,'Data shares'!$C$2:$CV$216,98,0)</f>
        <v>23555350</v>
      </c>
      <c r="C170" s="82">
        <f>VLOOKUP(A170,'Data shares'!$C$2:$CX$216,100,0)</f>
        <v>151450</v>
      </c>
      <c r="D170" s="141">
        <f>VLOOKUP(A170,'Data shares'!$C$2:$CY$539,101,0)</f>
        <v>6.4999999999999997E-3</v>
      </c>
      <c r="E170" s="86">
        <f>VLOOKUP($A170,'Data shares'!$C:$FA,74)</f>
        <v>15104700</v>
      </c>
      <c r="F170" s="86">
        <f>VLOOKUP($A170,'Data shares'!$C:$FA,76)</f>
        <v>-46800</v>
      </c>
      <c r="G170" s="87">
        <f>VLOOKUP(A170,'Data shares'!$C$2:$CA$216,77,0)</f>
        <v>-3.0999999999999999E-3</v>
      </c>
      <c r="H170" s="86">
        <f>VLOOKUP($A170,'Data shares'!$C:$FA,90)</f>
        <v>4936100</v>
      </c>
      <c r="I170" s="86">
        <f>VLOOKUP($A170,'Data shares'!$C:$FA,92)</f>
        <v>123500</v>
      </c>
      <c r="J170" s="87">
        <f>VLOOKUP($A170,'Data shares'!$C:$FA,93)</f>
        <v>2.5700000000000001E-2</v>
      </c>
      <c r="K170" s="86">
        <f>VLOOKUP($A170,'Data shares'!$C:$FA,94)</f>
        <v>3514550</v>
      </c>
      <c r="L170" s="86">
        <f>VLOOKUP($A170,'Data shares'!$C:$FA,96)</f>
        <v>74750</v>
      </c>
      <c r="M170" s="87">
        <f>VLOOKUP($A170,'Data shares'!$C:$FA,97)</f>
        <v>2.1700000000000001E-2</v>
      </c>
      <c r="N170" s="86">
        <f>VLOOKUP($A170,'Data shares'!$C:$FA,78)</f>
        <v>14394900</v>
      </c>
      <c r="O170" s="87">
        <f>VLOOKUP($A170,'Data shares'!$C:$FA,81)</f>
        <v>-1.4800000000000001E-2</v>
      </c>
    </row>
    <row r="171" spans="1:15" x14ac:dyDescent="0.25">
      <c r="A171" s="100" t="str">
        <f>'OI(Value)'!A171</f>
        <v>POLICYBZR</v>
      </c>
      <c r="B171" s="82">
        <f>VLOOKUP(A171,'Data shares'!$C$2:$CV$216,98,0)</f>
        <v>9571100</v>
      </c>
      <c r="C171" s="82">
        <f>VLOOKUP(A171,'Data shares'!$C$2:$CX$216,100,0)</f>
        <v>118300</v>
      </c>
      <c r="D171" s="141">
        <f>VLOOKUP(A171,'Data shares'!$C$2:$CY$539,101,0)</f>
        <v>1.2500000000000001E-2</v>
      </c>
      <c r="E171" s="86">
        <f>VLOOKUP($A171,'Data shares'!$C:$FA,74)</f>
        <v>7304500</v>
      </c>
      <c r="F171" s="86">
        <f>VLOOKUP($A171,'Data shares'!$C:$FA,76)</f>
        <v>206850</v>
      </c>
      <c r="G171" s="87">
        <f>VLOOKUP(A171,'Data shares'!$C$2:$CA$216,77,0)</f>
        <v>2.9100000000000001E-2</v>
      </c>
      <c r="H171" s="86">
        <f>VLOOKUP($A171,'Data shares'!$C:$FA,90)</f>
        <v>1344700</v>
      </c>
      <c r="I171" s="86">
        <f>VLOOKUP($A171,'Data shares'!$C:$FA,92)</f>
        <v>-84700</v>
      </c>
      <c r="J171" s="87">
        <f>VLOOKUP($A171,'Data shares'!$C:$FA,93)</f>
        <v>-5.9299999999999999E-2</v>
      </c>
      <c r="K171" s="86">
        <f>VLOOKUP($A171,'Data shares'!$C:$FA,94)</f>
        <v>921900</v>
      </c>
      <c r="L171" s="86">
        <f>VLOOKUP($A171,'Data shares'!$C:$FA,96)</f>
        <v>-3850</v>
      </c>
      <c r="M171" s="87">
        <f>VLOOKUP($A171,'Data shares'!$C:$FA,97)</f>
        <v>-4.1999999999999997E-3</v>
      </c>
      <c r="N171" s="86">
        <f>VLOOKUP($A171,'Data shares'!$C:$FA,78)</f>
        <v>7160300</v>
      </c>
      <c r="O171" s="87">
        <f>VLOOKUP($A171,'Data shares'!$C:$FA,81)</f>
        <v>2.23E-2</v>
      </c>
    </row>
    <row r="172" spans="1:15" x14ac:dyDescent="0.25">
      <c r="A172" s="100" t="str">
        <f>'OI(Value)'!A172</f>
        <v>POLYCAB</v>
      </c>
      <c r="B172" s="82">
        <f>VLOOKUP(A172,'Data shares'!$C$2:$CV$216,98,0)</f>
        <v>3485250</v>
      </c>
      <c r="C172" s="82">
        <f>VLOOKUP(A172,'Data shares'!$C$2:$CX$216,100,0)</f>
        <v>185750</v>
      </c>
      <c r="D172" s="141">
        <f>VLOOKUP(A172,'Data shares'!$C$2:$CY$539,101,0)</f>
        <v>5.6300000000000003E-2</v>
      </c>
      <c r="E172" s="86">
        <f>VLOOKUP($A172,'Data shares'!$C:$FA,74)</f>
        <v>1851625</v>
      </c>
      <c r="F172" s="86">
        <f>VLOOKUP($A172,'Data shares'!$C:$FA,76)</f>
        <v>77625</v>
      </c>
      <c r="G172" s="87">
        <f>VLOOKUP(A172,'Data shares'!$C$2:$CA$216,77,0)</f>
        <v>4.3799999999999999E-2</v>
      </c>
      <c r="H172" s="86">
        <f>VLOOKUP($A172,'Data shares'!$C:$FA,90)</f>
        <v>1090625</v>
      </c>
      <c r="I172" s="86">
        <f>VLOOKUP($A172,'Data shares'!$C:$FA,92)</f>
        <v>93125</v>
      </c>
      <c r="J172" s="87">
        <f>VLOOKUP($A172,'Data shares'!$C:$FA,93)</f>
        <v>9.3399999999999997E-2</v>
      </c>
      <c r="K172" s="86">
        <f>VLOOKUP($A172,'Data shares'!$C:$FA,94)</f>
        <v>543000</v>
      </c>
      <c r="L172" s="86">
        <f>VLOOKUP($A172,'Data shares'!$C:$FA,96)</f>
        <v>15000</v>
      </c>
      <c r="M172" s="87">
        <f>VLOOKUP($A172,'Data shares'!$C:$FA,97)</f>
        <v>2.8400000000000002E-2</v>
      </c>
      <c r="N172" s="86">
        <f>VLOOKUP($A172,'Data shares'!$C:$FA,78)</f>
        <v>1795500</v>
      </c>
      <c r="O172" s="87">
        <f>VLOOKUP($A172,'Data shares'!$C:$FA,81)</f>
        <v>4.2000000000000003E-2</v>
      </c>
    </row>
    <row r="173" spans="1:15" x14ac:dyDescent="0.25">
      <c r="A173" s="100" t="str">
        <f>'OI(Value)'!A173</f>
        <v>POWERGRID</v>
      </c>
      <c r="B173" s="82">
        <f>VLOOKUP(A173,'Data shares'!$C$2:$CV$216,98,0)</f>
        <v>117712600</v>
      </c>
      <c r="C173" s="82">
        <f>VLOOKUP(A173,'Data shares'!$C$2:$CX$216,100,0)</f>
        <v>-45600</v>
      </c>
      <c r="D173" s="141">
        <f>VLOOKUP(A173,'Data shares'!$C$2:$CY$539,101,0)</f>
        <v>-4.0000000000000002E-4</v>
      </c>
      <c r="E173" s="86">
        <f>VLOOKUP($A173,'Data shares'!$C:$FA,74)</f>
        <v>73136700</v>
      </c>
      <c r="F173" s="86">
        <f>VLOOKUP($A173,'Data shares'!$C:$FA,76)</f>
        <v>552900</v>
      </c>
      <c r="G173" s="87">
        <f>VLOOKUP(A173,'Data shares'!$C$2:$CA$216,77,0)</f>
        <v>7.6E-3</v>
      </c>
      <c r="H173" s="86">
        <f>VLOOKUP($A173,'Data shares'!$C:$FA,90)</f>
        <v>29524100</v>
      </c>
      <c r="I173" s="86">
        <f>VLOOKUP($A173,'Data shares'!$C:$FA,92)</f>
        <v>-334400</v>
      </c>
      <c r="J173" s="87">
        <f>VLOOKUP($A173,'Data shares'!$C:$FA,93)</f>
        <v>-1.12E-2</v>
      </c>
      <c r="K173" s="86">
        <f>VLOOKUP($A173,'Data shares'!$C:$FA,94)</f>
        <v>15051800</v>
      </c>
      <c r="L173" s="86">
        <f>VLOOKUP($A173,'Data shares'!$C:$FA,96)</f>
        <v>-264100</v>
      </c>
      <c r="M173" s="87">
        <f>VLOOKUP($A173,'Data shares'!$C:$FA,97)</f>
        <v>-1.72E-2</v>
      </c>
      <c r="N173" s="86">
        <f>VLOOKUP($A173,'Data shares'!$C:$FA,78)</f>
        <v>69004200</v>
      </c>
      <c r="O173" s="87">
        <f>VLOOKUP($A173,'Data shares'!$C:$FA,81)</f>
        <v>-2E-3</v>
      </c>
    </row>
    <row r="174" spans="1:15" x14ac:dyDescent="0.25">
      <c r="A174" s="100" t="str">
        <f>'OI(Value)'!A174</f>
        <v>POWERINDIA</v>
      </c>
      <c r="B174" s="82">
        <f>VLOOKUP(A174,'Data shares'!$C$2:$CV$216,98,0)</f>
        <v>174450</v>
      </c>
      <c r="C174" s="82">
        <f>VLOOKUP(A174,'Data shares'!$C$2:$CX$216,100,0)</f>
        <v>14200</v>
      </c>
      <c r="D174" s="141">
        <f>VLOOKUP(A174,'Data shares'!$C$2:$CY$539,101,0)</f>
        <v>8.8599999999999998E-2</v>
      </c>
      <c r="E174" s="86">
        <f>VLOOKUP($A174,'Data shares'!$C:$FA,74)</f>
        <v>93800</v>
      </c>
      <c r="F174" s="86">
        <f>VLOOKUP($A174,'Data shares'!$C:$FA,76)</f>
        <v>12050</v>
      </c>
      <c r="G174" s="87">
        <f>VLOOKUP(A174,'Data shares'!$C$2:$CA$216,77,0)</f>
        <v>0.1474</v>
      </c>
      <c r="H174" s="86">
        <f>VLOOKUP($A174,'Data shares'!$C:$FA,90)</f>
        <v>65200</v>
      </c>
      <c r="I174" s="86">
        <f>VLOOKUP($A174,'Data shares'!$C:$FA,92)</f>
        <v>1450</v>
      </c>
      <c r="J174" s="87">
        <f>VLOOKUP($A174,'Data shares'!$C:$FA,93)</f>
        <v>2.2700000000000001E-2</v>
      </c>
      <c r="K174" s="86">
        <f>VLOOKUP($A174,'Data shares'!$C:$FA,94)</f>
        <v>15450</v>
      </c>
      <c r="L174" s="86">
        <f>VLOOKUP($A174,'Data shares'!$C:$FA,96)</f>
        <v>700</v>
      </c>
      <c r="M174" s="87">
        <f>VLOOKUP($A174,'Data shares'!$C:$FA,97)</f>
        <v>4.7500000000000001E-2</v>
      </c>
      <c r="N174" s="86">
        <f>VLOOKUP($A174,'Data shares'!$C:$FA,78)</f>
        <v>91600</v>
      </c>
      <c r="O174" s="87">
        <f>VLOOKUP($A174,'Data shares'!$C:$FA,81)</f>
        <v>0.1515</v>
      </c>
    </row>
    <row r="175" spans="1:15" x14ac:dyDescent="0.25">
      <c r="A175" s="100" t="str">
        <f>'OI(Value)'!A175</f>
        <v>PPLPHARMA</v>
      </c>
      <c r="B175" s="82">
        <f>VLOOKUP(A175,'Data shares'!$C$2:$CV$216,98,0)</f>
        <v>45680000</v>
      </c>
      <c r="C175" s="82">
        <f>VLOOKUP(A175,'Data shares'!$C$2:$CX$216,100,0)</f>
        <v>-282500</v>
      </c>
      <c r="D175" s="141">
        <f>VLOOKUP(A175,'Data shares'!$C$2:$CY$539,101,0)</f>
        <v>-6.1000000000000004E-3</v>
      </c>
      <c r="E175" s="86">
        <f>VLOOKUP($A175,'Data shares'!$C:$FA,74)</f>
        <v>22437500</v>
      </c>
      <c r="F175" s="86">
        <f>VLOOKUP($A175,'Data shares'!$C:$FA,76)</f>
        <v>-465000</v>
      </c>
      <c r="G175" s="87">
        <f>VLOOKUP(A175,'Data shares'!$C$2:$CA$216,77,0)</f>
        <v>-2.0299999999999999E-2</v>
      </c>
      <c r="H175" s="86">
        <f>VLOOKUP($A175,'Data shares'!$C:$FA,90)</f>
        <v>14987500</v>
      </c>
      <c r="I175" s="86">
        <f>VLOOKUP($A175,'Data shares'!$C:$FA,92)</f>
        <v>190000</v>
      </c>
      <c r="J175" s="87">
        <f>VLOOKUP($A175,'Data shares'!$C:$FA,93)</f>
        <v>1.2800000000000001E-2</v>
      </c>
      <c r="K175" s="86">
        <f>VLOOKUP($A175,'Data shares'!$C:$FA,94)</f>
        <v>8255000</v>
      </c>
      <c r="L175" s="86">
        <f>VLOOKUP($A175,'Data shares'!$C:$FA,96)</f>
        <v>-7500</v>
      </c>
      <c r="M175" s="87">
        <f>VLOOKUP($A175,'Data shares'!$C:$FA,97)</f>
        <v>-8.9999999999999998E-4</v>
      </c>
      <c r="N175" s="86">
        <f>VLOOKUP($A175,'Data shares'!$C:$FA,78)</f>
        <v>20270000</v>
      </c>
      <c r="O175" s="87">
        <f>VLOOKUP($A175,'Data shares'!$C:$FA,81)</f>
        <v>-4.0899999999999999E-2</v>
      </c>
    </row>
    <row r="176" spans="1:15" x14ac:dyDescent="0.25">
      <c r="A176" s="100" t="str">
        <f>'OI(Value)'!A176</f>
        <v>PRESTIGE</v>
      </c>
      <c r="B176" s="82">
        <f>VLOOKUP(A176,'Data shares'!$C$2:$CV$216,98,0)</f>
        <v>8404200</v>
      </c>
      <c r="C176" s="82">
        <f>VLOOKUP(A176,'Data shares'!$C$2:$CX$216,100,0)</f>
        <v>36000</v>
      </c>
      <c r="D176" s="141">
        <f>VLOOKUP(A176,'Data shares'!$C$2:$CY$539,101,0)</f>
        <v>4.3E-3</v>
      </c>
      <c r="E176" s="86">
        <f>VLOOKUP($A176,'Data shares'!$C:$FA,74)</f>
        <v>4661550</v>
      </c>
      <c r="F176" s="86">
        <f>VLOOKUP($A176,'Data shares'!$C:$FA,76)</f>
        <v>90450</v>
      </c>
      <c r="G176" s="87">
        <f>VLOOKUP(A176,'Data shares'!$C$2:$CA$216,77,0)</f>
        <v>1.9800000000000002E-2</v>
      </c>
      <c r="H176" s="86">
        <f>VLOOKUP($A176,'Data shares'!$C:$FA,90)</f>
        <v>2130750</v>
      </c>
      <c r="I176" s="86">
        <f>VLOOKUP($A176,'Data shares'!$C:$FA,92)</f>
        <v>-101700</v>
      </c>
      <c r="J176" s="87">
        <f>VLOOKUP($A176,'Data shares'!$C:$FA,93)</f>
        <v>-4.5600000000000002E-2</v>
      </c>
      <c r="K176" s="86">
        <f>VLOOKUP($A176,'Data shares'!$C:$FA,94)</f>
        <v>1611900</v>
      </c>
      <c r="L176" s="86">
        <f>VLOOKUP($A176,'Data shares'!$C:$FA,96)</f>
        <v>47250</v>
      </c>
      <c r="M176" s="87">
        <f>VLOOKUP($A176,'Data shares'!$C:$FA,97)</f>
        <v>3.0200000000000001E-2</v>
      </c>
      <c r="N176" s="86">
        <f>VLOOKUP($A176,'Data shares'!$C:$FA,78)</f>
        <v>4522500</v>
      </c>
      <c r="O176" s="87">
        <f>VLOOKUP($A176,'Data shares'!$C:$FA,81)</f>
        <v>1.6400000000000001E-2</v>
      </c>
    </row>
    <row r="177" spans="1:15" x14ac:dyDescent="0.25">
      <c r="A177" s="100" t="str">
        <f>'OI(Value)'!A177</f>
        <v>RBLBANK</v>
      </c>
      <c r="B177" s="82">
        <f>VLOOKUP(A177,'Data shares'!$C$2:$CV$216,98,0)</f>
        <v>118221125</v>
      </c>
      <c r="C177" s="82">
        <f>VLOOKUP(A177,'Data shares'!$C$2:$CX$216,100,0)</f>
        <v>19094450</v>
      </c>
      <c r="D177" s="141">
        <f>VLOOKUP(A177,'Data shares'!$C$2:$CY$539,101,0)</f>
        <v>0.19259999999999999</v>
      </c>
      <c r="E177" s="86">
        <f>VLOOKUP($A177,'Data shares'!$C:$FA,74)</f>
        <v>82242025</v>
      </c>
      <c r="F177" s="86">
        <f>VLOOKUP($A177,'Data shares'!$C:$FA,76)</f>
        <v>11934825</v>
      </c>
      <c r="G177" s="87">
        <f>VLOOKUP(A177,'Data shares'!$C$2:$CA$216,77,0)</f>
        <v>0.16980000000000001</v>
      </c>
      <c r="H177" s="86">
        <f>VLOOKUP($A177,'Data shares'!$C:$FA,90)</f>
        <v>23571200</v>
      </c>
      <c r="I177" s="86">
        <f>VLOOKUP($A177,'Data shares'!$C:$FA,92)</f>
        <v>3603625</v>
      </c>
      <c r="J177" s="87">
        <f>VLOOKUP($A177,'Data shares'!$C:$FA,93)</f>
        <v>0.18049999999999999</v>
      </c>
      <c r="K177" s="86">
        <f>VLOOKUP($A177,'Data shares'!$C:$FA,94)</f>
        <v>12407900</v>
      </c>
      <c r="L177" s="86">
        <f>VLOOKUP($A177,'Data shares'!$C:$FA,96)</f>
        <v>3556000</v>
      </c>
      <c r="M177" s="87">
        <f>VLOOKUP($A177,'Data shares'!$C:$FA,97)</f>
        <v>0.4017</v>
      </c>
      <c r="N177" s="86">
        <f>VLOOKUP($A177,'Data shares'!$C:$FA,78)</f>
        <v>59616975</v>
      </c>
      <c r="O177" s="87">
        <f>VLOOKUP($A177,'Data shares'!$C:$FA,81)</f>
        <v>-0.1106</v>
      </c>
    </row>
    <row r="178" spans="1:15" x14ac:dyDescent="0.25">
      <c r="A178" s="100" t="str">
        <f>'OI(Value)'!A178</f>
        <v>RECLTD</v>
      </c>
      <c r="B178" s="82">
        <f>VLOOKUP(A178,'Data shares'!$C$2:$CV$216,98,0)</f>
        <v>145709550</v>
      </c>
      <c r="C178" s="82">
        <f>VLOOKUP(A178,'Data shares'!$C$2:$CX$216,100,0)</f>
        <v>710175</v>
      </c>
      <c r="D178" s="141">
        <f>VLOOKUP(A178,'Data shares'!$C$2:$CY$539,101,0)</f>
        <v>4.8999999999999998E-3</v>
      </c>
      <c r="E178" s="86">
        <f>VLOOKUP($A178,'Data shares'!$C:$FA,74)</f>
        <v>93639825</v>
      </c>
      <c r="F178" s="86">
        <f>VLOOKUP($A178,'Data shares'!$C:$FA,76)</f>
        <v>878475</v>
      </c>
      <c r="G178" s="87">
        <f>VLOOKUP(A178,'Data shares'!$C$2:$CA$216,77,0)</f>
        <v>9.4999999999999998E-3</v>
      </c>
      <c r="H178" s="86">
        <f>VLOOKUP($A178,'Data shares'!$C:$FA,90)</f>
        <v>27494100</v>
      </c>
      <c r="I178" s="86">
        <f>VLOOKUP($A178,'Data shares'!$C:$FA,92)</f>
        <v>-212925</v>
      </c>
      <c r="J178" s="87">
        <f>VLOOKUP($A178,'Data shares'!$C:$FA,93)</f>
        <v>-7.7000000000000002E-3</v>
      </c>
      <c r="K178" s="86">
        <f>VLOOKUP($A178,'Data shares'!$C:$FA,94)</f>
        <v>24575625</v>
      </c>
      <c r="L178" s="86">
        <f>VLOOKUP($A178,'Data shares'!$C:$FA,96)</f>
        <v>44625</v>
      </c>
      <c r="M178" s="87">
        <f>VLOOKUP($A178,'Data shares'!$C:$FA,97)</f>
        <v>1.8E-3</v>
      </c>
      <c r="N178" s="86">
        <f>VLOOKUP($A178,'Data shares'!$C:$FA,78)</f>
        <v>71067225</v>
      </c>
      <c r="O178" s="87">
        <f>VLOOKUP($A178,'Data shares'!$C:$FA,81)</f>
        <v>1.5E-3</v>
      </c>
    </row>
    <row r="179" spans="1:15" x14ac:dyDescent="0.25">
      <c r="A179" s="100" t="str">
        <f>'OI(Value)'!A179</f>
        <v>RELIANCE</v>
      </c>
      <c r="B179" s="82">
        <f>VLOOKUP(A179,'Data shares'!$C$2:$CV$216,98,0)</f>
        <v>231972000</v>
      </c>
      <c r="C179" s="82">
        <f>VLOOKUP(A179,'Data shares'!$C$2:$CX$216,100,0)</f>
        <v>-2490500</v>
      </c>
      <c r="D179" s="141">
        <f>VLOOKUP(A179,'Data shares'!$C$2:$CY$539,101,0)</f>
        <v>-1.06E-2</v>
      </c>
      <c r="E179" s="86">
        <f>VLOOKUP($A179,'Data shares'!$C:$FA,74)</f>
        <v>138130500</v>
      </c>
      <c r="F179" s="86">
        <f>VLOOKUP($A179,'Data shares'!$C:$FA,76)</f>
        <v>224500</v>
      </c>
      <c r="G179" s="87">
        <f>VLOOKUP(A179,'Data shares'!$C$2:$CA$216,77,0)</f>
        <v>1.6000000000000001E-3</v>
      </c>
      <c r="H179" s="86">
        <f>VLOOKUP($A179,'Data shares'!$C:$FA,90)</f>
        <v>55567000</v>
      </c>
      <c r="I179" s="86">
        <f>VLOOKUP($A179,'Data shares'!$C:$FA,92)</f>
        <v>-2487000</v>
      </c>
      <c r="J179" s="87">
        <f>VLOOKUP($A179,'Data shares'!$C:$FA,93)</f>
        <v>-4.2799999999999998E-2</v>
      </c>
      <c r="K179" s="86">
        <f>VLOOKUP($A179,'Data shares'!$C:$FA,94)</f>
        <v>38274500</v>
      </c>
      <c r="L179" s="86">
        <f>VLOOKUP($A179,'Data shares'!$C:$FA,96)</f>
        <v>-228000</v>
      </c>
      <c r="M179" s="87">
        <f>VLOOKUP($A179,'Data shares'!$C:$FA,97)</f>
        <v>-5.8999999999999999E-3</v>
      </c>
      <c r="N179" s="86">
        <f>VLOOKUP($A179,'Data shares'!$C:$FA,78)</f>
        <v>121906000</v>
      </c>
      <c r="O179" s="87">
        <f>VLOOKUP($A179,'Data shares'!$C:$FA,81)</f>
        <v>-1.21E-2</v>
      </c>
    </row>
    <row r="180" spans="1:15" x14ac:dyDescent="0.25">
      <c r="A180" s="100" t="str">
        <f>'OI(Value)'!A180</f>
        <v>RVNL</v>
      </c>
      <c r="B180" s="82">
        <f>VLOOKUP(A180,'Data shares'!$C$2:$CV$216,98,0)</f>
        <v>69943500</v>
      </c>
      <c r="C180" s="82">
        <f>VLOOKUP(A180,'Data shares'!$C$2:$CX$216,100,0)</f>
        <v>717750</v>
      </c>
      <c r="D180" s="141">
        <f>VLOOKUP(A180,'Data shares'!$C$2:$CY$539,101,0)</f>
        <v>1.04E-2</v>
      </c>
      <c r="E180" s="86">
        <f>VLOOKUP($A180,'Data shares'!$C:$FA,74)</f>
        <v>40250375</v>
      </c>
      <c r="F180" s="86">
        <f>VLOOKUP($A180,'Data shares'!$C:$FA,76)</f>
        <v>438625</v>
      </c>
      <c r="G180" s="87">
        <f>VLOOKUP(A180,'Data shares'!$C$2:$CA$216,77,0)</f>
        <v>1.0999999999999999E-2</v>
      </c>
      <c r="H180" s="86">
        <f>VLOOKUP($A180,'Data shares'!$C:$FA,90)</f>
        <v>21661750</v>
      </c>
      <c r="I180" s="86">
        <f>VLOOKUP($A180,'Data shares'!$C:$FA,92)</f>
        <v>291500</v>
      </c>
      <c r="J180" s="87">
        <f>VLOOKUP($A180,'Data shares'!$C:$FA,93)</f>
        <v>1.3599999999999999E-2</v>
      </c>
      <c r="K180" s="86">
        <f>VLOOKUP($A180,'Data shares'!$C:$FA,94)</f>
        <v>8031375</v>
      </c>
      <c r="L180" s="86">
        <f>VLOOKUP($A180,'Data shares'!$C:$FA,96)</f>
        <v>-12375</v>
      </c>
      <c r="M180" s="87">
        <f>VLOOKUP($A180,'Data shares'!$C:$FA,97)</f>
        <v>-1.5E-3</v>
      </c>
      <c r="N180" s="86">
        <f>VLOOKUP($A180,'Data shares'!$C:$FA,78)</f>
        <v>31829875</v>
      </c>
      <c r="O180" s="87">
        <f>VLOOKUP($A180,'Data shares'!$C:$FA,81)</f>
        <v>-1.1599999999999999E-2</v>
      </c>
    </row>
    <row r="181" spans="1:15" x14ac:dyDescent="0.25">
      <c r="A181" s="100" t="str">
        <f>'OI(Value)'!A181</f>
        <v>SAIL</v>
      </c>
      <c r="B181" s="82">
        <f>VLOOKUP(A181,'Data shares'!$C$2:$CV$216,98,0)</f>
        <v>305453000</v>
      </c>
      <c r="C181" s="82">
        <f>VLOOKUP(A181,'Data shares'!$C$2:$CX$216,100,0)</f>
        <v>-4432100</v>
      </c>
      <c r="D181" s="141">
        <f>VLOOKUP(A181,'Data shares'!$C$2:$CY$539,101,0)</f>
        <v>-1.43E-2</v>
      </c>
      <c r="E181" s="86">
        <f>VLOOKUP($A181,'Data shares'!$C:$FA,74)</f>
        <v>206903400</v>
      </c>
      <c r="F181" s="86">
        <f>VLOOKUP($A181,'Data shares'!$C:$FA,76)</f>
        <v>-2138500</v>
      </c>
      <c r="G181" s="87">
        <f>VLOOKUP(A181,'Data shares'!$C$2:$CA$216,77,0)</f>
        <v>-1.0200000000000001E-2</v>
      </c>
      <c r="H181" s="86">
        <f>VLOOKUP($A181,'Data shares'!$C:$FA,90)</f>
        <v>64855300</v>
      </c>
      <c r="I181" s="86">
        <f>VLOOKUP($A181,'Data shares'!$C:$FA,92)</f>
        <v>-2359400</v>
      </c>
      <c r="J181" s="87">
        <f>VLOOKUP($A181,'Data shares'!$C:$FA,93)</f>
        <v>-3.5099999999999999E-2</v>
      </c>
      <c r="K181" s="86">
        <f>VLOOKUP($A181,'Data shares'!$C:$FA,94)</f>
        <v>33694300</v>
      </c>
      <c r="L181" s="86">
        <f>VLOOKUP($A181,'Data shares'!$C:$FA,96)</f>
        <v>65800</v>
      </c>
      <c r="M181" s="87">
        <f>VLOOKUP($A181,'Data shares'!$C:$FA,97)</f>
        <v>2E-3</v>
      </c>
      <c r="N181" s="86">
        <f>VLOOKUP($A181,'Data shares'!$C:$FA,78)</f>
        <v>192935000</v>
      </c>
      <c r="O181" s="87">
        <f>VLOOKUP($A181,'Data shares'!$C:$FA,81)</f>
        <v>-1.6E-2</v>
      </c>
    </row>
    <row r="182" spans="1:15" x14ac:dyDescent="0.25">
      <c r="A182" s="100" t="str">
        <f>'OI(Value)'!A182</f>
        <v>SAMMAANCAP</v>
      </c>
      <c r="B182" s="82">
        <f>VLOOKUP(A182,'Data shares'!$C$2:$CV$216,98,0)</f>
        <v>162888300</v>
      </c>
      <c r="C182" s="82">
        <f>VLOOKUP(A182,'Data shares'!$C$2:$CX$216,100,0)</f>
        <v>-2429500</v>
      </c>
      <c r="D182" s="141">
        <f>VLOOKUP(A182,'Data shares'!$C$2:$CY$539,101,0)</f>
        <v>-1.47E-2</v>
      </c>
      <c r="E182" s="86">
        <f>VLOOKUP($A182,'Data shares'!$C:$FA,74)</f>
        <v>106425000</v>
      </c>
      <c r="F182" s="86">
        <f>VLOOKUP($A182,'Data shares'!$C:$FA,76)</f>
        <v>-1062100</v>
      </c>
      <c r="G182" s="87">
        <f>VLOOKUP(A182,'Data shares'!$C$2:$CA$216,77,0)</f>
        <v>-9.9000000000000008E-3</v>
      </c>
      <c r="H182" s="86">
        <f>VLOOKUP($A182,'Data shares'!$C:$FA,90)</f>
        <v>27661900</v>
      </c>
      <c r="I182" s="86">
        <f>VLOOKUP($A182,'Data shares'!$C:$FA,92)</f>
        <v>-911600</v>
      </c>
      <c r="J182" s="87">
        <f>VLOOKUP($A182,'Data shares'!$C:$FA,93)</f>
        <v>-3.1899999999999998E-2</v>
      </c>
      <c r="K182" s="86">
        <f>VLOOKUP($A182,'Data shares'!$C:$FA,94)</f>
        <v>28801400</v>
      </c>
      <c r="L182" s="86">
        <f>VLOOKUP($A182,'Data shares'!$C:$FA,96)</f>
        <v>-455800</v>
      </c>
      <c r="M182" s="87">
        <f>VLOOKUP($A182,'Data shares'!$C:$FA,97)</f>
        <v>-1.5599999999999999E-2</v>
      </c>
      <c r="N182" s="86">
        <f>VLOOKUP($A182,'Data shares'!$C:$FA,78)</f>
        <v>102198100</v>
      </c>
      <c r="O182" s="87">
        <f>VLOOKUP($A182,'Data shares'!$C:$FA,81)</f>
        <v>-9.9000000000000008E-3</v>
      </c>
    </row>
    <row r="183" spans="1:15" x14ac:dyDescent="0.25">
      <c r="A183" s="100" t="str">
        <f>'OI(Value)'!A183</f>
        <v>SBICARD</v>
      </c>
      <c r="B183" s="82">
        <f>VLOOKUP(A183,'Data shares'!$C$2:$CV$216,98,0)</f>
        <v>29851200</v>
      </c>
      <c r="C183" s="82">
        <f>VLOOKUP(A183,'Data shares'!$C$2:$CX$216,100,0)</f>
        <v>223200</v>
      </c>
      <c r="D183" s="141">
        <f>VLOOKUP(A183,'Data shares'!$C$2:$CY$539,101,0)</f>
        <v>7.4999999999999997E-3</v>
      </c>
      <c r="E183" s="86">
        <f>VLOOKUP($A183,'Data shares'!$C:$FA,74)</f>
        <v>20313600</v>
      </c>
      <c r="F183" s="86">
        <f>VLOOKUP($A183,'Data shares'!$C:$FA,76)</f>
        <v>526400</v>
      </c>
      <c r="G183" s="87">
        <f>VLOOKUP(A183,'Data shares'!$C$2:$CA$216,77,0)</f>
        <v>2.6599999999999999E-2</v>
      </c>
      <c r="H183" s="86">
        <f>VLOOKUP($A183,'Data shares'!$C:$FA,90)</f>
        <v>5600800</v>
      </c>
      <c r="I183" s="86">
        <f>VLOOKUP($A183,'Data shares'!$C:$FA,92)</f>
        <v>-496800</v>
      </c>
      <c r="J183" s="87">
        <f>VLOOKUP($A183,'Data shares'!$C:$FA,93)</f>
        <v>-8.1500000000000003E-2</v>
      </c>
      <c r="K183" s="86">
        <f>VLOOKUP($A183,'Data shares'!$C:$FA,94)</f>
        <v>3936800</v>
      </c>
      <c r="L183" s="86">
        <f>VLOOKUP($A183,'Data shares'!$C:$FA,96)</f>
        <v>193600</v>
      </c>
      <c r="M183" s="87">
        <f>VLOOKUP($A183,'Data shares'!$C:$FA,97)</f>
        <v>5.1700000000000003E-2</v>
      </c>
      <c r="N183" s="86">
        <f>VLOOKUP($A183,'Data shares'!$C:$FA,78)</f>
        <v>17268000</v>
      </c>
      <c r="O183" s="87">
        <f>VLOOKUP($A183,'Data shares'!$C:$FA,81)</f>
        <v>-5.1000000000000004E-3</v>
      </c>
    </row>
    <row r="184" spans="1:15" x14ac:dyDescent="0.25">
      <c r="A184" s="100" t="str">
        <f>'OI(Value)'!A184</f>
        <v>SBILIFE</v>
      </c>
      <c r="B184" s="82">
        <f>VLOOKUP(A184,'Data shares'!$C$2:$CV$216,98,0)</f>
        <v>10703250</v>
      </c>
      <c r="C184" s="82">
        <f>VLOOKUP(A184,'Data shares'!$C$2:$CX$216,100,0)</f>
        <v>194625</v>
      </c>
      <c r="D184" s="141">
        <f>VLOOKUP(A184,'Data shares'!$C$2:$CY$539,101,0)</f>
        <v>1.8499999999999999E-2</v>
      </c>
      <c r="E184" s="86">
        <f>VLOOKUP($A184,'Data shares'!$C:$FA,74)</f>
        <v>6763500</v>
      </c>
      <c r="F184" s="86">
        <f>VLOOKUP($A184,'Data shares'!$C:$FA,76)</f>
        <v>230250</v>
      </c>
      <c r="G184" s="87">
        <f>VLOOKUP(A184,'Data shares'!$C$2:$CA$216,77,0)</f>
        <v>3.5200000000000002E-2</v>
      </c>
      <c r="H184" s="86">
        <f>VLOOKUP($A184,'Data shares'!$C:$FA,90)</f>
        <v>2556000</v>
      </c>
      <c r="I184" s="86">
        <f>VLOOKUP($A184,'Data shares'!$C:$FA,92)</f>
        <v>-7125</v>
      </c>
      <c r="J184" s="87">
        <f>VLOOKUP($A184,'Data shares'!$C:$FA,93)</f>
        <v>-2.8E-3</v>
      </c>
      <c r="K184" s="86">
        <f>VLOOKUP($A184,'Data shares'!$C:$FA,94)</f>
        <v>1383750</v>
      </c>
      <c r="L184" s="86">
        <f>VLOOKUP($A184,'Data shares'!$C:$FA,96)</f>
        <v>-28500</v>
      </c>
      <c r="M184" s="87">
        <f>VLOOKUP($A184,'Data shares'!$C:$FA,97)</f>
        <v>-2.0199999999999999E-2</v>
      </c>
      <c r="N184" s="86">
        <f>VLOOKUP($A184,'Data shares'!$C:$FA,78)</f>
        <v>6493500</v>
      </c>
      <c r="O184" s="87">
        <f>VLOOKUP($A184,'Data shares'!$C:$FA,81)</f>
        <v>3.1800000000000002E-2</v>
      </c>
    </row>
    <row r="185" spans="1:15" x14ac:dyDescent="0.25">
      <c r="A185" s="100" t="str">
        <f>'OI(Value)'!A185</f>
        <v>SBIN</v>
      </c>
      <c r="B185" s="82">
        <f>VLOOKUP(A185,'Data shares'!$C$2:$CV$216,98,0)</f>
        <v>176906250</v>
      </c>
      <c r="C185" s="82">
        <f>VLOOKUP(A185,'Data shares'!$C$2:$CX$216,100,0)</f>
        <v>1846500</v>
      </c>
      <c r="D185" s="141">
        <f>VLOOKUP(A185,'Data shares'!$C$2:$CY$539,101,0)</f>
        <v>1.0500000000000001E-2</v>
      </c>
      <c r="E185" s="86">
        <f>VLOOKUP($A185,'Data shares'!$C:$FA,74)</f>
        <v>88874250</v>
      </c>
      <c r="F185" s="86">
        <f>VLOOKUP($A185,'Data shares'!$C:$FA,76)</f>
        <v>-1195500</v>
      </c>
      <c r="G185" s="87">
        <f>VLOOKUP(A185,'Data shares'!$C$2:$CA$216,77,0)</f>
        <v>-1.3299999999999999E-2</v>
      </c>
      <c r="H185" s="86">
        <f>VLOOKUP($A185,'Data shares'!$C:$FA,90)</f>
        <v>53025750</v>
      </c>
      <c r="I185" s="86">
        <f>VLOOKUP($A185,'Data shares'!$C:$FA,92)</f>
        <v>441000</v>
      </c>
      <c r="J185" s="87">
        <f>VLOOKUP($A185,'Data shares'!$C:$FA,93)</f>
        <v>8.3999999999999995E-3</v>
      </c>
      <c r="K185" s="86">
        <f>VLOOKUP($A185,'Data shares'!$C:$FA,94)</f>
        <v>35006250</v>
      </c>
      <c r="L185" s="86">
        <f>VLOOKUP($A185,'Data shares'!$C:$FA,96)</f>
        <v>2601000</v>
      </c>
      <c r="M185" s="87">
        <f>VLOOKUP($A185,'Data shares'!$C:$FA,97)</f>
        <v>8.0299999999999996E-2</v>
      </c>
      <c r="N185" s="86">
        <f>VLOOKUP($A185,'Data shares'!$C:$FA,78)</f>
        <v>83890500</v>
      </c>
      <c r="O185" s="87">
        <f>VLOOKUP($A185,'Data shares'!$C:$FA,81)</f>
        <v>-2.0799999999999999E-2</v>
      </c>
    </row>
    <row r="186" spans="1:15" x14ac:dyDescent="0.25">
      <c r="A186" s="100" t="str">
        <f>'OI(Value)'!A186</f>
        <v>SHREECEM</v>
      </c>
      <c r="B186" s="82">
        <f>VLOOKUP(A186,'Data shares'!$C$2:$CV$216,98,0)</f>
        <v>277650</v>
      </c>
      <c r="C186" s="82">
        <f>VLOOKUP(A186,'Data shares'!$C$2:$CX$216,100,0)</f>
        <v>1900</v>
      </c>
      <c r="D186" s="141">
        <f>VLOOKUP(A186,'Data shares'!$C$2:$CY$539,101,0)</f>
        <v>6.8999999999999999E-3</v>
      </c>
      <c r="E186" s="86">
        <f>VLOOKUP($A186,'Data shares'!$C:$FA,74)</f>
        <v>219850</v>
      </c>
      <c r="F186" s="86">
        <f>VLOOKUP($A186,'Data shares'!$C:$FA,76)</f>
        <v>-350</v>
      </c>
      <c r="G186" s="87">
        <f>VLOOKUP(A186,'Data shares'!$C$2:$CA$216,77,0)</f>
        <v>-1.6000000000000001E-3</v>
      </c>
      <c r="H186" s="86">
        <f>VLOOKUP($A186,'Data shares'!$C:$FA,90)</f>
        <v>30800</v>
      </c>
      <c r="I186" s="86">
        <f>VLOOKUP($A186,'Data shares'!$C:$FA,92)</f>
        <v>-1375</v>
      </c>
      <c r="J186" s="87">
        <f>VLOOKUP($A186,'Data shares'!$C:$FA,93)</f>
        <v>-4.2700000000000002E-2</v>
      </c>
      <c r="K186" s="86">
        <f>VLOOKUP($A186,'Data shares'!$C:$FA,94)</f>
        <v>27000</v>
      </c>
      <c r="L186" s="86">
        <f>VLOOKUP($A186,'Data shares'!$C:$FA,96)</f>
        <v>3625</v>
      </c>
      <c r="M186" s="87">
        <f>VLOOKUP($A186,'Data shares'!$C:$FA,97)</f>
        <v>0.15509999999999999</v>
      </c>
      <c r="N186" s="86">
        <f>VLOOKUP($A186,'Data shares'!$C:$FA,78)</f>
        <v>217425</v>
      </c>
      <c r="O186" s="87">
        <f>VLOOKUP($A186,'Data shares'!$C:$FA,81)</f>
        <v>-3.0999999999999999E-3</v>
      </c>
    </row>
    <row r="187" spans="1:15" x14ac:dyDescent="0.25">
      <c r="A187" s="100" t="str">
        <f>'OI(Value)'!A187</f>
        <v>SHRIRAMFIN</v>
      </c>
      <c r="B187" s="82">
        <f>VLOOKUP(A187,'Data shares'!$C$2:$CV$216,98,0)</f>
        <v>65611425</v>
      </c>
      <c r="C187" s="82">
        <f>VLOOKUP(A187,'Data shares'!$C$2:$CX$216,100,0)</f>
        <v>763950</v>
      </c>
      <c r="D187" s="141">
        <f>VLOOKUP(A187,'Data shares'!$C$2:$CY$539,101,0)</f>
        <v>1.18E-2</v>
      </c>
      <c r="E187" s="86">
        <f>VLOOKUP($A187,'Data shares'!$C:$FA,74)</f>
        <v>49462875</v>
      </c>
      <c r="F187" s="86">
        <f>VLOOKUP($A187,'Data shares'!$C:$FA,76)</f>
        <v>-248325</v>
      </c>
      <c r="G187" s="87">
        <f>VLOOKUP(A187,'Data shares'!$C$2:$CA$216,77,0)</f>
        <v>-5.0000000000000001E-3</v>
      </c>
      <c r="H187" s="86">
        <f>VLOOKUP($A187,'Data shares'!$C:$FA,90)</f>
        <v>9180600</v>
      </c>
      <c r="I187" s="86">
        <f>VLOOKUP($A187,'Data shares'!$C:$FA,92)</f>
        <v>877800</v>
      </c>
      <c r="J187" s="87">
        <f>VLOOKUP($A187,'Data shares'!$C:$FA,93)</f>
        <v>0.1057</v>
      </c>
      <c r="K187" s="86">
        <f>VLOOKUP($A187,'Data shares'!$C:$FA,94)</f>
        <v>6967950</v>
      </c>
      <c r="L187" s="86">
        <f>VLOOKUP($A187,'Data shares'!$C:$FA,96)</f>
        <v>134475</v>
      </c>
      <c r="M187" s="87">
        <f>VLOOKUP($A187,'Data shares'!$C:$FA,97)</f>
        <v>1.9699999999999999E-2</v>
      </c>
      <c r="N187" s="86">
        <f>VLOOKUP($A187,'Data shares'!$C:$FA,78)</f>
        <v>47109150</v>
      </c>
      <c r="O187" s="87">
        <f>VLOOKUP($A187,'Data shares'!$C:$FA,81)</f>
        <v>-1.6400000000000001E-2</v>
      </c>
    </row>
    <row r="188" spans="1:15" x14ac:dyDescent="0.25">
      <c r="A188" s="100" t="str">
        <f>'OI(Value)'!A188</f>
        <v>SIEMENS</v>
      </c>
      <c r="B188" s="82">
        <f>VLOOKUP(A188,'Data shares'!$C$2:$CV$216,98,0)</f>
        <v>4507000</v>
      </c>
      <c r="C188" s="82">
        <f>VLOOKUP(A188,'Data shares'!$C$2:$CX$216,100,0)</f>
        <v>186750</v>
      </c>
      <c r="D188" s="141">
        <f>VLOOKUP(A188,'Data shares'!$C$2:$CY$539,101,0)</f>
        <v>4.3200000000000002E-2</v>
      </c>
      <c r="E188" s="86">
        <f>VLOOKUP($A188,'Data shares'!$C:$FA,74)</f>
        <v>2277875</v>
      </c>
      <c r="F188" s="86">
        <f>VLOOKUP($A188,'Data shares'!$C:$FA,76)</f>
        <v>103500</v>
      </c>
      <c r="G188" s="87">
        <f>VLOOKUP(A188,'Data shares'!$C$2:$CA$216,77,0)</f>
        <v>4.7600000000000003E-2</v>
      </c>
      <c r="H188" s="86">
        <f>VLOOKUP($A188,'Data shares'!$C:$FA,90)</f>
        <v>1599875</v>
      </c>
      <c r="I188" s="86">
        <f>VLOOKUP($A188,'Data shares'!$C:$FA,92)</f>
        <v>96250</v>
      </c>
      <c r="J188" s="87">
        <f>VLOOKUP($A188,'Data shares'!$C:$FA,93)</f>
        <v>6.4000000000000001E-2</v>
      </c>
      <c r="K188" s="86">
        <f>VLOOKUP($A188,'Data shares'!$C:$FA,94)</f>
        <v>629250</v>
      </c>
      <c r="L188" s="86">
        <f>VLOOKUP($A188,'Data shares'!$C:$FA,96)</f>
        <v>-13000</v>
      </c>
      <c r="M188" s="87">
        <f>VLOOKUP($A188,'Data shares'!$C:$FA,97)</f>
        <v>-2.0199999999999999E-2</v>
      </c>
      <c r="N188" s="86">
        <f>VLOOKUP($A188,'Data shares'!$C:$FA,78)</f>
        <v>2133625</v>
      </c>
      <c r="O188" s="87">
        <f>VLOOKUP($A188,'Data shares'!$C:$FA,81)</f>
        <v>3.1099999999999999E-2</v>
      </c>
    </row>
    <row r="189" spans="1:15" x14ac:dyDescent="0.25">
      <c r="A189" s="100" t="str">
        <f>'OI(Value)'!A189</f>
        <v>ZYDUSLIFE</v>
      </c>
      <c r="B189" s="82">
        <f>VLOOKUP(A189,'Data shares'!$C$2:$CV$216,98,0)</f>
        <v>14436000</v>
      </c>
      <c r="C189" s="82">
        <f>VLOOKUP(A189,'Data shares'!$C$2:$CX$216,100,0)</f>
        <v>-398700</v>
      </c>
      <c r="D189" s="141">
        <f>VLOOKUP(A189,'Data shares'!$C$2:$CY$539,101,0)</f>
        <v>-2.69E-2</v>
      </c>
      <c r="E189" s="86">
        <f>VLOOKUP($A189,'Data shares'!$C:$FA,74)</f>
        <v>8824500</v>
      </c>
      <c r="F189" s="86">
        <f>VLOOKUP($A189,'Data shares'!$C:$FA,76)</f>
        <v>-99900</v>
      </c>
      <c r="G189" s="87">
        <f>VLOOKUP(A189,'Data shares'!$C$2:$CA$216,77,0)</f>
        <v>-1.12E-2</v>
      </c>
      <c r="H189" s="86">
        <f>VLOOKUP($A189,'Data shares'!$C:$FA,90)</f>
        <v>3590100</v>
      </c>
      <c r="I189" s="86">
        <f>VLOOKUP($A189,'Data shares'!$C:$FA,92)</f>
        <v>-273600</v>
      </c>
      <c r="J189" s="87">
        <f>VLOOKUP($A189,'Data shares'!$C:$FA,93)</f>
        <v>-7.0800000000000002E-2</v>
      </c>
      <c r="K189" s="86">
        <f>VLOOKUP($A189,'Data shares'!$C:$FA,94)</f>
        <v>2021400</v>
      </c>
      <c r="L189" s="86">
        <f>VLOOKUP($A189,'Data shares'!$C:$FA,96)</f>
        <v>-25200</v>
      </c>
      <c r="M189" s="87">
        <f>VLOOKUP($A189,'Data shares'!$C:$FA,97)</f>
        <v>-1.23E-2</v>
      </c>
      <c r="N189" s="86">
        <f>VLOOKUP($A189,'Data shares'!$C:$FA,78)</f>
        <v>7603200</v>
      </c>
      <c r="O189" s="87">
        <f>VLOOKUP($A189,'Data shares'!$C:$FA,81)</f>
        <v>-1.7299999999999999E-2</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23497897081</v>
      </c>
      <c r="C216" s="119">
        <f>SUM(C7:C215)</f>
        <v>376052733</v>
      </c>
      <c r="D216" s="120">
        <f>C216*100/(B216-C216)</f>
        <v>1.6263959195475162</v>
      </c>
      <c r="E216" s="119">
        <f>SUM(E7:E215)</f>
        <v>14093483848</v>
      </c>
      <c r="F216" s="119">
        <f>SUM(F7:F215)</f>
        <v>41376391</v>
      </c>
      <c r="G216" s="120">
        <f>F216*100/(E216-F216)</f>
        <v>0.29444971956422467</v>
      </c>
      <c r="H216" s="119">
        <f>SUM(H7:H215)</f>
        <v>5776331207</v>
      </c>
      <c r="I216" s="119">
        <f>SUM(I7:I215)</f>
        <v>126212610</v>
      </c>
      <c r="J216" s="120">
        <f>I216*100/(H216-I216)</f>
        <v>2.2338046154821272</v>
      </c>
      <c r="K216" s="119">
        <f>SUM(K7:K215)</f>
        <v>3628082026</v>
      </c>
      <c r="L216" s="119">
        <f>SUM(L7:L215)</f>
        <v>208463732</v>
      </c>
      <c r="M216" s="120">
        <f>L216*100/(K216-L216)</f>
        <v>6.0961111468425191</v>
      </c>
      <c r="N216" s="119">
        <f>SUM(N7:N215)</f>
        <v>12764858121</v>
      </c>
      <c r="O216" s="120">
        <f>(N216-FII!V3)/N216*100</f>
        <v>-15.940437509857693</v>
      </c>
    </row>
    <row r="217" spans="1:15" s="89" customFormat="1" ht="16.5" customHeight="1" x14ac:dyDescent="0.25">
      <c r="A217" s="118" t="s">
        <v>409</v>
      </c>
      <c r="B217" s="121">
        <f>B216/10000000</f>
        <v>2349.7897081000001</v>
      </c>
      <c r="C217" s="121">
        <f>C216/10000000</f>
        <v>37.6052733</v>
      </c>
      <c r="D217" s="120">
        <f>D216</f>
        <v>1.6263959195475162</v>
      </c>
      <c r="E217" s="121">
        <f>E216/10000000</f>
        <v>1409.3483848000001</v>
      </c>
      <c r="F217" s="121">
        <f>F216/10000000</f>
        <v>4.1376391000000003</v>
      </c>
      <c r="G217" s="120">
        <f>G216</f>
        <v>0.29444971956422467</v>
      </c>
      <c r="H217" s="121">
        <f>H216/10000000</f>
        <v>577.63312069999995</v>
      </c>
      <c r="I217" s="121">
        <f>I216/10000000</f>
        <v>12.621261000000001</v>
      </c>
      <c r="J217" s="120">
        <f>J216</f>
        <v>2.2338046154821272</v>
      </c>
      <c r="K217" s="121">
        <f>K216/10000000</f>
        <v>362.80820260000002</v>
      </c>
      <c r="L217" s="121">
        <f>L216/10000000</f>
        <v>20.846373199999999</v>
      </c>
      <c r="M217" s="120">
        <f>M216</f>
        <v>6.0961111468425191</v>
      </c>
      <c r="N217" s="121">
        <f>N216/10000000</f>
        <v>1276.4858121</v>
      </c>
      <c r="O217" s="120">
        <f>O216</f>
        <v>-15.940437509857693</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1409.3483848000001</v>
      </c>
      <c r="C227" s="37">
        <f>F217</f>
        <v>4.1376391000000003</v>
      </c>
      <c r="D227" s="39">
        <f>C227/B227</f>
        <v>2.9358525859361387E-3</v>
      </c>
    </row>
    <row r="228" spans="1:4" x14ac:dyDescent="0.25">
      <c r="A228" s="36" t="s">
        <v>404</v>
      </c>
      <c r="B228" s="37">
        <f>H217</f>
        <v>577.63312069999995</v>
      </c>
      <c r="C228" s="37">
        <f>I217</f>
        <v>12.621261000000001</v>
      </c>
      <c r="D228" s="39">
        <f>C228/B228</f>
        <v>2.1849960723694356E-2</v>
      </c>
    </row>
    <row r="229" spans="1:4" x14ac:dyDescent="0.25">
      <c r="A229" s="36" t="s">
        <v>405</v>
      </c>
      <c r="B229" s="37">
        <f>K217</f>
        <v>362.80820260000002</v>
      </c>
      <c r="C229" s="37">
        <f>L217</f>
        <v>20.846373199999999</v>
      </c>
      <c r="D229" s="39">
        <f>C229/B229</f>
        <v>5.7458384486922288E-2</v>
      </c>
    </row>
    <row r="230" spans="1:4" x14ac:dyDescent="0.25">
      <c r="A230" s="36" t="s">
        <v>406</v>
      </c>
      <c r="B230" s="40">
        <f>SUM(B227:B229)</f>
        <v>2349.7897081000001</v>
      </c>
      <c r="C230" s="40">
        <f>SUM(C227:C229)</f>
        <v>37.6052733</v>
      </c>
      <c r="D230" s="41">
        <f>C230/B230</f>
        <v>1.6003676061040792E-2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45946</v>
      </c>
      <c r="C6" s="76" t="s">
        <v>333</v>
      </c>
      <c r="D6" s="76" t="s">
        <v>328</v>
      </c>
      <c r="E6" s="3">
        <f>B6</f>
        <v>45946</v>
      </c>
      <c r="F6" s="76" t="s">
        <v>333</v>
      </c>
      <c r="G6" s="76" t="s">
        <v>328</v>
      </c>
      <c r="H6" s="3">
        <f>E6</f>
        <v>45946</v>
      </c>
      <c r="I6" s="76" t="s">
        <v>333</v>
      </c>
      <c r="J6" s="76" t="s">
        <v>328</v>
      </c>
      <c r="K6" s="3">
        <f>E6</f>
        <v>45946</v>
      </c>
      <c r="L6" s="76" t="s">
        <v>333</v>
      </c>
      <c r="M6" s="76" t="s">
        <v>328</v>
      </c>
      <c r="N6" s="76" t="s">
        <v>339</v>
      </c>
      <c r="O6" s="76" t="s">
        <v>328</v>
      </c>
    </row>
    <row r="7" spans="1:15" x14ac:dyDescent="0.25">
      <c r="A7" s="97" t="str">
        <f>'Data Vlaue (Cr)'!C2</f>
        <v>360ONE</v>
      </c>
      <c r="B7" s="142">
        <f>VLOOKUP(A7,'Data Vlaue (Cr)'!C2:CW216,99,0)</f>
        <v>775</v>
      </c>
      <c r="C7" s="90">
        <f>VLOOKUP(A7,'Data Vlaue (Cr)'!C2:CY216,101,0)</f>
        <v>41</v>
      </c>
      <c r="D7" s="139">
        <f>VLOOKUP(A7,'Data Vlaue (Cr)'!C2:CZ216,102,0)</f>
        <v>5.6300000000000003E-2</v>
      </c>
      <c r="E7" s="91">
        <f>VLOOKUP($A7,'Data Vlaue (Cr)'!$C:$FB,75)</f>
        <v>425</v>
      </c>
      <c r="F7" s="91">
        <f>VLOOKUP($A7,'Data Vlaue (Cr)'!$C:$FB,77)</f>
        <v>14</v>
      </c>
      <c r="G7" s="92">
        <f>VLOOKUP(A7,'Data Vlaue (Cr)'!C2:CB216,78,0)</f>
        <v>3.3399999999999999E-2</v>
      </c>
      <c r="H7" s="91">
        <f>VLOOKUP($A7,'Data Vlaue (Cr)'!$C:$FB,91)</f>
        <v>221</v>
      </c>
      <c r="I7" s="91">
        <f>VLOOKUP($A7,'Data Vlaue (Cr)'!$C:$FB,93)</f>
        <v>20</v>
      </c>
      <c r="J7" s="92">
        <f>VLOOKUP($A7,'Data Vlaue (Cr)'!$C:$FB,94)</f>
        <v>0.10199999999999999</v>
      </c>
      <c r="K7" s="91">
        <f>VLOOKUP($A7,'Data Vlaue (Cr)'!$C:$FB,95)</f>
        <v>129</v>
      </c>
      <c r="L7" s="91">
        <f>VLOOKUP($A7,'Data Vlaue (Cr)'!$C:$FB,97)</f>
        <v>7</v>
      </c>
      <c r="M7" s="92">
        <f>VLOOKUP($A7,'Data Vlaue (Cr)'!$C:$FB,98)</f>
        <v>5.8299999999999998E-2</v>
      </c>
      <c r="N7" s="91">
        <f>VLOOKUP($A7,'Data Vlaue (Cr)'!$C:$FB,79)</f>
        <v>403</v>
      </c>
      <c r="O7" s="92">
        <f>VLOOKUP($A7,'Data Vlaue (Cr)'!$C:$FB,82)</f>
        <v>1.55E-2</v>
      </c>
    </row>
    <row r="8" spans="1:15" x14ac:dyDescent="0.25">
      <c r="A8" s="97" t="str">
        <f>'Data Vlaue (Cr)'!C3</f>
        <v>ABB</v>
      </c>
      <c r="B8" s="142">
        <f>VLOOKUP(A8,'Data Vlaue (Cr)'!C3:CW217,99,0)</f>
        <v>2455</v>
      </c>
      <c r="C8" s="90">
        <f>VLOOKUP(A8,'Data Vlaue (Cr)'!C3:CY217,101,0)</f>
        <v>33</v>
      </c>
      <c r="D8" s="139">
        <f>VLOOKUP(A8,'Data Vlaue (Cr)'!C3:CZ217,102,0)</f>
        <v>1.38E-2</v>
      </c>
      <c r="E8" s="91">
        <f>VLOOKUP($A8,'Data Vlaue (Cr)'!$C:$FB,75)</f>
        <v>1295</v>
      </c>
      <c r="F8" s="91">
        <f>VLOOKUP($A8,'Data Vlaue (Cr)'!$C:$FB,77)</f>
        <v>1</v>
      </c>
      <c r="G8" s="92">
        <f>VLOOKUP(A8,'Data Vlaue (Cr)'!C3:CB217,78,0)</f>
        <v>8.0000000000000004E-4</v>
      </c>
      <c r="H8" s="91">
        <f>VLOOKUP($A8,'Data Vlaue (Cr)'!$C:$FB,91)</f>
        <v>688</v>
      </c>
      <c r="I8" s="91">
        <f>VLOOKUP($A8,'Data Vlaue (Cr)'!$C:$FB,93)</f>
        <v>-10</v>
      </c>
      <c r="J8" s="92">
        <f>VLOOKUP($A8,'Data Vlaue (Cr)'!$C:$FB,94)</f>
        <v>-1.38E-2</v>
      </c>
      <c r="K8" s="91">
        <f>VLOOKUP($A8,'Data Vlaue (Cr)'!$C:$FB,95)</f>
        <v>472</v>
      </c>
      <c r="L8" s="91">
        <f>VLOOKUP($A8,'Data Vlaue (Cr)'!$C:$FB,97)</f>
        <v>42</v>
      </c>
      <c r="M8" s="92">
        <f>VLOOKUP($A8,'Data Vlaue (Cr)'!$C:$FB,98)</f>
        <v>9.7799999999999998E-2</v>
      </c>
      <c r="N8" s="91">
        <f>VLOOKUP($A8,'Data Vlaue (Cr)'!$C:$FB,79)</f>
        <v>1192</v>
      </c>
      <c r="O8" s="92">
        <f>VLOOKUP($A8,'Data Vlaue (Cr)'!$C:$FB,82)</f>
        <v>-2.1499999999999998E-2</v>
      </c>
    </row>
    <row r="9" spans="1:15" x14ac:dyDescent="0.25">
      <c r="A9" s="97" t="str">
        <f>'Data Vlaue (Cr)'!C4</f>
        <v>ABCAPITAL</v>
      </c>
      <c r="B9" s="142">
        <f>VLOOKUP(A9,'Data Vlaue (Cr)'!C4:CW218,99,0)</f>
        <v>3490</v>
      </c>
      <c r="C9" s="90">
        <f>VLOOKUP(A9,'Data Vlaue (Cr)'!C4:CY218,101,0)</f>
        <v>42</v>
      </c>
      <c r="D9" s="139">
        <f>VLOOKUP(A9,'Data Vlaue (Cr)'!C4:CZ218,102,0)</f>
        <v>1.23E-2</v>
      </c>
      <c r="E9" s="91">
        <f>VLOOKUP($A9,'Data Vlaue (Cr)'!$C:$FB,75)</f>
        <v>2335</v>
      </c>
      <c r="F9" s="91">
        <f>VLOOKUP($A9,'Data Vlaue (Cr)'!$C:$FB,77)</f>
        <v>12</v>
      </c>
      <c r="G9" s="92">
        <f>VLOOKUP(A9,'Data Vlaue (Cr)'!C4:CB218,78,0)</f>
        <v>5.3E-3</v>
      </c>
      <c r="H9" s="91">
        <f>VLOOKUP($A9,'Data Vlaue (Cr)'!$C:$FB,91)</f>
        <v>739</v>
      </c>
      <c r="I9" s="91">
        <f>VLOOKUP($A9,'Data Vlaue (Cr)'!$C:$FB,93)</f>
        <v>21</v>
      </c>
      <c r="J9" s="92">
        <f>VLOOKUP($A9,'Data Vlaue (Cr)'!$C:$FB,94)</f>
        <v>2.87E-2</v>
      </c>
      <c r="K9" s="91">
        <f>VLOOKUP($A9,'Data Vlaue (Cr)'!$C:$FB,95)</f>
        <v>417</v>
      </c>
      <c r="L9" s="91">
        <f>VLOOKUP($A9,'Data Vlaue (Cr)'!$C:$FB,97)</f>
        <v>9</v>
      </c>
      <c r="M9" s="92">
        <f>VLOOKUP($A9,'Data Vlaue (Cr)'!$C:$FB,98)</f>
        <v>2.3099999999999999E-2</v>
      </c>
      <c r="N9" s="91">
        <f>VLOOKUP($A9,'Data Vlaue (Cr)'!$C:$FB,79)</f>
        <v>2244</v>
      </c>
      <c r="O9" s="92">
        <f>VLOOKUP($A9,'Data Vlaue (Cr)'!$C:$FB,82)</f>
        <v>2.0999999999999999E-3</v>
      </c>
    </row>
    <row r="10" spans="1:15" x14ac:dyDescent="0.25">
      <c r="A10" s="97" t="str">
        <f>'Data Vlaue (Cr)'!C5</f>
        <v>ADANIENSOL</v>
      </c>
      <c r="B10" s="142">
        <f>VLOOKUP(A10,'Data Vlaue (Cr)'!C5:CW219,99,0)</f>
        <v>2282</v>
      </c>
      <c r="C10" s="90">
        <f>VLOOKUP(A10,'Data Vlaue (Cr)'!C5:CY219,101,0)</f>
        <v>-14</v>
      </c>
      <c r="D10" s="139">
        <f>VLOOKUP(A10,'Data Vlaue (Cr)'!C5:CZ219,102,0)</f>
        <v>-6.1999999999999998E-3</v>
      </c>
      <c r="E10" s="91">
        <f>VLOOKUP($A10,'Data Vlaue (Cr)'!$C:$FB,75)</f>
        <v>1727</v>
      </c>
      <c r="F10" s="91">
        <f>VLOOKUP($A10,'Data Vlaue (Cr)'!$C:$FB,77)</f>
        <v>-17</v>
      </c>
      <c r="G10" s="92">
        <f>VLOOKUP(A10,'Data Vlaue (Cr)'!C5:CB219,78,0)</f>
        <v>-9.7000000000000003E-3</v>
      </c>
      <c r="H10" s="91">
        <f>VLOOKUP($A10,'Data Vlaue (Cr)'!$C:$FB,91)</f>
        <v>339</v>
      </c>
      <c r="I10" s="91">
        <f>VLOOKUP($A10,'Data Vlaue (Cr)'!$C:$FB,93)</f>
        <v>-1</v>
      </c>
      <c r="J10" s="92">
        <f>VLOOKUP($A10,'Data Vlaue (Cr)'!$C:$FB,94)</f>
        <v>-2.0999999999999999E-3</v>
      </c>
      <c r="K10" s="91">
        <f>VLOOKUP($A10,'Data Vlaue (Cr)'!$C:$FB,95)</f>
        <v>216</v>
      </c>
      <c r="L10" s="91">
        <f>VLOOKUP($A10,'Data Vlaue (Cr)'!$C:$FB,97)</f>
        <v>3</v>
      </c>
      <c r="M10" s="92">
        <f>VLOOKUP($A10,'Data Vlaue (Cr)'!$C:$FB,98)</f>
        <v>1.4999999999999999E-2</v>
      </c>
      <c r="N10" s="91">
        <f>VLOOKUP($A10,'Data Vlaue (Cr)'!$C:$FB,79)</f>
        <v>1693</v>
      </c>
      <c r="O10" s="92">
        <f>VLOOKUP($A10,'Data Vlaue (Cr)'!$C:$FB,82)</f>
        <v>-1.2200000000000001E-2</v>
      </c>
    </row>
    <row r="11" spans="1:15" x14ac:dyDescent="0.25">
      <c r="A11" s="97" t="str">
        <f>'Data Vlaue (Cr)'!C6</f>
        <v>ADANIENT</v>
      </c>
      <c r="B11" s="142">
        <f>VLOOKUP(A11,'Data Vlaue (Cr)'!C6:CW220,99,0)</f>
        <v>7088</v>
      </c>
      <c r="C11" s="90">
        <f>VLOOKUP(A11,'Data Vlaue (Cr)'!C6:CY220,101,0)</f>
        <v>31</v>
      </c>
      <c r="D11" s="139">
        <f>VLOOKUP(A11,'Data Vlaue (Cr)'!C6:CZ220,102,0)</f>
        <v>4.4000000000000003E-3</v>
      </c>
      <c r="E11" s="91">
        <f>VLOOKUP($A11,'Data Vlaue (Cr)'!$C:$FB,75)</f>
        <v>3662</v>
      </c>
      <c r="F11" s="91">
        <f>VLOOKUP($A11,'Data Vlaue (Cr)'!$C:$FB,77)</f>
        <v>35</v>
      </c>
      <c r="G11" s="92">
        <f>VLOOKUP(A11,'Data Vlaue (Cr)'!C6:CB220,78,0)</f>
        <v>9.7999999999999997E-3</v>
      </c>
      <c r="H11" s="91">
        <f>VLOOKUP($A11,'Data Vlaue (Cr)'!$C:$FB,91)</f>
        <v>2206</v>
      </c>
      <c r="I11" s="91">
        <f>VLOOKUP($A11,'Data Vlaue (Cr)'!$C:$FB,93)</f>
        <v>2</v>
      </c>
      <c r="J11" s="92">
        <f>VLOOKUP($A11,'Data Vlaue (Cr)'!$C:$FB,94)</f>
        <v>8.0000000000000004E-4</v>
      </c>
      <c r="K11" s="91">
        <f>VLOOKUP($A11,'Data Vlaue (Cr)'!$C:$FB,95)</f>
        <v>1220</v>
      </c>
      <c r="L11" s="91">
        <f>VLOOKUP($A11,'Data Vlaue (Cr)'!$C:$FB,97)</f>
        <v>-6</v>
      </c>
      <c r="M11" s="92">
        <f>VLOOKUP($A11,'Data Vlaue (Cr)'!$C:$FB,98)</f>
        <v>-5.0000000000000001E-3</v>
      </c>
      <c r="N11" s="91">
        <f>VLOOKUP($A11,'Data Vlaue (Cr)'!$C:$FB,79)</f>
        <v>3475</v>
      </c>
      <c r="O11" s="92">
        <f>VLOOKUP($A11,'Data Vlaue (Cr)'!$C:$FB,82)</f>
        <v>-4.5999999999999999E-3</v>
      </c>
    </row>
    <row r="12" spans="1:15" x14ac:dyDescent="0.25">
      <c r="A12" s="97" t="str">
        <f>'Data Vlaue (Cr)'!C7</f>
        <v>ADANIGREEN</v>
      </c>
      <c r="B12" s="142">
        <f>VLOOKUP(A12,'Data Vlaue (Cr)'!C7:CW221,99,0)</f>
        <v>3956</v>
      </c>
      <c r="C12" s="90">
        <f>VLOOKUP(A12,'Data Vlaue (Cr)'!C7:CY221,101,0)</f>
        <v>36</v>
      </c>
      <c r="D12" s="139">
        <f>VLOOKUP(A12,'Data Vlaue (Cr)'!C7:CZ221,102,0)</f>
        <v>9.1000000000000004E-3</v>
      </c>
      <c r="E12" s="91">
        <f>VLOOKUP($A12,'Data Vlaue (Cr)'!$C:$FB,75)</f>
        <v>2189</v>
      </c>
      <c r="F12" s="91">
        <f>VLOOKUP($A12,'Data Vlaue (Cr)'!$C:$FB,77)</f>
        <v>26</v>
      </c>
      <c r="G12" s="92">
        <f>VLOOKUP(A12,'Data Vlaue (Cr)'!C7:CB221,78,0)</f>
        <v>1.1900000000000001E-2</v>
      </c>
      <c r="H12" s="91">
        <f>VLOOKUP($A12,'Data Vlaue (Cr)'!$C:$FB,91)</f>
        <v>1182</v>
      </c>
      <c r="I12" s="91">
        <f>VLOOKUP($A12,'Data Vlaue (Cr)'!$C:$FB,93)</f>
        <v>-15</v>
      </c>
      <c r="J12" s="92">
        <f>VLOOKUP($A12,'Data Vlaue (Cr)'!$C:$FB,94)</f>
        <v>-1.29E-2</v>
      </c>
      <c r="K12" s="91">
        <f>VLOOKUP($A12,'Data Vlaue (Cr)'!$C:$FB,95)</f>
        <v>586</v>
      </c>
      <c r="L12" s="91">
        <f>VLOOKUP($A12,'Data Vlaue (Cr)'!$C:$FB,97)</f>
        <v>25</v>
      </c>
      <c r="M12" s="92">
        <f>VLOOKUP($A12,'Data Vlaue (Cr)'!$C:$FB,98)</f>
        <v>4.5199999999999997E-2</v>
      </c>
      <c r="N12" s="91">
        <f>VLOOKUP($A12,'Data Vlaue (Cr)'!$C:$FB,79)</f>
        <v>2071</v>
      </c>
      <c r="O12" s="92">
        <f>VLOOKUP($A12,'Data Vlaue (Cr)'!$C:$FB,82)</f>
        <v>3.5999999999999999E-3</v>
      </c>
    </row>
    <row r="13" spans="1:15" x14ac:dyDescent="0.25">
      <c r="A13" s="97" t="str">
        <f>'Data Vlaue (Cr)'!C8</f>
        <v>ADANIPORTS</v>
      </c>
      <c r="B13" s="142">
        <f>VLOOKUP(A13,'Data Vlaue (Cr)'!C8:CW222,99,0)</f>
        <v>5223</v>
      </c>
      <c r="C13" s="90">
        <f>VLOOKUP(A13,'Data Vlaue (Cr)'!C8:CY222,101,0)</f>
        <v>61</v>
      </c>
      <c r="D13" s="139">
        <f>VLOOKUP(A13,'Data Vlaue (Cr)'!C8:CZ222,102,0)</f>
        <v>1.18E-2</v>
      </c>
      <c r="E13" s="91">
        <f>VLOOKUP($A13,'Data Vlaue (Cr)'!$C:$FB,75)</f>
        <v>3410</v>
      </c>
      <c r="F13" s="91">
        <f>VLOOKUP($A13,'Data Vlaue (Cr)'!$C:$FB,77)</f>
        <v>67</v>
      </c>
      <c r="G13" s="92">
        <f>VLOOKUP(A13,'Data Vlaue (Cr)'!C8:CB222,78,0)</f>
        <v>1.9900000000000001E-2</v>
      </c>
      <c r="H13" s="91">
        <f>VLOOKUP($A13,'Data Vlaue (Cr)'!$C:$FB,91)</f>
        <v>1047</v>
      </c>
      <c r="I13" s="91">
        <f>VLOOKUP($A13,'Data Vlaue (Cr)'!$C:$FB,93)</f>
        <v>-34</v>
      </c>
      <c r="J13" s="92">
        <f>VLOOKUP($A13,'Data Vlaue (Cr)'!$C:$FB,94)</f>
        <v>-3.1899999999999998E-2</v>
      </c>
      <c r="K13" s="91">
        <f>VLOOKUP($A13,'Data Vlaue (Cr)'!$C:$FB,95)</f>
        <v>767</v>
      </c>
      <c r="L13" s="91">
        <f>VLOOKUP($A13,'Data Vlaue (Cr)'!$C:$FB,97)</f>
        <v>29</v>
      </c>
      <c r="M13" s="92">
        <f>VLOOKUP($A13,'Data Vlaue (Cr)'!$C:$FB,98)</f>
        <v>3.8899999999999997E-2</v>
      </c>
      <c r="N13" s="91">
        <f>VLOOKUP($A13,'Data Vlaue (Cr)'!$C:$FB,79)</f>
        <v>3251</v>
      </c>
      <c r="O13" s="92">
        <f>VLOOKUP($A13,'Data Vlaue (Cr)'!$C:$FB,82)</f>
        <v>1.23E-2</v>
      </c>
    </row>
    <row r="14" spans="1:15" x14ac:dyDescent="0.25">
      <c r="A14" s="97" t="str">
        <f>'Data Vlaue (Cr)'!C9</f>
        <v>ALKEM</v>
      </c>
      <c r="B14" s="142">
        <f>VLOOKUP(A14,'Data Vlaue (Cr)'!C9:CW223,99,0)</f>
        <v>1119</v>
      </c>
      <c r="C14" s="90">
        <f>VLOOKUP(A14,'Data Vlaue (Cr)'!C9:CY223,101,0)</f>
        <v>10</v>
      </c>
      <c r="D14" s="139">
        <f>VLOOKUP(A14,'Data Vlaue (Cr)'!C9:CZ223,102,0)</f>
        <v>8.9999999999999993E-3</v>
      </c>
      <c r="E14" s="91">
        <f>VLOOKUP($A14,'Data Vlaue (Cr)'!$C:$FB,75)</f>
        <v>877</v>
      </c>
      <c r="F14" s="91">
        <f>VLOOKUP($A14,'Data Vlaue (Cr)'!$C:$FB,77)</f>
        <v>6</v>
      </c>
      <c r="G14" s="92">
        <f>VLOOKUP(A14,'Data Vlaue (Cr)'!C9:CB223,78,0)</f>
        <v>6.7000000000000002E-3</v>
      </c>
      <c r="H14" s="91">
        <f>VLOOKUP($A14,'Data Vlaue (Cr)'!$C:$FB,91)</f>
        <v>147</v>
      </c>
      <c r="I14" s="91">
        <f>VLOOKUP($A14,'Data Vlaue (Cr)'!$C:$FB,93)</f>
        <v>2</v>
      </c>
      <c r="J14" s="92">
        <f>VLOOKUP($A14,'Data Vlaue (Cr)'!$C:$FB,94)</f>
        <v>1.4800000000000001E-2</v>
      </c>
      <c r="K14" s="91">
        <f>VLOOKUP($A14,'Data Vlaue (Cr)'!$C:$FB,95)</f>
        <v>95</v>
      </c>
      <c r="L14" s="91">
        <f>VLOOKUP($A14,'Data Vlaue (Cr)'!$C:$FB,97)</f>
        <v>2</v>
      </c>
      <c r="M14" s="92">
        <f>VLOOKUP($A14,'Data Vlaue (Cr)'!$C:$FB,98)</f>
        <v>2.1700000000000001E-2</v>
      </c>
      <c r="N14" s="91">
        <f>VLOOKUP($A14,'Data Vlaue (Cr)'!$C:$FB,79)</f>
        <v>867</v>
      </c>
      <c r="O14" s="92">
        <f>VLOOKUP($A14,'Data Vlaue (Cr)'!$C:$FB,82)</f>
        <v>5.8999999999999999E-3</v>
      </c>
    </row>
    <row r="15" spans="1:15" x14ac:dyDescent="0.25">
      <c r="A15" s="97" t="str">
        <f>'Data Vlaue (Cr)'!C10</f>
        <v>AMBER</v>
      </c>
      <c r="B15" s="142">
        <f>VLOOKUP(A15,'Data Vlaue (Cr)'!C10:CW224,99,0)</f>
        <v>1502</v>
      </c>
      <c r="C15" s="90">
        <f>VLOOKUP(A15,'Data Vlaue (Cr)'!C10:CY224,101,0)</f>
        <v>109</v>
      </c>
      <c r="D15" s="139">
        <f>VLOOKUP(A15,'Data Vlaue (Cr)'!C10:CZ224,102,0)</f>
        <v>7.8E-2</v>
      </c>
      <c r="E15" s="91">
        <f>VLOOKUP($A15,'Data Vlaue (Cr)'!$C:$FB,75)</f>
        <v>651</v>
      </c>
      <c r="F15" s="91">
        <f>VLOOKUP($A15,'Data Vlaue (Cr)'!$C:$FB,77)</f>
        <v>75</v>
      </c>
      <c r="G15" s="92">
        <f>VLOOKUP(A15,'Data Vlaue (Cr)'!C10:CB224,78,0)</f>
        <v>0.1308</v>
      </c>
      <c r="H15" s="91">
        <f>VLOOKUP($A15,'Data Vlaue (Cr)'!$C:$FB,91)</f>
        <v>562</v>
      </c>
      <c r="I15" s="91">
        <f>VLOOKUP($A15,'Data Vlaue (Cr)'!$C:$FB,93)</f>
        <v>20</v>
      </c>
      <c r="J15" s="92">
        <f>VLOOKUP($A15,'Data Vlaue (Cr)'!$C:$FB,94)</f>
        <v>3.6200000000000003E-2</v>
      </c>
      <c r="K15" s="91">
        <f>VLOOKUP($A15,'Data Vlaue (Cr)'!$C:$FB,95)</f>
        <v>289</v>
      </c>
      <c r="L15" s="91">
        <f>VLOOKUP($A15,'Data Vlaue (Cr)'!$C:$FB,97)</f>
        <v>14</v>
      </c>
      <c r="M15" s="92">
        <f>VLOOKUP($A15,'Data Vlaue (Cr)'!$C:$FB,98)</f>
        <v>4.9700000000000001E-2</v>
      </c>
      <c r="N15" s="91">
        <f>VLOOKUP($A15,'Data Vlaue (Cr)'!$C:$FB,79)</f>
        <v>531</v>
      </c>
      <c r="O15" s="92">
        <f>VLOOKUP($A15,'Data Vlaue (Cr)'!$C:$FB,82)</f>
        <v>6.93E-2</v>
      </c>
    </row>
    <row r="16" spans="1:15" x14ac:dyDescent="0.25">
      <c r="A16" s="97" t="str">
        <f>'Data Vlaue (Cr)'!C11</f>
        <v>AMBUJACEM</v>
      </c>
      <c r="B16" s="142">
        <f>VLOOKUP(A16,'Data Vlaue (Cr)'!C11:CW225,99,0)</f>
        <v>3506</v>
      </c>
      <c r="C16" s="90">
        <f>VLOOKUP(A16,'Data Vlaue (Cr)'!C11:CY225,101,0)</f>
        <v>-22</v>
      </c>
      <c r="D16" s="139">
        <f>VLOOKUP(A16,'Data Vlaue (Cr)'!C11:CZ225,102,0)</f>
        <v>-6.1000000000000004E-3</v>
      </c>
      <c r="E16" s="91">
        <f>VLOOKUP($A16,'Data Vlaue (Cr)'!$C:$FB,75)</f>
        <v>2329</v>
      </c>
      <c r="F16" s="91">
        <f>VLOOKUP($A16,'Data Vlaue (Cr)'!$C:$FB,77)</f>
        <v>-17</v>
      </c>
      <c r="G16" s="92">
        <f>VLOOKUP(A16,'Data Vlaue (Cr)'!C11:CB225,78,0)</f>
        <v>-7.1000000000000004E-3</v>
      </c>
      <c r="H16" s="91">
        <f>VLOOKUP($A16,'Data Vlaue (Cr)'!$C:$FB,91)</f>
        <v>726</v>
      </c>
      <c r="I16" s="91">
        <f>VLOOKUP($A16,'Data Vlaue (Cr)'!$C:$FB,93)</f>
        <v>0</v>
      </c>
      <c r="J16" s="92">
        <f>VLOOKUP($A16,'Data Vlaue (Cr)'!$C:$FB,94)</f>
        <v>2.9999999999999997E-4</v>
      </c>
      <c r="K16" s="91">
        <f>VLOOKUP($A16,'Data Vlaue (Cr)'!$C:$FB,95)</f>
        <v>451</v>
      </c>
      <c r="L16" s="91">
        <f>VLOOKUP($A16,'Data Vlaue (Cr)'!$C:$FB,97)</f>
        <v>-5</v>
      </c>
      <c r="M16" s="92">
        <f>VLOOKUP($A16,'Data Vlaue (Cr)'!$C:$FB,98)</f>
        <v>-1.14E-2</v>
      </c>
      <c r="N16" s="91">
        <f>VLOOKUP($A16,'Data Vlaue (Cr)'!$C:$FB,79)</f>
        <v>2242</v>
      </c>
      <c r="O16" s="92">
        <f>VLOOKUP($A16,'Data Vlaue (Cr)'!$C:$FB,82)</f>
        <v>-1.09E-2</v>
      </c>
    </row>
    <row r="17" spans="1:15" x14ac:dyDescent="0.25">
      <c r="A17" s="97" t="str">
        <f>'Data Vlaue (Cr)'!C12</f>
        <v>ANGELONE</v>
      </c>
      <c r="B17" s="142">
        <f>VLOOKUP(A17,'Data Vlaue (Cr)'!C12:CW226,99,0)</f>
        <v>2144</v>
      </c>
      <c r="C17" s="90">
        <f>VLOOKUP(A17,'Data Vlaue (Cr)'!C12:CY226,101,0)</f>
        <v>-131</v>
      </c>
      <c r="D17" s="139">
        <f>VLOOKUP(A17,'Data Vlaue (Cr)'!C12:CZ226,102,0)</f>
        <v>-5.74E-2</v>
      </c>
      <c r="E17" s="91">
        <f>VLOOKUP($A17,'Data Vlaue (Cr)'!$C:$FB,75)</f>
        <v>935</v>
      </c>
      <c r="F17" s="91">
        <f>VLOOKUP($A17,'Data Vlaue (Cr)'!$C:$FB,77)</f>
        <v>-55</v>
      </c>
      <c r="G17" s="92">
        <f>VLOOKUP(A17,'Data Vlaue (Cr)'!C12:CB226,78,0)</f>
        <v>-5.5399999999999998E-2</v>
      </c>
      <c r="H17" s="91">
        <f>VLOOKUP($A17,'Data Vlaue (Cr)'!$C:$FB,91)</f>
        <v>664</v>
      </c>
      <c r="I17" s="91">
        <f>VLOOKUP($A17,'Data Vlaue (Cr)'!$C:$FB,93)</f>
        <v>-36</v>
      </c>
      <c r="J17" s="92">
        <f>VLOOKUP($A17,'Data Vlaue (Cr)'!$C:$FB,94)</f>
        <v>-5.1299999999999998E-2</v>
      </c>
      <c r="K17" s="91">
        <f>VLOOKUP($A17,'Data Vlaue (Cr)'!$C:$FB,95)</f>
        <v>546</v>
      </c>
      <c r="L17" s="91">
        <f>VLOOKUP($A17,'Data Vlaue (Cr)'!$C:$FB,97)</f>
        <v>-40</v>
      </c>
      <c r="M17" s="92">
        <f>VLOOKUP($A17,'Data Vlaue (Cr)'!$C:$FB,98)</f>
        <v>-6.83E-2</v>
      </c>
      <c r="N17" s="91">
        <f>VLOOKUP($A17,'Data Vlaue (Cr)'!$C:$FB,79)</f>
        <v>807</v>
      </c>
      <c r="O17" s="92">
        <f>VLOOKUP($A17,'Data Vlaue (Cr)'!$C:$FB,82)</f>
        <v>-8.5800000000000001E-2</v>
      </c>
    </row>
    <row r="18" spans="1:15" x14ac:dyDescent="0.25">
      <c r="A18" s="97" t="str">
        <f>'Data Vlaue (Cr)'!C13</f>
        <v>APLAPOLLO</v>
      </c>
      <c r="B18" s="142">
        <f>VLOOKUP(A18,'Data Vlaue (Cr)'!C13:CW227,99,0)</f>
        <v>1993</v>
      </c>
      <c r="C18" s="90">
        <f>VLOOKUP(A18,'Data Vlaue (Cr)'!C13:CY227,101,0)</f>
        <v>9</v>
      </c>
      <c r="D18" s="139">
        <f>VLOOKUP(A18,'Data Vlaue (Cr)'!C13:CZ227,102,0)</f>
        <v>4.4999999999999997E-3</v>
      </c>
      <c r="E18" s="91">
        <f>VLOOKUP($A18,'Data Vlaue (Cr)'!$C:$FB,75)</f>
        <v>1683</v>
      </c>
      <c r="F18" s="91">
        <f>VLOOKUP($A18,'Data Vlaue (Cr)'!$C:$FB,77)</f>
        <v>8</v>
      </c>
      <c r="G18" s="92">
        <f>VLOOKUP(A18,'Data Vlaue (Cr)'!C13:CB227,78,0)</f>
        <v>4.4999999999999997E-3</v>
      </c>
      <c r="H18" s="91">
        <f>VLOOKUP($A18,'Data Vlaue (Cr)'!$C:$FB,91)</f>
        <v>206</v>
      </c>
      <c r="I18" s="91">
        <f>VLOOKUP($A18,'Data Vlaue (Cr)'!$C:$FB,93)</f>
        <v>3</v>
      </c>
      <c r="J18" s="92">
        <f>VLOOKUP($A18,'Data Vlaue (Cr)'!$C:$FB,94)</f>
        <v>1.6799999999999999E-2</v>
      </c>
      <c r="K18" s="91">
        <f>VLOOKUP($A18,'Data Vlaue (Cr)'!$C:$FB,95)</f>
        <v>104</v>
      </c>
      <c r="L18" s="91">
        <f>VLOOKUP($A18,'Data Vlaue (Cr)'!$C:$FB,97)</f>
        <v>-2</v>
      </c>
      <c r="M18" s="92">
        <f>VLOOKUP($A18,'Data Vlaue (Cr)'!$C:$FB,98)</f>
        <v>-1.89E-2</v>
      </c>
      <c r="N18" s="91">
        <f>VLOOKUP($A18,'Data Vlaue (Cr)'!$C:$FB,79)</f>
        <v>1664</v>
      </c>
      <c r="O18" s="92">
        <f>VLOOKUP($A18,'Data Vlaue (Cr)'!$C:$FB,82)</f>
        <v>3.3E-3</v>
      </c>
    </row>
    <row r="19" spans="1:15" x14ac:dyDescent="0.25">
      <c r="A19" s="97" t="str">
        <f>'Data Vlaue (Cr)'!C14</f>
        <v>APOLLOHOSP</v>
      </c>
      <c r="B19" s="142">
        <f>VLOOKUP(A19,'Data Vlaue (Cr)'!C14:CW228,99,0)</f>
        <v>3091</v>
      </c>
      <c r="C19" s="90">
        <f>VLOOKUP(A19,'Data Vlaue (Cr)'!C14:CY228,101,0)</f>
        <v>-25</v>
      </c>
      <c r="D19" s="139">
        <f>VLOOKUP(A19,'Data Vlaue (Cr)'!C14:CZ228,102,0)</f>
        <v>-8.0999999999999996E-3</v>
      </c>
      <c r="E19" s="91">
        <f>VLOOKUP($A19,'Data Vlaue (Cr)'!$C:$FB,75)</f>
        <v>2204</v>
      </c>
      <c r="F19" s="91">
        <f>VLOOKUP($A19,'Data Vlaue (Cr)'!$C:$FB,77)</f>
        <v>2</v>
      </c>
      <c r="G19" s="92">
        <f>VLOOKUP(A19,'Data Vlaue (Cr)'!C14:CB228,78,0)</f>
        <v>1.1000000000000001E-3</v>
      </c>
      <c r="H19" s="91">
        <f>VLOOKUP($A19,'Data Vlaue (Cr)'!$C:$FB,91)</f>
        <v>474</v>
      </c>
      <c r="I19" s="91">
        <f>VLOOKUP($A19,'Data Vlaue (Cr)'!$C:$FB,93)</f>
        <v>-31</v>
      </c>
      <c r="J19" s="92">
        <f>VLOOKUP($A19,'Data Vlaue (Cr)'!$C:$FB,94)</f>
        <v>-6.1800000000000001E-2</v>
      </c>
      <c r="K19" s="91">
        <f>VLOOKUP($A19,'Data Vlaue (Cr)'!$C:$FB,95)</f>
        <v>413</v>
      </c>
      <c r="L19" s="91">
        <f>VLOOKUP($A19,'Data Vlaue (Cr)'!$C:$FB,97)</f>
        <v>4</v>
      </c>
      <c r="M19" s="92">
        <f>VLOOKUP($A19,'Data Vlaue (Cr)'!$C:$FB,98)</f>
        <v>8.8999999999999999E-3</v>
      </c>
      <c r="N19" s="91">
        <f>VLOOKUP($A19,'Data Vlaue (Cr)'!$C:$FB,79)</f>
        <v>2156</v>
      </c>
      <c r="O19" s="92">
        <f>VLOOKUP($A19,'Data Vlaue (Cr)'!$C:$FB,82)</f>
        <v>-1E-3</v>
      </c>
    </row>
    <row r="20" spans="1:15" x14ac:dyDescent="0.25">
      <c r="A20" s="97" t="str">
        <f>'Data Vlaue (Cr)'!C15</f>
        <v>ASHOKLEY</v>
      </c>
      <c r="B20" s="142">
        <f>VLOOKUP(A20,'Data Vlaue (Cr)'!C15:CW229,99,0)</f>
        <v>3757</v>
      </c>
      <c r="C20" s="90">
        <f>VLOOKUP(A20,'Data Vlaue (Cr)'!C15:CY229,101,0)</f>
        <v>98</v>
      </c>
      <c r="D20" s="139">
        <f>VLOOKUP(A20,'Data Vlaue (Cr)'!C15:CZ229,102,0)</f>
        <v>2.6800000000000001E-2</v>
      </c>
      <c r="E20" s="91">
        <f>VLOOKUP($A20,'Data Vlaue (Cr)'!$C:$FB,75)</f>
        <v>2039</v>
      </c>
      <c r="F20" s="91">
        <f>VLOOKUP($A20,'Data Vlaue (Cr)'!$C:$FB,77)</f>
        <v>102</v>
      </c>
      <c r="G20" s="92">
        <f>VLOOKUP(A20,'Data Vlaue (Cr)'!C15:CB229,78,0)</f>
        <v>5.2600000000000001E-2</v>
      </c>
      <c r="H20" s="91">
        <f>VLOOKUP($A20,'Data Vlaue (Cr)'!$C:$FB,91)</f>
        <v>1211</v>
      </c>
      <c r="I20" s="91">
        <f>VLOOKUP($A20,'Data Vlaue (Cr)'!$C:$FB,93)</f>
        <v>-7</v>
      </c>
      <c r="J20" s="92">
        <f>VLOOKUP($A20,'Data Vlaue (Cr)'!$C:$FB,94)</f>
        <v>-5.7999999999999996E-3</v>
      </c>
      <c r="K20" s="91">
        <f>VLOOKUP($A20,'Data Vlaue (Cr)'!$C:$FB,95)</f>
        <v>506</v>
      </c>
      <c r="L20" s="91">
        <f>VLOOKUP($A20,'Data Vlaue (Cr)'!$C:$FB,97)</f>
        <v>3</v>
      </c>
      <c r="M20" s="92">
        <f>VLOOKUP($A20,'Data Vlaue (Cr)'!$C:$FB,98)</f>
        <v>6.7999999999999996E-3</v>
      </c>
      <c r="N20" s="91">
        <f>VLOOKUP($A20,'Data Vlaue (Cr)'!$C:$FB,79)</f>
        <v>1855</v>
      </c>
      <c r="O20" s="92">
        <f>VLOOKUP($A20,'Data Vlaue (Cr)'!$C:$FB,82)</f>
        <v>2.92E-2</v>
      </c>
    </row>
    <row r="21" spans="1:15" x14ac:dyDescent="0.25">
      <c r="A21" s="97" t="str">
        <f>'Data Vlaue (Cr)'!C16</f>
        <v>ASIANPAINT</v>
      </c>
      <c r="B21" s="142">
        <f>VLOOKUP(A21,'Data Vlaue (Cr)'!C16:CW230,99,0)</f>
        <v>5561</v>
      </c>
      <c r="C21" s="90">
        <f>VLOOKUP(A21,'Data Vlaue (Cr)'!C16:CY230,101,0)</f>
        <v>-21</v>
      </c>
      <c r="D21" s="139">
        <f>VLOOKUP(A21,'Data Vlaue (Cr)'!C16:CZ230,102,0)</f>
        <v>-3.8E-3</v>
      </c>
      <c r="E21" s="91">
        <f>VLOOKUP($A21,'Data Vlaue (Cr)'!$C:$FB,75)</f>
        <v>3264</v>
      </c>
      <c r="F21" s="91">
        <f>VLOOKUP($A21,'Data Vlaue (Cr)'!$C:$FB,77)</f>
        <v>-15</v>
      </c>
      <c r="G21" s="92">
        <f>VLOOKUP(A21,'Data Vlaue (Cr)'!C16:CB230,78,0)</f>
        <v>-4.4000000000000003E-3</v>
      </c>
      <c r="H21" s="91">
        <f>VLOOKUP($A21,'Data Vlaue (Cr)'!$C:$FB,91)</f>
        <v>1410</v>
      </c>
      <c r="I21" s="91">
        <f>VLOOKUP($A21,'Data Vlaue (Cr)'!$C:$FB,93)</f>
        <v>10</v>
      </c>
      <c r="J21" s="92">
        <f>VLOOKUP($A21,'Data Vlaue (Cr)'!$C:$FB,94)</f>
        <v>7.1999999999999998E-3</v>
      </c>
      <c r="K21" s="91">
        <f>VLOOKUP($A21,'Data Vlaue (Cr)'!$C:$FB,95)</f>
        <v>886</v>
      </c>
      <c r="L21" s="91">
        <f>VLOOKUP($A21,'Data Vlaue (Cr)'!$C:$FB,97)</f>
        <v>-17</v>
      </c>
      <c r="M21" s="92">
        <f>VLOOKUP($A21,'Data Vlaue (Cr)'!$C:$FB,98)</f>
        <v>-1.8499999999999999E-2</v>
      </c>
      <c r="N21" s="91">
        <f>VLOOKUP($A21,'Data Vlaue (Cr)'!$C:$FB,79)</f>
        <v>3043</v>
      </c>
      <c r="O21" s="92">
        <f>VLOOKUP($A21,'Data Vlaue (Cr)'!$C:$FB,82)</f>
        <v>-8.8000000000000005E-3</v>
      </c>
    </row>
    <row r="22" spans="1:15" x14ac:dyDescent="0.25">
      <c r="A22" s="97" t="str">
        <f>'Data Vlaue (Cr)'!C17</f>
        <v>ASTRAL</v>
      </c>
      <c r="B22" s="142">
        <f>VLOOKUP(A22,'Data Vlaue (Cr)'!C17:CW231,99,0)</f>
        <v>1994</v>
      </c>
      <c r="C22" s="90">
        <f>VLOOKUP(A22,'Data Vlaue (Cr)'!C17:CY231,101,0)</f>
        <v>-3</v>
      </c>
      <c r="D22" s="139">
        <f>VLOOKUP(A22,'Data Vlaue (Cr)'!C17:CZ231,102,0)</f>
        <v>-1.6999999999999999E-3</v>
      </c>
      <c r="E22" s="91">
        <f>VLOOKUP($A22,'Data Vlaue (Cr)'!$C:$FB,75)</f>
        <v>1318</v>
      </c>
      <c r="F22" s="91">
        <f>VLOOKUP($A22,'Data Vlaue (Cr)'!$C:$FB,77)</f>
        <v>-6</v>
      </c>
      <c r="G22" s="92">
        <f>VLOOKUP(A22,'Data Vlaue (Cr)'!C17:CB231,78,0)</f>
        <v>-4.7000000000000002E-3</v>
      </c>
      <c r="H22" s="91">
        <f>VLOOKUP($A22,'Data Vlaue (Cr)'!$C:$FB,91)</f>
        <v>458</v>
      </c>
      <c r="I22" s="91">
        <f>VLOOKUP($A22,'Data Vlaue (Cr)'!$C:$FB,93)</f>
        <v>-2</v>
      </c>
      <c r="J22" s="92">
        <f>VLOOKUP($A22,'Data Vlaue (Cr)'!$C:$FB,94)</f>
        <v>-3.3E-3</v>
      </c>
      <c r="K22" s="91">
        <f>VLOOKUP($A22,'Data Vlaue (Cr)'!$C:$FB,95)</f>
        <v>218</v>
      </c>
      <c r="L22" s="91">
        <f>VLOOKUP($A22,'Data Vlaue (Cr)'!$C:$FB,97)</f>
        <v>4</v>
      </c>
      <c r="M22" s="92">
        <f>VLOOKUP($A22,'Data Vlaue (Cr)'!$C:$FB,98)</f>
        <v>2.07E-2</v>
      </c>
      <c r="N22" s="91">
        <f>VLOOKUP($A22,'Data Vlaue (Cr)'!$C:$FB,79)</f>
        <v>1259</v>
      </c>
      <c r="O22" s="92">
        <f>VLOOKUP($A22,'Data Vlaue (Cr)'!$C:$FB,82)</f>
        <v>-8.9999999999999993E-3</v>
      </c>
    </row>
    <row r="23" spans="1:15" x14ac:dyDescent="0.25">
      <c r="A23" s="97" t="str">
        <f>'Data Vlaue (Cr)'!C18</f>
        <v>AUBANK</v>
      </c>
      <c r="B23" s="142">
        <f>VLOOKUP(A23,'Data Vlaue (Cr)'!C18:CW232,99,0)</f>
        <v>2746</v>
      </c>
      <c r="C23" s="90">
        <f>VLOOKUP(A23,'Data Vlaue (Cr)'!C18:CY232,101,0)</f>
        <v>29</v>
      </c>
      <c r="D23" s="139">
        <f>VLOOKUP(A23,'Data Vlaue (Cr)'!C18:CZ232,102,0)</f>
        <v>1.0699999999999999E-2</v>
      </c>
      <c r="E23" s="91">
        <f>VLOOKUP($A23,'Data Vlaue (Cr)'!$C:$FB,75)</f>
        <v>1712</v>
      </c>
      <c r="F23" s="91">
        <f>VLOOKUP($A23,'Data Vlaue (Cr)'!$C:$FB,77)</f>
        <v>-11</v>
      </c>
      <c r="G23" s="92">
        <f>VLOOKUP(A23,'Data Vlaue (Cr)'!C18:CB232,78,0)</f>
        <v>-6.4000000000000003E-3</v>
      </c>
      <c r="H23" s="91">
        <f>VLOOKUP($A23,'Data Vlaue (Cr)'!$C:$FB,91)</f>
        <v>530</v>
      </c>
      <c r="I23" s="91">
        <f>VLOOKUP($A23,'Data Vlaue (Cr)'!$C:$FB,93)</f>
        <v>44</v>
      </c>
      <c r="J23" s="92">
        <f>VLOOKUP($A23,'Data Vlaue (Cr)'!$C:$FB,94)</f>
        <v>9.1300000000000006E-2</v>
      </c>
      <c r="K23" s="91">
        <f>VLOOKUP($A23,'Data Vlaue (Cr)'!$C:$FB,95)</f>
        <v>504</v>
      </c>
      <c r="L23" s="91">
        <f>VLOOKUP($A23,'Data Vlaue (Cr)'!$C:$FB,97)</f>
        <v>-4</v>
      </c>
      <c r="M23" s="92">
        <f>VLOOKUP($A23,'Data Vlaue (Cr)'!$C:$FB,98)</f>
        <v>-8.0000000000000002E-3</v>
      </c>
      <c r="N23" s="91">
        <f>VLOOKUP($A23,'Data Vlaue (Cr)'!$C:$FB,79)</f>
        <v>1654</v>
      </c>
      <c r="O23" s="92">
        <f>VLOOKUP($A23,'Data Vlaue (Cr)'!$C:$FB,82)</f>
        <v>-1.7000000000000001E-2</v>
      </c>
    </row>
    <row r="24" spans="1:15" x14ac:dyDescent="0.25">
      <c r="A24" s="97" t="str">
        <f>'Data Vlaue (Cr)'!C19</f>
        <v>AUROPHARMA</v>
      </c>
      <c r="B24" s="142">
        <f>VLOOKUP(A24,'Data Vlaue (Cr)'!C19:CW233,99,0)</f>
        <v>3417</v>
      </c>
      <c r="C24" s="90">
        <f>VLOOKUP(A24,'Data Vlaue (Cr)'!C19:CY233,101,0)</f>
        <v>54</v>
      </c>
      <c r="D24" s="139">
        <f>VLOOKUP(A24,'Data Vlaue (Cr)'!C19:CZ233,102,0)</f>
        <v>1.61E-2</v>
      </c>
      <c r="E24" s="91">
        <f>VLOOKUP($A24,'Data Vlaue (Cr)'!$C:$FB,75)</f>
        <v>2562</v>
      </c>
      <c r="F24" s="91">
        <f>VLOOKUP($A24,'Data Vlaue (Cr)'!$C:$FB,77)</f>
        <v>37</v>
      </c>
      <c r="G24" s="92">
        <f>VLOOKUP(A24,'Data Vlaue (Cr)'!C19:CB233,78,0)</f>
        <v>1.46E-2</v>
      </c>
      <c r="H24" s="91">
        <f>VLOOKUP($A24,'Data Vlaue (Cr)'!$C:$FB,91)</f>
        <v>521</v>
      </c>
      <c r="I24" s="91">
        <f>VLOOKUP($A24,'Data Vlaue (Cr)'!$C:$FB,93)</f>
        <v>9</v>
      </c>
      <c r="J24" s="92">
        <f>VLOOKUP($A24,'Data Vlaue (Cr)'!$C:$FB,94)</f>
        <v>1.84E-2</v>
      </c>
      <c r="K24" s="91">
        <f>VLOOKUP($A24,'Data Vlaue (Cr)'!$C:$FB,95)</f>
        <v>334</v>
      </c>
      <c r="L24" s="91">
        <f>VLOOKUP($A24,'Data Vlaue (Cr)'!$C:$FB,97)</f>
        <v>8</v>
      </c>
      <c r="M24" s="92">
        <f>VLOOKUP($A24,'Data Vlaue (Cr)'!$C:$FB,98)</f>
        <v>2.4E-2</v>
      </c>
      <c r="N24" s="91">
        <f>VLOOKUP($A24,'Data Vlaue (Cr)'!$C:$FB,79)</f>
        <v>2471</v>
      </c>
      <c r="O24" s="92">
        <f>VLOOKUP($A24,'Data Vlaue (Cr)'!$C:$FB,82)</f>
        <v>6.6E-3</v>
      </c>
    </row>
    <row r="25" spans="1:15" x14ac:dyDescent="0.25">
      <c r="A25" s="97" t="str">
        <f>'Data Vlaue (Cr)'!C20</f>
        <v>AXISBANK</v>
      </c>
      <c r="B25" s="142">
        <f>VLOOKUP(A25,'Data Vlaue (Cr)'!C20:CW234,99,0)</f>
        <v>15353</v>
      </c>
      <c r="C25" s="90">
        <f>VLOOKUP(A25,'Data Vlaue (Cr)'!C20:CY234,101,0)</f>
        <v>-349</v>
      </c>
      <c r="D25" s="139">
        <f>VLOOKUP(A25,'Data Vlaue (Cr)'!C20:CZ234,102,0)</f>
        <v>-2.2200000000000001E-2</v>
      </c>
      <c r="E25" s="91">
        <f>VLOOKUP($A25,'Data Vlaue (Cr)'!$C:$FB,75)</f>
        <v>9162</v>
      </c>
      <c r="F25" s="91">
        <f>VLOOKUP($A25,'Data Vlaue (Cr)'!$C:$FB,77)</f>
        <v>-343</v>
      </c>
      <c r="G25" s="92">
        <f>VLOOKUP(A25,'Data Vlaue (Cr)'!C20:CB234,78,0)</f>
        <v>-3.61E-2</v>
      </c>
      <c r="H25" s="91">
        <f>VLOOKUP($A25,'Data Vlaue (Cr)'!$C:$FB,91)</f>
        <v>3916</v>
      </c>
      <c r="I25" s="91">
        <f>VLOOKUP($A25,'Data Vlaue (Cr)'!$C:$FB,93)</f>
        <v>70</v>
      </c>
      <c r="J25" s="92">
        <f>VLOOKUP($A25,'Data Vlaue (Cr)'!$C:$FB,94)</f>
        <v>1.8200000000000001E-2</v>
      </c>
      <c r="K25" s="91">
        <f>VLOOKUP($A25,'Data Vlaue (Cr)'!$C:$FB,95)</f>
        <v>2275</v>
      </c>
      <c r="L25" s="91">
        <f>VLOOKUP($A25,'Data Vlaue (Cr)'!$C:$FB,97)</f>
        <v>-76</v>
      </c>
      <c r="M25" s="92">
        <f>VLOOKUP($A25,'Data Vlaue (Cr)'!$C:$FB,98)</f>
        <v>-3.2399999999999998E-2</v>
      </c>
      <c r="N25" s="91">
        <f>VLOOKUP($A25,'Data Vlaue (Cr)'!$C:$FB,79)</f>
        <v>8785</v>
      </c>
      <c r="O25" s="92">
        <f>VLOOKUP($A25,'Data Vlaue (Cr)'!$C:$FB,82)</f>
        <v>-4.5400000000000003E-2</v>
      </c>
    </row>
    <row r="26" spans="1:15" x14ac:dyDescent="0.25">
      <c r="A26" s="97" t="str">
        <f>'Data Vlaue (Cr)'!C21</f>
        <v>BAJAJ-AUTO</v>
      </c>
      <c r="B26" s="142">
        <f>VLOOKUP(A26,'Data Vlaue (Cr)'!C21:CW235,99,0)</f>
        <v>5209</v>
      </c>
      <c r="C26" s="90">
        <f>VLOOKUP(A26,'Data Vlaue (Cr)'!C21:CY235,101,0)</f>
        <v>-236</v>
      </c>
      <c r="D26" s="139">
        <f>VLOOKUP(A26,'Data Vlaue (Cr)'!C21:CZ235,102,0)</f>
        <v>-4.3299999999999998E-2</v>
      </c>
      <c r="E26" s="91">
        <f>VLOOKUP($A26,'Data Vlaue (Cr)'!$C:$FB,75)</f>
        <v>2799</v>
      </c>
      <c r="F26" s="91">
        <f>VLOOKUP($A26,'Data Vlaue (Cr)'!$C:$FB,77)</f>
        <v>-6</v>
      </c>
      <c r="G26" s="92">
        <f>VLOOKUP(A26,'Data Vlaue (Cr)'!C21:CB235,78,0)</f>
        <v>-2.2000000000000001E-3</v>
      </c>
      <c r="H26" s="91">
        <f>VLOOKUP($A26,'Data Vlaue (Cr)'!$C:$FB,91)</f>
        <v>1442</v>
      </c>
      <c r="I26" s="91">
        <f>VLOOKUP($A26,'Data Vlaue (Cr)'!$C:$FB,93)</f>
        <v>-199</v>
      </c>
      <c r="J26" s="92">
        <f>VLOOKUP($A26,'Data Vlaue (Cr)'!$C:$FB,94)</f>
        <v>-0.1215</v>
      </c>
      <c r="K26" s="91">
        <f>VLOOKUP($A26,'Data Vlaue (Cr)'!$C:$FB,95)</f>
        <v>968</v>
      </c>
      <c r="L26" s="91">
        <f>VLOOKUP($A26,'Data Vlaue (Cr)'!$C:$FB,97)</f>
        <v>-30</v>
      </c>
      <c r="M26" s="92">
        <f>VLOOKUP($A26,'Data Vlaue (Cr)'!$C:$FB,98)</f>
        <v>-3.0300000000000001E-2</v>
      </c>
      <c r="N26" s="91">
        <f>VLOOKUP($A26,'Data Vlaue (Cr)'!$C:$FB,79)</f>
        <v>2640</v>
      </c>
      <c r="O26" s="92">
        <f>VLOOKUP($A26,'Data Vlaue (Cr)'!$C:$FB,82)</f>
        <v>-8.3000000000000001E-3</v>
      </c>
    </row>
    <row r="27" spans="1:15" x14ac:dyDescent="0.25">
      <c r="A27" s="97" t="str">
        <f>'Data Vlaue (Cr)'!C22</f>
        <v>BAJAJFINSV</v>
      </c>
      <c r="B27" s="142">
        <f>VLOOKUP(A27,'Data Vlaue (Cr)'!C22:CW236,99,0)</f>
        <v>6094</v>
      </c>
      <c r="C27" s="90">
        <f>VLOOKUP(A27,'Data Vlaue (Cr)'!C22:CY236,101,0)</f>
        <v>186</v>
      </c>
      <c r="D27" s="139">
        <f>VLOOKUP(A27,'Data Vlaue (Cr)'!C22:CZ236,102,0)</f>
        <v>3.1399999999999997E-2</v>
      </c>
      <c r="E27" s="91">
        <f>VLOOKUP($A27,'Data Vlaue (Cr)'!$C:$FB,75)</f>
        <v>3910</v>
      </c>
      <c r="F27" s="91">
        <f>VLOOKUP($A27,'Data Vlaue (Cr)'!$C:$FB,77)</f>
        <v>91</v>
      </c>
      <c r="G27" s="92">
        <f>VLOOKUP(A27,'Data Vlaue (Cr)'!C22:CB236,78,0)</f>
        <v>2.4E-2</v>
      </c>
      <c r="H27" s="91">
        <f>VLOOKUP($A27,'Data Vlaue (Cr)'!$C:$FB,91)</f>
        <v>1238</v>
      </c>
      <c r="I27" s="91">
        <f>VLOOKUP($A27,'Data Vlaue (Cr)'!$C:$FB,93)</f>
        <v>21</v>
      </c>
      <c r="J27" s="92">
        <f>VLOOKUP($A27,'Data Vlaue (Cr)'!$C:$FB,94)</f>
        <v>1.7600000000000001E-2</v>
      </c>
      <c r="K27" s="91">
        <f>VLOOKUP($A27,'Data Vlaue (Cr)'!$C:$FB,95)</f>
        <v>946</v>
      </c>
      <c r="L27" s="91">
        <f>VLOOKUP($A27,'Data Vlaue (Cr)'!$C:$FB,97)</f>
        <v>73</v>
      </c>
      <c r="M27" s="92">
        <f>VLOOKUP($A27,'Data Vlaue (Cr)'!$C:$FB,98)</f>
        <v>8.3500000000000005E-2</v>
      </c>
      <c r="N27" s="91">
        <f>VLOOKUP($A27,'Data Vlaue (Cr)'!$C:$FB,79)</f>
        <v>3796</v>
      </c>
      <c r="O27" s="92">
        <f>VLOOKUP($A27,'Data Vlaue (Cr)'!$C:$FB,82)</f>
        <v>1.67E-2</v>
      </c>
    </row>
    <row r="28" spans="1:15" x14ac:dyDescent="0.25">
      <c r="A28" s="97" t="str">
        <f>'Data Vlaue (Cr)'!C23</f>
        <v>BAJFINANCE</v>
      </c>
      <c r="B28" s="142">
        <f>VLOOKUP(A28,'Data Vlaue (Cr)'!C23:CW237,99,0)</f>
        <v>13451</v>
      </c>
      <c r="C28" s="90">
        <f>VLOOKUP(A28,'Data Vlaue (Cr)'!C23:CY237,101,0)</f>
        <v>276</v>
      </c>
      <c r="D28" s="139">
        <f>VLOOKUP(A28,'Data Vlaue (Cr)'!C23:CZ237,102,0)</f>
        <v>2.0899999999999998E-2</v>
      </c>
      <c r="E28" s="91">
        <f>VLOOKUP($A28,'Data Vlaue (Cr)'!$C:$FB,75)</f>
        <v>9606</v>
      </c>
      <c r="F28" s="91">
        <f>VLOOKUP($A28,'Data Vlaue (Cr)'!$C:$FB,77)</f>
        <v>27</v>
      </c>
      <c r="G28" s="92">
        <f>VLOOKUP(A28,'Data Vlaue (Cr)'!C23:CB237,78,0)</f>
        <v>2.8E-3</v>
      </c>
      <c r="H28" s="91">
        <f>VLOOKUP($A28,'Data Vlaue (Cr)'!$C:$FB,91)</f>
        <v>2029</v>
      </c>
      <c r="I28" s="91">
        <f>VLOOKUP($A28,'Data Vlaue (Cr)'!$C:$FB,93)</f>
        <v>96</v>
      </c>
      <c r="J28" s="92">
        <f>VLOOKUP($A28,'Data Vlaue (Cr)'!$C:$FB,94)</f>
        <v>4.9500000000000002E-2</v>
      </c>
      <c r="K28" s="91">
        <f>VLOOKUP($A28,'Data Vlaue (Cr)'!$C:$FB,95)</f>
        <v>1815</v>
      </c>
      <c r="L28" s="91">
        <f>VLOOKUP($A28,'Data Vlaue (Cr)'!$C:$FB,97)</f>
        <v>153</v>
      </c>
      <c r="M28" s="92">
        <f>VLOOKUP($A28,'Data Vlaue (Cr)'!$C:$FB,98)</f>
        <v>9.1899999999999996E-2</v>
      </c>
      <c r="N28" s="91">
        <f>VLOOKUP($A28,'Data Vlaue (Cr)'!$C:$FB,79)</f>
        <v>9303</v>
      </c>
      <c r="O28" s="92">
        <f>VLOOKUP($A28,'Data Vlaue (Cr)'!$C:$FB,82)</f>
        <v>-1.9E-3</v>
      </c>
    </row>
    <row r="29" spans="1:15" x14ac:dyDescent="0.25">
      <c r="A29" s="97" t="str">
        <f>'Data Vlaue (Cr)'!C24</f>
        <v>BANDHANBNK</v>
      </c>
      <c r="B29" s="142">
        <f>VLOOKUP(A29,'Data Vlaue (Cr)'!C24:CW238,99,0)</f>
        <v>3082</v>
      </c>
      <c r="C29" s="90">
        <f>VLOOKUP(A29,'Data Vlaue (Cr)'!C24:CY238,101,0)</f>
        <v>151</v>
      </c>
      <c r="D29" s="139">
        <f>VLOOKUP(A29,'Data Vlaue (Cr)'!C24:CZ238,102,0)</f>
        <v>5.1700000000000003E-2</v>
      </c>
      <c r="E29" s="91">
        <f>VLOOKUP($A29,'Data Vlaue (Cr)'!$C:$FB,75)</f>
        <v>1751</v>
      </c>
      <c r="F29" s="91">
        <f>VLOOKUP($A29,'Data Vlaue (Cr)'!$C:$FB,77)</f>
        <v>47</v>
      </c>
      <c r="G29" s="92">
        <f>VLOOKUP(A29,'Data Vlaue (Cr)'!C24:CB238,78,0)</f>
        <v>2.7699999999999999E-2</v>
      </c>
      <c r="H29" s="91">
        <f>VLOOKUP($A29,'Data Vlaue (Cr)'!$C:$FB,91)</f>
        <v>779</v>
      </c>
      <c r="I29" s="91">
        <f>VLOOKUP($A29,'Data Vlaue (Cr)'!$C:$FB,93)</f>
        <v>86</v>
      </c>
      <c r="J29" s="92">
        <f>VLOOKUP($A29,'Data Vlaue (Cr)'!$C:$FB,94)</f>
        <v>0.1234</v>
      </c>
      <c r="K29" s="91">
        <f>VLOOKUP($A29,'Data Vlaue (Cr)'!$C:$FB,95)</f>
        <v>552</v>
      </c>
      <c r="L29" s="91">
        <f>VLOOKUP($A29,'Data Vlaue (Cr)'!$C:$FB,97)</f>
        <v>19</v>
      </c>
      <c r="M29" s="92">
        <f>VLOOKUP($A29,'Data Vlaue (Cr)'!$C:$FB,98)</f>
        <v>3.4700000000000002E-2</v>
      </c>
      <c r="N29" s="91">
        <f>VLOOKUP($A29,'Data Vlaue (Cr)'!$C:$FB,79)</f>
        <v>1429</v>
      </c>
      <c r="O29" s="92">
        <f>VLOOKUP($A29,'Data Vlaue (Cr)'!$C:$FB,82)</f>
        <v>1.9E-3</v>
      </c>
    </row>
    <row r="30" spans="1:15" x14ac:dyDescent="0.25">
      <c r="A30" s="97" t="str">
        <f>'Data Vlaue (Cr)'!C25</f>
        <v>BANKBARODA</v>
      </c>
      <c r="B30" s="142">
        <f>VLOOKUP(A30,'Data Vlaue (Cr)'!C25:CW239,99,0)</f>
        <v>5434</v>
      </c>
      <c r="C30" s="90">
        <f>VLOOKUP(A30,'Data Vlaue (Cr)'!C25:CY239,101,0)</f>
        <v>63</v>
      </c>
      <c r="D30" s="139">
        <f>VLOOKUP(A30,'Data Vlaue (Cr)'!C25:CZ239,102,0)</f>
        <v>1.1599999999999999E-2</v>
      </c>
      <c r="E30" s="91">
        <f>VLOOKUP($A30,'Data Vlaue (Cr)'!$C:$FB,75)</f>
        <v>3309</v>
      </c>
      <c r="F30" s="91">
        <f>VLOOKUP($A30,'Data Vlaue (Cr)'!$C:$FB,77)</f>
        <v>18</v>
      </c>
      <c r="G30" s="92">
        <f>VLOOKUP(A30,'Data Vlaue (Cr)'!C25:CB239,78,0)</f>
        <v>5.4000000000000003E-3</v>
      </c>
      <c r="H30" s="91">
        <f>VLOOKUP($A30,'Data Vlaue (Cr)'!$C:$FB,91)</f>
        <v>1264</v>
      </c>
      <c r="I30" s="91">
        <f>VLOOKUP($A30,'Data Vlaue (Cr)'!$C:$FB,93)</f>
        <v>58</v>
      </c>
      <c r="J30" s="92">
        <f>VLOOKUP($A30,'Data Vlaue (Cr)'!$C:$FB,94)</f>
        <v>4.7899999999999998E-2</v>
      </c>
      <c r="K30" s="91">
        <f>VLOOKUP($A30,'Data Vlaue (Cr)'!$C:$FB,95)</f>
        <v>860</v>
      </c>
      <c r="L30" s="91">
        <f>VLOOKUP($A30,'Data Vlaue (Cr)'!$C:$FB,97)</f>
        <v>-13</v>
      </c>
      <c r="M30" s="92">
        <f>VLOOKUP($A30,'Data Vlaue (Cr)'!$C:$FB,98)</f>
        <v>-1.49E-2</v>
      </c>
      <c r="N30" s="91">
        <f>VLOOKUP($A30,'Data Vlaue (Cr)'!$C:$FB,79)</f>
        <v>3153</v>
      </c>
      <c r="O30" s="92">
        <f>VLOOKUP($A30,'Data Vlaue (Cr)'!$C:$FB,82)</f>
        <v>-1.2999999999999999E-3</v>
      </c>
    </row>
    <row r="31" spans="1:15" x14ac:dyDescent="0.25">
      <c r="A31" s="97" t="str">
        <f>'Data Vlaue (Cr)'!C26</f>
        <v>BANKINDIA</v>
      </c>
      <c r="B31" s="142">
        <f>VLOOKUP(A31,'Data Vlaue (Cr)'!C26:CW240,99,0)</f>
        <v>1501</v>
      </c>
      <c r="C31" s="90">
        <f>VLOOKUP(A31,'Data Vlaue (Cr)'!C26:CY240,101,0)</f>
        <v>7</v>
      </c>
      <c r="D31" s="139">
        <f>VLOOKUP(A31,'Data Vlaue (Cr)'!C26:CZ240,102,0)</f>
        <v>5.0000000000000001E-3</v>
      </c>
      <c r="E31" s="91">
        <f>VLOOKUP($A31,'Data Vlaue (Cr)'!$C:$FB,75)</f>
        <v>885</v>
      </c>
      <c r="F31" s="91">
        <f>VLOOKUP($A31,'Data Vlaue (Cr)'!$C:$FB,77)</f>
        <v>2</v>
      </c>
      <c r="G31" s="92">
        <f>VLOOKUP(A31,'Data Vlaue (Cr)'!C26:CB240,78,0)</f>
        <v>2.3999999999999998E-3</v>
      </c>
      <c r="H31" s="91">
        <f>VLOOKUP($A31,'Data Vlaue (Cr)'!$C:$FB,91)</f>
        <v>397</v>
      </c>
      <c r="I31" s="91">
        <f>VLOOKUP($A31,'Data Vlaue (Cr)'!$C:$FB,93)</f>
        <v>0</v>
      </c>
      <c r="J31" s="92">
        <f>VLOOKUP($A31,'Data Vlaue (Cr)'!$C:$FB,94)</f>
        <v>-1.1999999999999999E-3</v>
      </c>
      <c r="K31" s="91">
        <f>VLOOKUP($A31,'Data Vlaue (Cr)'!$C:$FB,95)</f>
        <v>218</v>
      </c>
      <c r="L31" s="91">
        <f>VLOOKUP($A31,'Data Vlaue (Cr)'!$C:$FB,97)</f>
        <v>6</v>
      </c>
      <c r="M31" s="92">
        <f>VLOOKUP($A31,'Data Vlaue (Cr)'!$C:$FB,98)</f>
        <v>2.7400000000000001E-2</v>
      </c>
      <c r="N31" s="91">
        <f>VLOOKUP($A31,'Data Vlaue (Cr)'!$C:$FB,79)</f>
        <v>815</v>
      </c>
      <c r="O31" s="92">
        <f>VLOOKUP($A31,'Data Vlaue (Cr)'!$C:$FB,82)</f>
        <v>-8.8000000000000005E-3</v>
      </c>
    </row>
    <row r="32" spans="1:15" x14ac:dyDescent="0.25">
      <c r="A32" s="97" t="str">
        <f>'Data Vlaue (Cr)'!C27</f>
        <v>BANKNIFTY</v>
      </c>
      <c r="B32" s="142">
        <f>VLOOKUP(A32,'Data Vlaue (Cr)'!C27:CW241,99,0)</f>
        <v>259421</v>
      </c>
      <c r="C32" s="90">
        <f>VLOOKUP(A32,'Data Vlaue (Cr)'!C27:CY241,101,0)</f>
        <v>6103</v>
      </c>
      <c r="D32" s="139">
        <f>VLOOKUP(A32,'Data Vlaue (Cr)'!C27:CZ241,102,0)</f>
        <v>2.41E-2</v>
      </c>
      <c r="E32" s="91">
        <f>VLOOKUP($A32,'Data Vlaue (Cr)'!$C:$FB,75)</f>
        <v>11402</v>
      </c>
      <c r="F32" s="91">
        <f>VLOOKUP($A32,'Data Vlaue (Cr)'!$C:$FB,77)</f>
        <v>206</v>
      </c>
      <c r="G32" s="92">
        <f>VLOOKUP(A32,'Data Vlaue (Cr)'!C27:CB241,78,0)</f>
        <v>1.84E-2</v>
      </c>
      <c r="H32" s="91">
        <f>VLOOKUP($A32,'Data Vlaue (Cr)'!$C:$FB,91)</f>
        <v>113553</v>
      </c>
      <c r="I32" s="91">
        <f>VLOOKUP($A32,'Data Vlaue (Cr)'!$C:$FB,93)</f>
        <v>-1791</v>
      </c>
      <c r="J32" s="92">
        <f>VLOOKUP($A32,'Data Vlaue (Cr)'!$C:$FB,94)</f>
        <v>-1.55E-2</v>
      </c>
      <c r="K32" s="91">
        <f>VLOOKUP($A32,'Data Vlaue (Cr)'!$C:$FB,95)</f>
        <v>134467</v>
      </c>
      <c r="L32" s="91">
        <f>VLOOKUP($A32,'Data Vlaue (Cr)'!$C:$FB,97)</f>
        <v>7687</v>
      </c>
      <c r="M32" s="92">
        <f>VLOOKUP($A32,'Data Vlaue (Cr)'!$C:$FB,98)</f>
        <v>6.0600000000000001E-2</v>
      </c>
      <c r="N32" s="91">
        <f>VLOOKUP($A32,'Data Vlaue (Cr)'!$C:$FB,79)</f>
        <v>9732</v>
      </c>
      <c r="O32" s="92">
        <f>VLOOKUP($A32,'Data Vlaue (Cr)'!$C:$FB,82)</f>
        <v>-1E-3</v>
      </c>
    </row>
    <row r="33" spans="1:15" x14ac:dyDescent="0.25">
      <c r="A33" s="97" t="str">
        <f>'Data Vlaue (Cr)'!C28</f>
        <v>BDL</v>
      </c>
      <c r="B33" s="142">
        <f>VLOOKUP(A33,'Data Vlaue (Cr)'!C28:CW242,99,0)</f>
        <v>1580</v>
      </c>
      <c r="C33" s="90">
        <f>VLOOKUP(A33,'Data Vlaue (Cr)'!C28:CY242,101,0)</f>
        <v>11</v>
      </c>
      <c r="D33" s="139">
        <f>VLOOKUP(A33,'Data Vlaue (Cr)'!C28:CZ242,102,0)</f>
        <v>6.7999999999999996E-3</v>
      </c>
      <c r="E33" s="91">
        <f>VLOOKUP($A33,'Data Vlaue (Cr)'!$C:$FB,75)</f>
        <v>696</v>
      </c>
      <c r="F33" s="91">
        <f>VLOOKUP($A33,'Data Vlaue (Cr)'!$C:$FB,77)</f>
        <v>8</v>
      </c>
      <c r="G33" s="92">
        <f>VLOOKUP(A33,'Data Vlaue (Cr)'!C28:CB242,78,0)</f>
        <v>1.1299999999999999E-2</v>
      </c>
      <c r="H33" s="91">
        <f>VLOOKUP($A33,'Data Vlaue (Cr)'!$C:$FB,91)</f>
        <v>559</v>
      </c>
      <c r="I33" s="91">
        <f>VLOOKUP($A33,'Data Vlaue (Cr)'!$C:$FB,93)</f>
        <v>-4</v>
      </c>
      <c r="J33" s="92">
        <f>VLOOKUP($A33,'Data Vlaue (Cr)'!$C:$FB,94)</f>
        <v>-6.7999999999999996E-3</v>
      </c>
      <c r="K33" s="91">
        <f>VLOOKUP($A33,'Data Vlaue (Cr)'!$C:$FB,95)</f>
        <v>325</v>
      </c>
      <c r="L33" s="91">
        <f>VLOOKUP($A33,'Data Vlaue (Cr)'!$C:$FB,97)</f>
        <v>7</v>
      </c>
      <c r="M33" s="92">
        <f>VLOOKUP($A33,'Data Vlaue (Cr)'!$C:$FB,98)</f>
        <v>2.1100000000000001E-2</v>
      </c>
      <c r="N33" s="91">
        <f>VLOOKUP($A33,'Data Vlaue (Cr)'!$C:$FB,79)</f>
        <v>630</v>
      </c>
      <c r="O33" s="92">
        <f>VLOOKUP($A33,'Data Vlaue (Cr)'!$C:$FB,82)</f>
        <v>-5.0000000000000001E-3</v>
      </c>
    </row>
    <row r="34" spans="1:15" x14ac:dyDescent="0.25">
      <c r="A34" s="97" t="str">
        <f>'Data Vlaue (Cr)'!C29</f>
        <v>BEL</v>
      </c>
      <c r="B34" s="142">
        <f>VLOOKUP(A34,'Data Vlaue (Cr)'!C29:CW243,99,0)</f>
        <v>9352</v>
      </c>
      <c r="C34" s="90">
        <f>VLOOKUP(A34,'Data Vlaue (Cr)'!C29:CY243,101,0)</f>
        <v>-106</v>
      </c>
      <c r="D34" s="139">
        <f>VLOOKUP(A34,'Data Vlaue (Cr)'!C29:CZ243,102,0)</f>
        <v>-1.1299999999999999E-2</v>
      </c>
      <c r="E34" s="91">
        <f>VLOOKUP($A34,'Data Vlaue (Cr)'!$C:$FB,75)</f>
        <v>4646</v>
      </c>
      <c r="F34" s="91">
        <f>VLOOKUP($A34,'Data Vlaue (Cr)'!$C:$FB,77)</f>
        <v>9</v>
      </c>
      <c r="G34" s="92">
        <f>VLOOKUP(A34,'Data Vlaue (Cr)'!C29:CB243,78,0)</f>
        <v>2E-3</v>
      </c>
      <c r="H34" s="91">
        <f>VLOOKUP($A34,'Data Vlaue (Cr)'!$C:$FB,91)</f>
        <v>2976</v>
      </c>
      <c r="I34" s="91">
        <f>VLOOKUP($A34,'Data Vlaue (Cr)'!$C:$FB,93)</f>
        <v>-114</v>
      </c>
      <c r="J34" s="92">
        <f>VLOOKUP($A34,'Data Vlaue (Cr)'!$C:$FB,94)</f>
        <v>-3.6999999999999998E-2</v>
      </c>
      <c r="K34" s="91">
        <f>VLOOKUP($A34,'Data Vlaue (Cr)'!$C:$FB,95)</f>
        <v>1730</v>
      </c>
      <c r="L34" s="91">
        <f>VLOOKUP($A34,'Data Vlaue (Cr)'!$C:$FB,97)</f>
        <v>-2</v>
      </c>
      <c r="M34" s="92">
        <f>VLOOKUP($A34,'Data Vlaue (Cr)'!$C:$FB,98)</f>
        <v>-8.9999999999999998E-4</v>
      </c>
      <c r="N34" s="91">
        <f>VLOOKUP($A34,'Data Vlaue (Cr)'!$C:$FB,79)</f>
        <v>4149</v>
      </c>
      <c r="O34" s="92">
        <f>VLOOKUP($A34,'Data Vlaue (Cr)'!$C:$FB,82)</f>
        <v>-5.4999999999999997E-3</v>
      </c>
    </row>
    <row r="35" spans="1:15" x14ac:dyDescent="0.25">
      <c r="A35" s="97" t="str">
        <f>'Data Vlaue (Cr)'!C30</f>
        <v>BHARATFORG</v>
      </c>
      <c r="B35" s="142">
        <f>VLOOKUP(A35,'Data Vlaue (Cr)'!C30:CW244,99,0)</f>
        <v>2347</v>
      </c>
      <c r="C35" s="90">
        <f>VLOOKUP(A35,'Data Vlaue (Cr)'!C30:CY244,101,0)</f>
        <v>87</v>
      </c>
      <c r="D35" s="139">
        <f>VLOOKUP(A35,'Data Vlaue (Cr)'!C30:CZ244,102,0)</f>
        <v>3.85E-2</v>
      </c>
      <c r="E35" s="91">
        <f>VLOOKUP($A35,'Data Vlaue (Cr)'!$C:$FB,75)</f>
        <v>1514</v>
      </c>
      <c r="F35" s="91">
        <f>VLOOKUP($A35,'Data Vlaue (Cr)'!$C:$FB,77)</f>
        <v>-37</v>
      </c>
      <c r="G35" s="92">
        <f>VLOOKUP(A35,'Data Vlaue (Cr)'!C30:CB244,78,0)</f>
        <v>-2.3599999999999999E-2</v>
      </c>
      <c r="H35" s="91">
        <f>VLOOKUP($A35,'Data Vlaue (Cr)'!$C:$FB,91)</f>
        <v>518</v>
      </c>
      <c r="I35" s="91">
        <f>VLOOKUP($A35,'Data Vlaue (Cr)'!$C:$FB,93)</f>
        <v>91</v>
      </c>
      <c r="J35" s="92">
        <f>VLOOKUP($A35,'Data Vlaue (Cr)'!$C:$FB,94)</f>
        <v>0.21299999999999999</v>
      </c>
      <c r="K35" s="91">
        <f>VLOOKUP($A35,'Data Vlaue (Cr)'!$C:$FB,95)</f>
        <v>315</v>
      </c>
      <c r="L35" s="91">
        <f>VLOOKUP($A35,'Data Vlaue (Cr)'!$C:$FB,97)</f>
        <v>33</v>
      </c>
      <c r="M35" s="92">
        <f>VLOOKUP($A35,'Data Vlaue (Cr)'!$C:$FB,98)</f>
        <v>0.1152</v>
      </c>
      <c r="N35" s="91">
        <f>VLOOKUP($A35,'Data Vlaue (Cr)'!$C:$FB,79)</f>
        <v>1295</v>
      </c>
      <c r="O35" s="92">
        <f>VLOOKUP($A35,'Data Vlaue (Cr)'!$C:$FB,82)</f>
        <v>-6.7299999999999999E-2</v>
      </c>
    </row>
    <row r="36" spans="1:15" x14ac:dyDescent="0.25">
      <c r="A36" s="97" t="str">
        <f>'Data Vlaue (Cr)'!C31</f>
        <v>BHARTIARTL</v>
      </c>
      <c r="B36" s="142">
        <f>VLOOKUP(A36,'Data Vlaue (Cr)'!C31:CW245,99,0)</f>
        <v>13765</v>
      </c>
      <c r="C36" s="90">
        <f>VLOOKUP(A36,'Data Vlaue (Cr)'!C31:CY245,101,0)</f>
        <v>53</v>
      </c>
      <c r="D36" s="139">
        <f>VLOOKUP(A36,'Data Vlaue (Cr)'!C31:CZ245,102,0)</f>
        <v>3.8999999999999998E-3</v>
      </c>
      <c r="E36" s="91">
        <f>VLOOKUP($A36,'Data Vlaue (Cr)'!$C:$FB,75)</f>
        <v>9684</v>
      </c>
      <c r="F36" s="91">
        <f>VLOOKUP($A36,'Data Vlaue (Cr)'!$C:$FB,77)</f>
        <v>-11</v>
      </c>
      <c r="G36" s="92">
        <f>VLOOKUP(A36,'Data Vlaue (Cr)'!C31:CB245,78,0)</f>
        <v>-1.1000000000000001E-3</v>
      </c>
      <c r="H36" s="91">
        <f>VLOOKUP($A36,'Data Vlaue (Cr)'!$C:$FB,91)</f>
        <v>2591</v>
      </c>
      <c r="I36" s="91">
        <f>VLOOKUP($A36,'Data Vlaue (Cr)'!$C:$FB,93)</f>
        <v>43</v>
      </c>
      <c r="J36" s="92">
        <f>VLOOKUP($A36,'Data Vlaue (Cr)'!$C:$FB,94)</f>
        <v>1.7000000000000001E-2</v>
      </c>
      <c r="K36" s="91">
        <f>VLOOKUP($A36,'Data Vlaue (Cr)'!$C:$FB,95)</f>
        <v>1490</v>
      </c>
      <c r="L36" s="91">
        <f>VLOOKUP($A36,'Data Vlaue (Cr)'!$C:$FB,97)</f>
        <v>21</v>
      </c>
      <c r="M36" s="92">
        <f>VLOOKUP($A36,'Data Vlaue (Cr)'!$C:$FB,98)</f>
        <v>1.4200000000000001E-2</v>
      </c>
      <c r="N36" s="91">
        <f>VLOOKUP($A36,'Data Vlaue (Cr)'!$C:$FB,79)</f>
        <v>8839</v>
      </c>
      <c r="O36" s="92">
        <f>VLOOKUP($A36,'Data Vlaue (Cr)'!$C:$FB,82)</f>
        <v>-1.5699999999999999E-2</v>
      </c>
    </row>
    <row r="37" spans="1:15" x14ac:dyDescent="0.25">
      <c r="A37" s="97" t="str">
        <f>'Data Vlaue (Cr)'!C32</f>
        <v>BHEL</v>
      </c>
      <c r="B37" s="142">
        <f>VLOOKUP(A37,'Data Vlaue (Cr)'!C32:CW246,99,0)</f>
        <v>2465</v>
      </c>
      <c r="C37" s="90">
        <f>VLOOKUP(A37,'Data Vlaue (Cr)'!C32:CY246,101,0)</f>
        <v>24</v>
      </c>
      <c r="D37" s="139">
        <f>VLOOKUP(A37,'Data Vlaue (Cr)'!C32:CZ246,102,0)</f>
        <v>0.01</v>
      </c>
      <c r="E37" s="91">
        <f>VLOOKUP($A37,'Data Vlaue (Cr)'!$C:$FB,75)</f>
        <v>1423</v>
      </c>
      <c r="F37" s="91">
        <f>VLOOKUP($A37,'Data Vlaue (Cr)'!$C:$FB,77)</f>
        <v>16</v>
      </c>
      <c r="G37" s="92">
        <f>VLOOKUP(A37,'Data Vlaue (Cr)'!C32:CB246,78,0)</f>
        <v>1.1299999999999999E-2</v>
      </c>
      <c r="H37" s="91">
        <f>VLOOKUP($A37,'Data Vlaue (Cr)'!$C:$FB,91)</f>
        <v>659</v>
      </c>
      <c r="I37" s="91">
        <f>VLOOKUP($A37,'Data Vlaue (Cr)'!$C:$FB,93)</f>
        <v>17</v>
      </c>
      <c r="J37" s="92">
        <f>VLOOKUP($A37,'Data Vlaue (Cr)'!$C:$FB,94)</f>
        <v>2.5700000000000001E-2</v>
      </c>
      <c r="K37" s="91">
        <f>VLOOKUP($A37,'Data Vlaue (Cr)'!$C:$FB,95)</f>
        <v>383</v>
      </c>
      <c r="L37" s="91">
        <f>VLOOKUP($A37,'Data Vlaue (Cr)'!$C:$FB,97)</f>
        <v>-8</v>
      </c>
      <c r="M37" s="92">
        <f>VLOOKUP($A37,'Data Vlaue (Cr)'!$C:$FB,98)</f>
        <v>-2.0500000000000001E-2</v>
      </c>
      <c r="N37" s="91">
        <f>VLOOKUP($A37,'Data Vlaue (Cr)'!$C:$FB,79)</f>
        <v>1348</v>
      </c>
      <c r="O37" s="92">
        <f>VLOOKUP($A37,'Data Vlaue (Cr)'!$C:$FB,82)</f>
        <v>3.7000000000000002E-3</v>
      </c>
    </row>
    <row r="38" spans="1:15" x14ac:dyDescent="0.25">
      <c r="A38" s="97" t="str">
        <f>'Data Vlaue (Cr)'!C33</f>
        <v>BIOCON</v>
      </c>
      <c r="B38" s="142">
        <f>VLOOKUP(A38,'Data Vlaue (Cr)'!C33:CW247,99,0)</f>
        <v>2530</v>
      </c>
      <c r="C38" s="90">
        <f>VLOOKUP(A38,'Data Vlaue (Cr)'!C33:CY247,101,0)</f>
        <v>-26</v>
      </c>
      <c r="D38" s="139">
        <f>VLOOKUP(A38,'Data Vlaue (Cr)'!C33:CZ247,102,0)</f>
        <v>-0.01</v>
      </c>
      <c r="E38" s="91">
        <f>VLOOKUP($A38,'Data Vlaue (Cr)'!$C:$FB,75)</f>
        <v>1575</v>
      </c>
      <c r="F38" s="91">
        <f>VLOOKUP($A38,'Data Vlaue (Cr)'!$C:$FB,77)</f>
        <v>-31</v>
      </c>
      <c r="G38" s="92">
        <f>VLOOKUP(A38,'Data Vlaue (Cr)'!C33:CB247,78,0)</f>
        <v>-1.9300000000000001E-2</v>
      </c>
      <c r="H38" s="91">
        <f>VLOOKUP($A38,'Data Vlaue (Cr)'!$C:$FB,91)</f>
        <v>588</v>
      </c>
      <c r="I38" s="91">
        <f>VLOOKUP($A38,'Data Vlaue (Cr)'!$C:$FB,93)</f>
        <v>-6</v>
      </c>
      <c r="J38" s="92">
        <f>VLOOKUP($A38,'Data Vlaue (Cr)'!$C:$FB,94)</f>
        <v>-1.01E-2</v>
      </c>
      <c r="K38" s="91">
        <f>VLOOKUP($A38,'Data Vlaue (Cr)'!$C:$FB,95)</f>
        <v>367</v>
      </c>
      <c r="L38" s="91">
        <f>VLOOKUP($A38,'Data Vlaue (Cr)'!$C:$FB,97)</f>
        <v>11</v>
      </c>
      <c r="M38" s="92">
        <f>VLOOKUP($A38,'Data Vlaue (Cr)'!$C:$FB,98)</f>
        <v>3.2199999999999999E-2</v>
      </c>
      <c r="N38" s="91">
        <f>VLOOKUP($A38,'Data Vlaue (Cr)'!$C:$FB,79)</f>
        <v>1491</v>
      </c>
      <c r="O38" s="92">
        <f>VLOOKUP($A38,'Data Vlaue (Cr)'!$C:$FB,82)</f>
        <v>-2.7400000000000001E-2</v>
      </c>
    </row>
    <row r="39" spans="1:15" x14ac:dyDescent="0.25">
      <c r="A39" s="97" t="str">
        <f>'Data Vlaue (Cr)'!C34</f>
        <v>BLUESTARCO</v>
      </c>
      <c r="B39" s="142">
        <f>VLOOKUP(A39,'Data Vlaue (Cr)'!C34:CW248,99,0)</f>
        <v>556</v>
      </c>
      <c r="C39" s="90">
        <f>VLOOKUP(A39,'Data Vlaue (Cr)'!C34:CY248,101,0)</f>
        <v>-3</v>
      </c>
      <c r="D39" s="139">
        <f>VLOOKUP(A39,'Data Vlaue (Cr)'!C34:CZ248,102,0)</f>
        <v>-5.0000000000000001E-3</v>
      </c>
      <c r="E39" s="91">
        <f>VLOOKUP($A39,'Data Vlaue (Cr)'!$C:$FB,75)</f>
        <v>361</v>
      </c>
      <c r="F39" s="91">
        <f>VLOOKUP($A39,'Data Vlaue (Cr)'!$C:$FB,77)</f>
        <v>-3</v>
      </c>
      <c r="G39" s="92">
        <f>VLOOKUP(A39,'Data Vlaue (Cr)'!C34:CB248,78,0)</f>
        <v>-7.4999999999999997E-3</v>
      </c>
      <c r="H39" s="91">
        <f>VLOOKUP($A39,'Data Vlaue (Cr)'!$C:$FB,91)</f>
        <v>119</v>
      </c>
      <c r="I39" s="91">
        <f>VLOOKUP($A39,'Data Vlaue (Cr)'!$C:$FB,93)</f>
        <v>-4</v>
      </c>
      <c r="J39" s="92">
        <f>VLOOKUP($A39,'Data Vlaue (Cr)'!$C:$FB,94)</f>
        <v>-3.3799999999999997E-2</v>
      </c>
      <c r="K39" s="91">
        <f>VLOOKUP($A39,'Data Vlaue (Cr)'!$C:$FB,95)</f>
        <v>76</v>
      </c>
      <c r="L39" s="91">
        <f>VLOOKUP($A39,'Data Vlaue (Cr)'!$C:$FB,97)</f>
        <v>4</v>
      </c>
      <c r="M39" s="92">
        <f>VLOOKUP($A39,'Data Vlaue (Cr)'!$C:$FB,98)</f>
        <v>5.67E-2</v>
      </c>
      <c r="N39" s="91">
        <f>VLOOKUP($A39,'Data Vlaue (Cr)'!$C:$FB,79)</f>
        <v>335</v>
      </c>
      <c r="O39" s="92">
        <f>VLOOKUP($A39,'Data Vlaue (Cr)'!$C:$FB,82)</f>
        <v>-4.1300000000000003E-2</v>
      </c>
    </row>
    <row r="40" spans="1:15" x14ac:dyDescent="0.25">
      <c r="A40" s="97" t="str">
        <f>'Data Vlaue (Cr)'!C35</f>
        <v>BOSCHLTD</v>
      </c>
      <c r="B40" s="142">
        <f>VLOOKUP(A40,'Data Vlaue (Cr)'!C35:CW249,99,0)</f>
        <v>1500</v>
      </c>
      <c r="C40" s="90">
        <f>VLOOKUP(A40,'Data Vlaue (Cr)'!C35:CY249,101,0)</f>
        <v>-5</v>
      </c>
      <c r="D40" s="139">
        <f>VLOOKUP(A40,'Data Vlaue (Cr)'!C35:CZ249,102,0)</f>
        <v>-3.3999999999999998E-3</v>
      </c>
      <c r="E40" s="91">
        <f>VLOOKUP($A40,'Data Vlaue (Cr)'!$C:$FB,75)</f>
        <v>950</v>
      </c>
      <c r="F40" s="91">
        <f>VLOOKUP($A40,'Data Vlaue (Cr)'!$C:$FB,77)</f>
        <v>-3</v>
      </c>
      <c r="G40" s="92">
        <f>VLOOKUP(A40,'Data Vlaue (Cr)'!C35:CB249,78,0)</f>
        <v>-3.0000000000000001E-3</v>
      </c>
      <c r="H40" s="91">
        <f>VLOOKUP($A40,'Data Vlaue (Cr)'!$C:$FB,91)</f>
        <v>348</v>
      </c>
      <c r="I40" s="91">
        <f>VLOOKUP($A40,'Data Vlaue (Cr)'!$C:$FB,93)</f>
        <v>-5</v>
      </c>
      <c r="J40" s="92">
        <f>VLOOKUP($A40,'Data Vlaue (Cr)'!$C:$FB,94)</f>
        <v>-1.4500000000000001E-2</v>
      </c>
      <c r="K40" s="91">
        <f>VLOOKUP($A40,'Data Vlaue (Cr)'!$C:$FB,95)</f>
        <v>202</v>
      </c>
      <c r="L40" s="91">
        <f>VLOOKUP($A40,'Data Vlaue (Cr)'!$C:$FB,97)</f>
        <v>3</v>
      </c>
      <c r="M40" s="92">
        <f>VLOOKUP($A40,'Data Vlaue (Cr)'!$C:$FB,98)</f>
        <v>1.46E-2</v>
      </c>
      <c r="N40" s="91">
        <f>VLOOKUP($A40,'Data Vlaue (Cr)'!$C:$FB,79)</f>
        <v>918</v>
      </c>
      <c r="O40" s="92">
        <f>VLOOKUP($A40,'Data Vlaue (Cr)'!$C:$FB,82)</f>
        <v>-3.7000000000000002E-3</v>
      </c>
    </row>
    <row r="41" spans="1:15" x14ac:dyDescent="0.25">
      <c r="A41" s="97" t="str">
        <f>'Data Vlaue (Cr)'!C36</f>
        <v>BPCL</v>
      </c>
      <c r="B41" s="142">
        <f>VLOOKUP(A41,'Data Vlaue (Cr)'!C36:CW250,99,0)</f>
        <v>2215</v>
      </c>
      <c r="C41" s="90">
        <f>VLOOKUP(A41,'Data Vlaue (Cr)'!C36:CY250,101,0)</f>
        <v>94</v>
      </c>
      <c r="D41" s="139">
        <f>VLOOKUP(A41,'Data Vlaue (Cr)'!C36:CZ250,102,0)</f>
        <v>4.41E-2</v>
      </c>
      <c r="E41" s="91">
        <f>VLOOKUP($A41,'Data Vlaue (Cr)'!$C:$FB,75)</f>
        <v>1347</v>
      </c>
      <c r="F41" s="91">
        <f>VLOOKUP($A41,'Data Vlaue (Cr)'!$C:$FB,77)</f>
        <v>42</v>
      </c>
      <c r="G41" s="92">
        <f>VLOOKUP(A41,'Data Vlaue (Cr)'!C36:CB250,78,0)</f>
        <v>3.2199999999999999E-2</v>
      </c>
      <c r="H41" s="91">
        <f>VLOOKUP($A41,'Data Vlaue (Cr)'!$C:$FB,91)</f>
        <v>526</v>
      </c>
      <c r="I41" s="91">
        <f>VLOOKUP($A41,'Data Vlaue (Cr)'!$C:$FB,93)</f>
        <v>41</v>
      </c>
      <c r="J41" s="92">
        <f>VLOOKUP($A41,'Data Vlaue (Cr)'!$C:$FB,94)</f>
        <v>8.5300000000000001E-2</v>
      </c>
      <c r="K41" s="91">
        <f>VLOOKUP($A41,'Data Vlaue (Cr)'!$C:$FB,95)</f>
        <v>342</v>
      </c>
      <c r="L41" s="91">
        <f>VLOOKUP($A41,'Data Vlaue (Cr)'!$C:$FB,97)</f>
        <v>10</v>
      </c>
      <c r="M41" s="92">
        <f>VLOOKUP($A41,'Data Vlaue (Cr)'!$C:$FB,98)</f>
        <v>3.09E-2</v>
      </c>
      <c r="N41" s="91">
        <f>VLOOKUP($A41,'Data Vlaue (Cr)'!$C:$FB,79)</f>
        <v>1282</v>
      </c>
      <c r="O41" s="92">
        <f>VLOOKUP($A41,'Data Vlaue (Cr)'!$C:$FB,82)</f>
        <v>2.5700000000000001E-2</v>
      </c>
    </row>
    <row r="42" spans="1:15" x14ac:dyDescent="0.25">
      <c r="A42" s="97" t="str">
        <f>'Data Vlaue (Cr)'!C37</f>
        <v>BRITANNIA</v>
      </c>
      <c r="B42" s="142">
        <f>VLOOKUP(A42,'Data Vlaue (Cr)'!C37:CW251,99,0)</f>
        <v>3250</v>
      </c>
      <c r="C42" s="90">
        <f>VLOOKUP(A42,'Data Vlaue (Cr)'!C37:CY251,101,0)</f>
        <v>-48</v>
      </c>
      <c r="D42" s="139">
        <f>VLOOKUP(A42,'Data Vlaue (Cr)'!C37:CZ251,102,0)</f>
        <v>-1.47E-2</v>
      </c>
      <c r="E42" s="91">
        <f>VLOOKUP($A42,'Data Vlaue (Cr)'!$C:$FB,75)</f>
        <v>2235</v>
      </c>
      <c r="F42" s="91">
        <f>VLOOKUP($A42,'Data Vlaue (Cr)'!$C:$FB,77)</f>
        <v>3</v>
      </c>
      <c r="G42" s="92">
        <f>VLOOKUP(A42,'Data Vlaue (Cr)'!C37:CB251,78,0)</f>
        <v>1.5E-3</v>
      </c>
      <c r="H42" s="91">
        <f>VLOOKUP($A42,'Data Vlaue (Cr)'!$C:$FB,91)</f>
        <v>646</v>
      </c>
      <c r="I42" s="91">
        <f>VLOOKUP($A42,'Data Vlaue (Cr)'!$C:$FB,93)</f>
        <v>-88</v>
      </c>
      <c r="J42" s="92">
        <f>VLOOKUP($A42,'Data Vlaue (Cr)'!$C:$FB,94)</f>
        <v>-0.1196</v>
      </c>
      <c r="K42" s="91">
        <f>VLOOKUP($A42,'Data Vlaue (Cr)'!$C:$FB,95)</f>
        <v>369</v>
      </c>
      <c r="L42" s="91">
        <f>VLOOKUP($A42,'Data Vlaue (Cr)'!$C:$FB,97)</f>
        <v>36</v>
      </c>
      <c r="M42" s="92">
        <f>VLOOKUP($A42,'Data Vlaue (Cr)'!$C:$FB,98)</f>
        <v>0.108</v>
      </c>
      <c r="N42" s="91">
        <f>VLOOKUP($A42,'Data Vlaue (Cr)'!$C:$FB,79)</f>
        <v>2213</v>
      </c>
      <c r="O42" s="92">
        <f>VLOOKUP($A42,'Data Vlaue (Cr)'!$C:$FB,82)</f>
        <v>1E-4</v>
      </c>
    </row>
    <row r="43" spans="1:15" x14ac:dyDescent="0.25">
      <c r="A43" s="97" t="str">
        <f>'Data Vlaue (Cr)'!C38</f>
        <v>BSE</v>
      </c>
      <c r="B43" s="142">
        <f>VLOOKUP(A43,'Data Vlaue (Cr)'!C38:CW252,99,0)</f>
        <v>7957</v>
      </c>
      <c r="C43" s="90">
        <f>VLOOKUP(A43,'Data Vlaue (Cr)'!C38:CY252,101,0)</f>
        <v>-265</v>
      </c>
      <c r="D43" s="139">
        <f>VLOOKUP(A43,'Data Vlaue (Cr)'!C38:CZ252,102,0)</f>
        <v>-3.2300000000000002E-2</v>
      </c>
      <c r="E43" s="91">
        <f>VLOOKUP($A43,'Data Vlaue (Cr)'!$C:$FB,75)</f>
        <v>3325</v>
      </c>
      <c r="F43" s="91">
        <f>VLOOKUP($A43,'Data Vlaue (Cr)'!$C:$FB,77)</f>
        <v>-99</v>
      </c>
      <c r="G43" s="92">
        <f>VLOOKUP(A43,'Data Vlaue (Cr)'!C38:CB252,78,0)</f>
        <v>-2.8799999999999999E-2</v>
      </c>
      <c r="H43" s="91">
        <f>VLOOKUP($A43,'Data Vlaue (Cr)'!$C:$FB,91)</f>
        <v>2406</v>
      </c>
      <c r="I43" s="91">
        <f>VLOOKUP($A43,'Data Vlaue (Cr)'!$C:$FB,93)</f>
        <v>-290</v>
      </c>
      <c r="J43" s="92">
        <f>VLOOKUP($A43,'Data Vlaue (Cr)'!$C:$FB,94)</f>
        <v>-0.1077</v>
      </c>
      <c r="K43" s="91">
        <f>VLOOKUP($A43,'Data Vlaue (Cr)'!$C:$FB,95)</f>
        <v>2226</v>
      </c>
      <c r="L43" s="91">
        <f>VLOOKUP($A43,'Data Vlaue (Cr)'!$C:$FB,97)</f>
        <v>124</v>
      </c>
      <c r="M43" s="92">
        <f>VLOOKUP($A43,'Data Vlaue (Cr)'!$C:$FB,98)</f>
        <v>5.8900000000000001E-2</v>
      </c>
      <c r="N43" s="91">
        <f>VLOOKUP($A43,'Data Vlaue (Cr)'!$C:$FB,79)</f>
        <v>2987</v>
      </c>
      <c r="O43" s="92">
        <f>VLOOKUP($A43,'Data Vlaue (Cr)'!$C:$FB,82)</f>
        <v>-4.2799999999999998E-2</v>
      </c>
    </row>
    <row r="44" spans="1:15" x14ac:dyDescent="0.25">
      <c r="A44" s="97" t="str">
        <f>'Data Vlaue (Cr)'!C39</f>
        <v>CAMS</v>
      </c>
      <c r="B44" s="142">
        <f>VLOOKUP(A44,'Data Vlaue (Cr)'!C39:CW253,99,0)</f>
        <v>1630</v>
      </c>
      <c r="C44" s="90">
        <f>VLOOKUP(A44,'Data Vlaue (Cr)'!C39:CY253,101,0)</f>
        <v>34</v>
      </c>
      <c r="D44" s="139">
        <f>VLOOKUP(A44,'Data Vlaue (Cr)'!C39:CZ253,102,0)</f>
        <v>2.1000000000000001E-2</v>
      </c>
      <c r="E44" s="91">
        <f>VLOOKUP($A44,'Data Vlaue (Cr)'!$C:$FB,75)</f>
        <v>896</v>
      </c>
      <c r="F44" s="91">
        <f>VLOOKUP($A44,'Data Vlaue (Cr)'!$C:$FB,77)</f>
        <v>16</v>
      </c>
      <c r="G44" s="92">
        <f>VLOOKUP(A44,'Data Vlaue (Cr)'!C39:CB253,78,0)</f>
        <v>1.7999999999999999E-2</v>
      </c>
      <c r="H44" s="91">
        <f>VLOOKUP($A44,'Data Vlaue (Cr)'!$C:$FB,91)</f>
        <v>447</v>
      </c>
      <c r="I44" s="91">
        <f>VLOOKUP($A44,'Data Vlaue (Cr)'!$C:$FB,93)</f>
        <v>5</v>
      </c>
      <c r="J44" s="92">
        <f>VLOOKUP($A44,'Data Vlaue (Cr)'!$C:$FB,94)</f>
        <v>1.2200000000000001E-2</v>
      </c>
      <c r="K44" s="91">
        <f>VLOOKUP($A44,'Data Vlaue (Cr)'!$C:$FB,95)</f>
        <v>286</v>
      </c>
      <c r="L44" s="91">
        <f>VLOOKUP($A44,'Data Vlaue (Cr)'!$C:$FB,97)</f>
        <v>12</v>
      </c>
      <c r="M44" s="92">
        <f>VLOOKUP($A44,'Data Vlaue (Cr)'!$C:$FB,98)</f>
        <v>4.48E-2</v>
      </c>
      <c r="N44" s="91">
        <f>VLOOKUP($A44,'Data Vlaue (Cr)'!$C:$FB,79)</f>
        <v>800</v>
      </c>
      <c r="O44" s="92">
        <f>VLOOKUP($A44,'Data Vlaue (Cr)'!$C:$FB,82)</f>
        <v>6.1999999999999998E-3</v>
      </c>
    </row>
    <row r="45" spans="1:15" x14ac:dyDescent="0.25">
      <c r="A45" s="97" t="str">
        <f>'Data Vlaue (Cr)'!C40</f>
        <v>CANBK</v>
      </c>
      <c r="B45" s="142">
        <f>VLOOKUP(A45,'Data Vlaue (Cr)'!C40:CW254,99,0)</f>
        <v>5994</v>
      </c>
      <c r="C45" s="90">
        <f>VLOOKUP(A45,'Data Vlaue (Cr)'!C40:CY254,101,0)</f>
        <v>174</v>
      </c>
      <c r="D45" s="139">
        <f>VLOOKUP(A45,'Data Vlaue (Cr)'!C40:CZ254,102,0)</f>
        <v>0.03</v>
      </c>
      <c r="E45" s="91">
        <f>VLOOKUP($A45,'Data Vlaue (Cr)'!$C:$FB,75)</f>
        <v>3641</v>
      </c>
      <c r="F45" s="91">
        <f>VLOOKUP($A45,'Data Vlaue (Cr)'!$C:$FB,77)</f>
        <v>107</v>
      </c>
      <c r="G45" s="92">
        <f>VLOOKUP(A45,'Data Vlaue (Cr)'!C40:CB254,78,0)</f>
        <v>3.04E-2</v>
      </c>
      <c r="H45" s="91">
        <f>VLOOKUP($A45,'Data Vlaue (Cr)'!$C:$FB,91)</f>
        <v>1283</v>
      </c>
      <c r="I45" s="91">
        <f>VLOOKUP($A45,'Data Vlaue (Cr)'!$C:$FB,93)</f>
        <v>52</v>
      </c>
      <c r="J45" s="92">
        <f>VLOOKUP($A45,'Data Vlaue (Cr)'!$C:$FB,94)</f>
        <v>4.2000000000000003E-2</v>
      </c>
      <c r="K45" s="91">
        <f>VLOOKUP($A45,'Data Vlaue (Cr)'!$C:$FB,95)</f>
        <v>1069</v>
      </c>
      <c r="L45" s="91">
        <f>VLOOKUP($A45,'Data Vlaue (Cr)'!$C:$FB,97)</f>
        <v>15</v>
      </c>
      <c r="M45" s="92">
        <f>VLOOKUP($A45,'Data Vlaue (Cr)'!$C:$FB,98)</f>
        <v>1.46E-2</v>
      </c>
      <c r="N45" s="91">
        <f>VLOOKUP($A45,'Data Vlaue (Cr)'!$C:$FB,79)</f>
        <v>3281</v>
      </c>
      <c r="O45" s="92">
        <f>VLOOKUP($A45,'Data Vlaue (Cr)'!$C:$FB,82)</f>
        <v>1.6E-2</v>
      </c>
    </row>
    <row r="46" spans="1:15" x14ac:dyDescent="0.25">
      <c r="A46" s="97" t="str">
        <f>'Data Vlaue (Cr)'!C41</f>
        <v>CDSL</v>
      </c>
      <c r="B46" s="142">
        <f>VLOOKUP(A46,'Data Vlaue (Cr)'!C41:CW255,99,0)</f>
        <v>3152</v>
      </c>
      <c r="C46" s="90">
        <f>VLOOKUP(A46,'Data Vlaue (Cr)'!C41:CY255,101,0)</f>
        <v>31</v>
      </c>
      <c r="D46" s="139">
        <f>VLOOKUP(A46,'Data Vlaue (Cr)'!C41:CZ255,102,0)</f>
        <v>9.7999999999999997E-3</v>
      </c>
      <c r="E46" s="91">
        <f>VLOOKUP($A46,'Data Vlaue (Cr)'!$C:$FB,75)</f>
        <v>1456</v>
      </c>
      <c r="F46" s="91">
        <f>VLOOKUP($A46,'Data Vlaue (Cr)'!$C:$FB,77)</f>
        <v>-2</v>
      </c>
      <c r="G46" s="92">
        <f>VLOOKUP(A46,'Data Vlaue (Cr)'!C41:CB255,78,0)</f>
        <v>-1.5E-3</v>
      </c>
      <c r="H46" s="91">
        <f>VLOOKUP($A46,'Data Vlaue (Cr)'!$C:$FB,91)</f>
        <v>1000</v>
      </c>
      <c r="I46" s="91">
        <f>VLOOKUP($A46,'Data Vlaue (Cr)'!$C:$FB,93)</f>
        <v>25</v>
      </c>
      <c r="J46" s="92">
        <f>VLOOKUP($A46,'Data Vlaue (Cr)'!$C:$FB,94)</f>
        <v>2.6200000000000001E-2</v>
      </c>
      <c r="K46" s="91">
        <f>VLOOKUP($A46,'Data Vlaue (Cr)'!$C:$FB,95)</f>
        <v>696</v>
      </c>
      <c r="L46" s="91">
        <f>VLOOKUP($A46,'Data Vlaue (Cr)'!$C:$FB,97)</f>
        <v>7</v>
      </c>
      <c r="M46" s="92">
        <f>VLOOKUP($A46,'Data Vlaue (Cr)'!$C:$FB,98)</f>
        <v>1.0699999999999999E-2</v>
      </c>
      <c r="N46" s="91">
        <f>VLOOKUP($A46,'Data Vlaue (Cr)'!$C:$FB,79)</f>
        <v>1246</v>
      </c>
      <c r="O46" s="92">
        <f>VLOOKUP($A46,'Data Vlaue (Cr)'!$C:$FB,82)</f>
        <v>-1.72E-2</v>
      </c>
    </row>
    <row r="47" spans="1:15" x14ac:dyDescent="0.25">
      <c r="A47" s="97" t="str">
        <f>'Data Vlaue (Cr)'!C42</f>
        <v>CGPOWER</v>
      </c>
      <c r="B47" s="142">
        <f>VLOOKUP(A47,'Data Vlaue (Cr)'!C42:CW256,99,0)</f>
        <v>2106</v>
      </c>
      <c r="C47" s="90">
        <f>VLOOKUP(A47,'Data Vlaue (Cr)'!C42:CY256,101,0)</f>
        <v>-34</v>
      </c>
      <c r="D47" s="139">
        <f>VLOOKUP(A47,'Data Vlaue (Cr)'!C42:CZ256,102,0)</f>
        <v>-1.5800000000000002E-2</v>
      </c>
      <c r="E47" s="91">
        <f>VLOOKUP($A47,'Data Vlaue (Cr)'!$C:$FB,75)</f>
        <v>1295</v>
      </c>
      <c r="F47" s="91">
        <f>VLOOKUP($A47,'Data Vlaue (Cr)'!$C:$FB,77)</f>
        <v>-23</v>
      </c>
      <c r="G47" s="92">
        <f>VLOOKUP(A47,'Data Vlaue (Cr)'!C42:CB256,78,0)</f>
        <v>-1.77E-2</v>
      </c>
      <c r="H47" s="91">
        <f>VLOOKUP($A47,'Data Vlaue (Cr)'!$C:$FB,91)</f>
        <v>506</v>
      </c>
      <c r="I47" s="91">
        <f>VLOOKUP($A47,'Data Vlaue (Cr)'!$C:$FB,93)</f>
        <v>-16</v>
      </c>
      <c r="J47" s="92">
        <f>VLOOKUP($A47,'Data Vlaue (Cr)'!$C:$FB,94)</f>
        <v>-3.15E-2</v>
      </c>
      <c r="K47" s="91">
        <f>VLOOKUP($A47,'Data Vlaue (Cr)'!$C:$FB,95)</f>
        <v>305</v>
      </c>
      <c r="L47" s="91">
        <f>VLOOKUP($A47,'Data Vlaue (Cr)'!$C:$FB,97)</f>
        <v>6</v>
      </c>
      <c r="M47" s="92">
        <f>VLOOKUP($A47,'Data Vlaue (Cr)'!$C:$FB,98)</f>
        <v>2.0400000000000001E-2</v>
      </c>
      <c r="N47" s="91">
        <f>VLOOKUP($A47,'Data Vlaue (Cr)'!$C:$FB,79)</f>
        <v>1253</v>
      </c>
      <c r="O47" s="92">
        <f>VLOOKUP($A47,'Data Vlaue (Cr)'!$C:$FB,82)</f>
        <v>-0.02</v>
      </c>
    </row>
    <row r="48" spans="1:15" x14ac:dyDescent="0.25">
      <c r="A48" s="97" t="str">
        <f>'Data Vlaue (Cr)'!C43</f>
        <v>CHOLAFIN</v>
      </c>
      <c r="B48" s="142">
        <f>VLOOKUP(A48,'Data Vlaue (Cr)'!C43:CW257,99,0)</f>
        <v>4217</v>
      </c>
      <c r="C48" s="90">
        <f>VLOOKUP(A48,'Data Vlaue (Cr)'!C43:CY257,101,0)</f>
        <v>414</v>
      </c>
      <c r="D48" s="139">
        <f>VLOOKUP(A48,'Data Vlaue (Cr)'!C43:CZ257,102,0)</f>
        <v>0.10879999999999999</v>
      </c>
      <c r="E48" s="91">
        <f>VLOOKUP($A48,'Data Vlaue (Cr)'!$C:$FB,75)</f>
        <v>3156</v>
      </c>
      <c r="F48" s="91">
        <f>VLOOKUP($A48,'Data Vlaue (Cr)'!$C:$FB,77)</f>
        <v>271</v>
      </c>
      <c r="G48" s="92">
        <f>VLOOKUP(A48,'Data Vlaue (Cr)'!C43:CB257,78,0)</f>
        <v>9.4E-2</v>
      </c>
      <c r="H48" s="91">
        <f>VLOOKUP($A48,'Data Vlaue (Cr)'!$C:$FB,91)</f>
        <v>661</v>
      </c>
      <c r="I48" s="91">
        <f>VLOOKUP($A48,'Data Vlaue (Cr)'!$C:$FB,93)</f>
        <v>138</v>
      </c>
      <c r="J48" s="92">
        <f>VLOOKUP($A48,'Data Vlaue (Cr)'!$C:$FB,94)</f>
        <v>0.26400000000000001</v>
      </c>
      <c r="K48" s="91">
        <f>VLOOKUP($A48,'Data Vlaue (Cr)'!$C:$FB,95)</f>
        <v>399</v>
      </c>
      <c r="L48" s="91">
        <f>VLOOKUP($A48,'Data Vlaue (Cr)'!$C:$FB,97)</f>
        <v>5</v>
      </c>
      <c r="M48" s="92">
        <f>VLOOKUP($A48,'Data Vlaue (Cr)'!$C:$FB,98)</f>
        <v>1.1599999999999999E-2</v>
      </c>
      <c r="N48" s="91">
        <f>VLOOKUP($A48,'Data Vlaue (Cr)'!$C:$FB,79)</f>
        <v>2713</v>
      </c>
      <c r="O48" s="92">
        <f>VLOOKUP($A48,'Data Vlaue (Cr)'!$C:$FB,82)</f>
        <v>3.8699999999999998E-2</v>
      </c>
    </row>
    <row r="49" spans="1:15" x14ac:dyDescent="0.25">
      <c r="A49" s="97" t="str">
        <f>'Data Vlaue (Cr)'!C44</f>
        <v>CIPLA</v>
      </c>
      <c r="B49" s="142">
        <f>VLOOKUP(A49,'Data Vlaue (Cr)'!C44:CW258,99,0)</f>
        <v>3624</v>
      </c>
      <c r="C49" s="90">
        <f>VLOOKUP(A49,'Data Vlaue (Cr)'!C44:CY258,101,0)</f>
        <v>132</v>
      </c>
      <c r="D49" s="139">
        <f>VLOOKUP(A49,'Data Vlaue (Cr)'!C44:CZ258,102,0)</f>
        <v>3.7699999999999997E-2</v>
      </c>
      <c r="E49" s="91">
        <f>VLOOKUP($A49,'Data Vlaue (Cr)'!$C:$FB,75)</f>
        <v>1870</v>
      </c>
      <c r="F49" s="91">
        <f>VLOOKUP($A49,'Data Vlaue (Cr)'!$C:$FB,77)</f>
        <v>29</v>
      </c>
      <c r="G49" s="92">
        <f>VLOOKUP(A49,'Data Vlaue (Cr)'!C44:CB258,78,0)</f>
        <v>1.5599999999999999E-2</v>
      </c>
      <c r="H49" s="91">
        <f>VLOOKUP($A49,'Data Vlaue (Cr)'!$C:$FB,91)</f>
        <v>1246</v>
      </c>
      <c r="I49" s="91">
        <f>VLOOKUP($A49,'Data Vlaue (Cr)'!$C:$FB,93)</f>
        <v>96</v>
      </c>
      <c r="J49" s="92">
        <f>VLOOKUP($A49,'Data Vlaue (Cr)'!$C:$FB,94)</f>
        <v>8.3699999999999997E-2</v>
      </c>
      <c r="K49" s="91">
        <f>VLOOKUP($A49,'Data Vlaue (Cr)'!$C:$FB,95)</f>
        <v>508</v>
      </c>
      <c r="L49" s="91">
        <f>VLOOKUP($A49,'Data Vlaue (Cr)'!$C:$FB,97)</f>
        <v>7</v>
      </c>
      <c r="M49" s="92">
        <f>VLOOKUP($A49,'Data Vlaue (Cr)'!$C:$FB,98)</f>
        <v>1.3299999999999999E-2</v>
      </c>
      <c r="N49" s="91">
        <f>VLOOKUP($A49,'Data Vlaue (Cr)'!$C:$FB,79)</f>
        <v>1815</v>
      </c>
      <c r="O49" s="92">
        <f>VLOOKUP($A49,'Data Vlaue (Cr)'!$C:$FB,82)</f>
        <v>1.3599999999999999E-2</v>
      </c>
    </row>
    <row r="50" spans="1:15" x14ac:dyDescent="0.25">
      <c r="A50" s="97" t="str">
        <f>'Data Vlaue (Cr)'!C45</f>
        <v>COALINDIA</v>
      </c>
      <c r="B50" s="142">
        <f>VLOOKUP(A50,'Data Vlaue (Cr)'!C45:CW259,99,0)</f>
        <v>4679</v>
      </c>
      <c r="C50" s="90">
        <f>VLOOKUP(A50,'Data Vlaue (Cr)'!C45:CY259,101,0)</f>
        <v>-24</v>
      </c>
      <c r="D50" s="139">
        <f>VLOOKUP(A50,'Data Vlaue (Cr)'!C45:CZ259,102,0)</f>
        <v>-5.1000000000000004E-3</v>
      </c>
      <c r="E50" s="91">
        <f>VLOOKUP($A50,'Data Vlaue (Cr)'!$C:$FB,75)</f>
        <v>2732</v>
      </c>
      <c r="F50" s="91">
        <f>VLOOKUP($A50,'Data Vlaue (Cr)'!$C:$FB,77)</f>
        <v>-18</v>
      </c>
      <c r="G50" s="92">
        <f>VLOOKUP(A50,'Data Vlaue (Cr)'!C45:CB259,78,0)</f>
        <v>-6.4999999999999997E-3</v>
      </c>
      <c r="H50" s="91">
        <f>VLOOKUP($A50,'Data Vlaue (Cr)'!$C:$FB,91)</f>
        <v>1161</v>
      </c>
      <c r="I50" s="91">
        <f>VLOOKUP($A50,'Data Vlaue (Cr)'!$C:$FB,93)</f>
        <v>5</v>
      </c>
      <c r="J50" s="92">
        <f>VLOOKUP($A50,'Data Vlaue (Cr)'!$C:$FB,94)</f>
        <v>4.4999999999999997E-3</v>
      </c>
      <c r="K50" s="91">
        <f>VLOOKUP($A50,'Data Vlaue (Cr)'!$C:$FB,95)</f>
        <v>785</v>
      </c>
      <c r="L50" s="91">
        <f>VLOOKUP($A50,'Data Vlaue (Cr)'!$C:$FB,97)</f>
        <v>-11</v>
      </c>
      <c r="M50" s="92">
        <f>VLOOKUP($A50,'Data Vlaue (Cr)'!$C:$FB,98)</f>
        <v>-1.4E-2</v>
      </c>
      <c r="N50" s="91">
        <f>VLOOKUP($A50,'Data Vlaue (Cr)'!$C:$FB,79)</f>
        <v>2556</v>
      </c>
      <c r="O50" s="92">
        <f>VLOOKUP($A50,'Data Vlaue (Cr)'!$C:$FB,82)</f>
        <v>-1.17E-2</v>
      </c>
    </row>
    <row r="51" spans="1:15" x14ac:dyDescent="0.25">
      <c r="A51" s="97" t="str">
        <f>'Data Vlaue (Cr)'!C46</f>
        <v>COFORGE</v>
      </c>
      <c r="B51" s="142">
        <f>VLOOKUP(A51,'Data Vlaue (Cr)'!C46:CW260,99,0)</f>
        <v>3550</v>
      </c>
      <c r="C51" s="90">
        <f>VLOOKUP(A51,'Data Vlaue (Cr)'!C46:CY260,101,0)</f>
        <v>27</v>
      </c>
      <c r="D51" s="139">
        <f>VLOOKUP(A51,'Data Vlaue (Cr)'!C46:CZ260,102,0)</f>
        <v>7.4999999999999997E-3</v>
      </c>
      <c r="E51" s="91">
        <f>VLOOKUP($A51,'Data Vlaue (Cr)'!$C:$FB,75)</f>
        <v>2145</v>
      </c>
      <c r="F51" s="91">
        <f>VLOOKUP($A51,'Data Vlaue (Cr)'!$C:$FB,77)</f>
        <v>9</v>
      </c>
      <c r="G51" s="92">
        <f>VLOOKUP(A51,'Data Vlaue (Cr)'!C46:CB260,78,0)</f>
        <v>4.1000000000000003E-3</v>
      </c>
      <c r="H51" s="91">
        <f>VLOOKUP($A51,'Data Vlaue (Cr)'!$C:$FB,91)</f>
        <v>822</v>
      </c>
      <c r="I51" s="91">
        <f>VLOOKUP($A51,'Data Vlaue (Cr)'!$C:$FB,93)</f>
        <v>-4</v>
      </c>
      <c r="J51" s="92">
        <f>VLOOKUP($A51,'Data Vlaue (Cr)'!$C:$FB,94)</f>
        <v>-4.4000000000000003E-3</v>
      </c>
      <c r="K51" s="91">
        <f>VLOOKUP($A51,'Data Vlaue (Cr)'!$C:$FB,95)</f>
        <v>582</v>
      </c>
      <c r="L51" s="91">
        <f>VLOOKUP($A51,'Data Vlaue (Cr)'!$C:$FB,97)</f>
        <v>21</v>
      </c>
      <c r="M51" s="92">
        <f>VLOOKUP($A51,'Data Vlaue (Cr)'!$C:$FB,98)</f>
        <v>3.8100000000000002E-2</v>
      </c>
      <c r="N51" s="91">
        <f>VLOOKUP($A51,'Data Vlaue (Cr)'!$C:$FB,79)</f>
        <v>2087</v>
      </c>
      <c r="O51" s="92">
        <f>VLOOKUP($A51,'Data Vlaue (Cr)'!$C:$FB,82)</f>
        <v>1.6000000000000001E-3</v>
      </c>
    </row>
    <row r="52" spans="1:15" x14ac:dyDescent="0.25">
      <c r="A52" s="97" t="str">
        <f>'Data Vlaue (Cr)'!C47</f>
        <v>COLPAL</v>
      </c>
      <c r="B52" s="142">
        <f>VLOOKUP(A52,'Data Vlaue (Cr)'!C47:CW261,99,0)</f>
        <v>1863</v>
      </c>
      <c r="C52" s="90">
        <f>VLOOKUP(A52,'Data Vlaue (Cr)'!C47:CY261,101,0)</f>
        <v>-159</v>
      </c>
      <c r="D52" s="139">
        <f>VLOOKUP(A52,'Data Vlaue (Cr)'!C47:CZ261,102,0)</f>
        <v>-7.85E-2</v>
      </c>
      <c r="E52" s="91">
        <f>VLOOKUP($A52,'Data Vlaue (Cr)'!$C:$FB,75)</f>
        <v>1150</v>
      </c>
      <c r="F52" s="91">
        <f>VLOOKUP($A52,'Data Vlaue (Cr)'!$C:$FB,77)</f>
        <v>-74</v>
      </c>
      <c r="G52" s="92">
        <f>VLOOKUP(A52,'Data Vlaue (Cr)'!C47:CB261,78,0)</f>
        <v>-6.0400000000000002E-2</v>
      </c>
      <c r="H52" s="91">
        <f>VLOOKUP($A52,'Data Vlaue (Cr)'!$C:$FB,91)</f>
        <v>408</v>
      </c>
      <c r="I52" s="91">
        <f>VLOOKUP($A52,'Data Vlaue (Cr)'!$C:$FB,93)</f>
        <v>-59</v>
      </c>
      <c r="J52" s="92">
        <f>VLOOKUP($A52,'Data Vlaue (Cr)'!$C:$FB,94)</f>
        <v>-0.12590000000000001</v>
      </c>
      <c r="K52" s="91">
        <f>VLOOKUP($A52,'Data Vlaue (Cr)'!$C:$FB,95)</f>
        <v>305</v>
      </c>
      <c r="L52" s="91">
        <f>VLOOKUP($A52,'Data Vlaue (Cr)'!$C:$FB,97)</f>
        <v>-26</v>
      </c>
      <c r="M52" s="92">
        <f>VLOOKUP($A52,'Data Vlaue (Cr)'!$C:$FB,98)</f>
        <v>-7.8299999999999995E-2</v>
      </c>
      <c r="N52" s="91">
        <f>VLOOKUP($A52,'Data Vlaue (Cr)'!$C:$FB,79)</f>
        <v>995</v>
      </c>
      <c r="O52" s="92">
        <f>VLOOKUP($A52,'Data Vlaue (Cr)'!$C:$FB,82)</f>
        <v>-6.9400000000000003E-2</v>
      </c>
    </row>
    <row r="53" spans="1:15" x14ac:dyDescent="0.25">
      <c r="A53" s="97" t="str">
        <f>'Data Vlaue (Cr)'!C48</f>
        <v>CONCOR</v>
      </c>
      <c r="B53" s="142">
        <f>VLOOKUP(A53,'Data Vlaue (Cr)'!C48:CW262,99,0)</f>
        <v>2498</v>
      </c>
      <c r="C53" s="90">
        <f>VLOOKUP(A53,'Data Vlaue (Cr)'!C48:CY262,101,0)</f>
        <v>-48</v>
      </c>
      <c r="D53" s="139">
        <f>VLOOKUP(A53,'Data Vlaue (Cr)'!C48:CZ262,102,0)</f>
        <v>-1.89E-2</v>
      </c>
      <c r="E53" s="91">
        <f>VLOOKUP($A53,'Data Vlaue (Cr)'!$C:$FB,75)</f>
        <v>1474</v>
      </c>
      <c r="F53" s="91">
        <f>VLOOKUP($A53,'Data Vlaue (Cr)'!$C:$FB,77)</f>
        <v>-10</v>
      </c>
      <c r="G53" s="92">
        <f>VLOOKUP(A53,'Data Vlaue (Cr)'!C48:CB262,78,0)</f>
        <v>-6.7000000000000002E-3</v>
      </c>
      <c r="H53" s="91">
        <f>VLOOKUP($A53,'Data Vlaue (Cr)'!$C:$FB,91)</f>
        <v>601</v>
      </c>
      <c r="I53" s="91">
        <f>VLOOKUP($A53,'Data Vlaue (Cr)'!$C:$FB,93)</f>
        <v>-31</v>
      </c>
      <c r="J53" s="92">
        <f>VLOOKUP($A53,'Data Vlaue (Cr)'!$C:$FB,94)</f>
        <v>-4.9000000000000002E-2</v>
      </c>
      <c r="K53" s="91">
        <f>VLOOKUP($A53,'Data Vlaue (Cr)'!$C:$FB,95)</f>
        <v>423</v>
      </c>
      <c r="L53" s="91">
        <f>VLOOKUP($A53,'Data Vlaue (Cr)'!$C:$FB,97)</f>
        <v>-7</v>
      </c>
      <c r="M53" s="92">
        <f>VLOOKUP($A53,'Data Vlaue (Cr)'!$C:$FB,98)</f>
        <v>-1.6799999999999999E-2</v>
      </c>
      <c r="N53" s="91">
        <f>VLOOKUP($A53,'Data Vlaue (Cr)'!$C:$FB,79)</f>
        <v>1249</v>
      </c>
      <c r="O53" s="92">
        <f>VLOOKUP($A53,'Data Vlaue (Cr)'!$C:$FB,82)</f>
        <v>-2.2599999999999999E-2</v>
      </c>
    </row>
    <row r="54" spans="1:15" x14ac:dyDescent="0.25">
      <c r="A54" s="97" t="str">
        <f>'Data Vlaue (Cr)'!C49</f>
        <v>CROMPTON</v>
      </c>
      <c r="B54" s="142">
        <f>VLOOKUP(A54,'Data Vlaue (Cr)'!C49:CW263,99,0)</f>
        <v>2428</v>
      </c>
      <c r="C54" s="90">
        <f>VLOOKUP(A54,'Data Vlaue (Cr)'!C49:CY263,101,0)</f>
        <v>2</v>
      </c>
      <c r="D54" s="139">
        <f>VLOOKUP(A54,'Data Vlaue (Cr)'!C49:CZ263,102,0)</f>
        <v>5.9999999999999995E-4</v>
      </c>
      <c r="E54" s="91">
        <f>VLOOKUP($A54,'Data Vlaue (Cr)'!$C:$FB,75)</f>
        <v>1533</v>
      </c>
      <c r="F54" s="91">
        <f>VLOOKUP($A54,'Data Vlaue (Cr)'!$C:$FB,77)</f>
        <v>0</v>
      </c>
      <c r="G54" s="92">
        <f>VLOOKUP(A54,'Data Vlaue (Cr)'!C49:CB263,78,0)</f>
        <v>0</v>
      </c>
      <c r="H54" s="91">
        <f>VLOOKUP($A54,'Data Vlaue (Cr)'!$C:$FB,91)</f>
        <v>580</v>
      </c>
      <c r="I54" s="91">
        <f>VLOOKUP($A54,'Data Vlaue (Cr)'!$C:$FB,93)</f>
        <v>-1</v>
      </c>
      <c r="J54" s="92">
        <f>VLOOKUP($A54,'Data Vlaue (Cr)'!$C:$FB,94)</f>
        <v>-2.2000000000000001E-3</v>
      </c>
      <c r="K54" s="91">
        <f>VLOOKUP($A54,'Data Vlaue (Cr)'!$C:$FB,95)</f>
        <v>315</v>
      </c>
      <c r="L54" s="91">
        <f>VLOOKUP($A54,'Data Vlaue (Cr)'!$C:$FB,97)</f>
        <v>3</v>
      </c>
      <c r="M54" s="92">
        <f>VLOOKUP($A54,'Data Vlaue (Cr)'!$C:$FB,98)</f>
        <v>9.1999999999999998E-3</v>
      </c>
      <c r="N54" s="91">
        <f>VLOOKUP($A54,'Data Vlaue (Cr)'!$C:$FB,79)</f>
        <v>1413</v>
      </c>
      <c r="O54" s="92">
        <f>VLOOKUP($A54,'Data Vlaue (Cr)'!$C:$FB,82)</f>
        <v>-7.1000000000000004E-3</v>
      </c>
    </row>
    <row r="55" spans="1:15" x14ac:dyDescent="0.25">
      <c r="A55" s="97" t="str">
        <f>'Data Vlaue (Cr)'!C50</f>
        <v>CUMMINSIND</v>
      </c>
      <c r="B55" s="142">
        <f>VLOOKUP(A55,'Data Vlaue (Cr)'!C50:CW264,99,0)</f>
        <v>1732</v>
      </c>
      <c r="C55" s="90">
        <f>VLOOKUP(A55,'Data Vlaue (Cr)'!C50:CY264,101,0)</f>
        <v>40</v>
      </c>
      <c r="D55" s="139">
        <f>VLOOKUP(A55,'Data Vlaue (Cr)'!C50:CZ264,102,0)</f>
        <v>2.3699999999999999E-2</v>
      </c>
      <c r="E55" s="91">
        <f>VLOOKUP($A55,'Data Vlaue (Cr)'!$C:$FB,75)</f>
        <v>1129</v>
      </c>
      <c r="F55" s="91">
        <f>VLOOKUP($A55,'Data Vlaue (Cr)'!$C:$FB,77)</f>
        <v>-29</v>
      </c>
      <c r="G55" s="92">
        <f>VLOOKUP(A55,'Data Vlaue (Cr)'!C50:CB264,78,0)</f>
        <v>-2.4899999999999999E-2</v>
      </c>
      <c r="H55" s="91">
        <f>VLOOKUP($A55,'Data Vlaue (Cr)'!$C:$FB,91)</f>
        <v>369</v>
      </c>
      <c r="I55" s="91">
        <f>VLOOKUP($A55,'Data Vlaue (Cr)'!$C:$FB,93)</f>
        <v>55</v>
      </c>
      <c r="J55" s="92">
        <f>VLOOKUP($A55,'Data Vlaue (Cr)'!$C:$FB,94)</f>
        <v>0.17510000000000001</v>
      </c>
      <c r="K55" s="91">
        <f>VLOOKUP($A55,'Data Vlaue (Cr)'!$C:$FB,95)</f>
        <v>234</v>
      </c>
      <c r="L55" s="91">
        <f>VLOOKUP($A55,'Data Vlaue (Cr)'!$C:$FB,97)</f>
        <v>14</v>
      </c>
      <c r="M55" s="92">
        <f>VLOOKUP($A55,'Data Vlaue (Cr)'!$C:$FB,98)</f>
        <v>6.3200000000000006E-2</v>
      </c>
      <c r="N55" s="91">
        <f>VLOOKUP($A55,'Data Vlaue (Cr)'!$C:$FB,79)</f>
        <v>1103</v>
      </c>
      <c r="O55" s="92">
        <f>VLOOKUP($A55,'Data Vlaue (Cr)'!$C:$FB,82)</f>
        <v>-3.1399999999999997E-2</v>
      </c>
    </row>
    <row r="56" spans="1:15" x14ac:dyDescent="0.25">
      <c r="A56" s="97" t="str">
        <f>'Data Vlaue (Cr)'!C51</f>
        <v>CYIENT</v>
      </c>
      <c r="B56" s="142">
        <f>VLOOKUP(A56,'Data Vlaue (Cr)'!C51:CW265,99,0)</f>
        <v>1336</v>
      </c>
      <c r="C56" s="90">
        <f>VLOOKUP(A56,'Data Vlaue (Cr)'!C51:CY265,101,0)</f>
        <v>302</v>
      </c>
      <c r="D56" s="139">
        <f>VLOOKUP(A56,'Data Vlaue (Cr)'!C51:CZ265,102,0)</f>
        <v>0.29160000000000003</v>
      </c>
      <c r="E56" s="91">
        <f>VLOOKUP($A56,'Data Vlaue (Cr)'!$C:$FB,75)</f>
        <v>556</v>
      </c>
      <c r="F56" s="91">
        <f>VLOOKUP($A56,'Data Vlaue (Cr)'!$C:$FB,77)</f>
        <v>50</v>
      </c>
      <c r="G56" s="92">
        <f>VLOOKUP(A56,'Data Vlaue (Cr)'!C51:CB265,78,0)</f>
        <v>9.7799999999999998E-2</v>
      </c>
      <c r="H56" s="91">
        <f>VLOOKUP($A56,'Data Vlaue (Cr)'!$C:$FB,91)</f>
        <v>463</v>
      </c>
      <c r="I56" s="91">
        <f>VLOOKUP($A56,'Data Vlaue (Cr)'!$C:$FB,93)</f>
        <v>117</v>
      </c>
      <c r="J56" s="92">
        <f>VLOOKUP($A56,'Data Vlaue (Cr)'!$C:$FB,94)</f>
        <v>0.33760000000000001</v>
      </c>
      <c r="K56" s="91">
        <f>VLOOKUP($A56,'Data Vlaue (Cr)'!$C:$FB,95)</f>
        <v>317</v>
      </c>
      <c r="L56" s="91">
        <f>VLOOKUP($A56,'Data Vlaue (Cr)'!$C:$FB,97)</f>
        <v>135</v>
      </c>
      <c r="M56" s="92">
        <f>VLOOKUP($A56,'Data Vlaue (Cr)'!$C:$FB,98)</f>
        <v>0.74339999999999995</v>
      </c>
      <c r="N56" s="91">
        <f>VLOOKUP($A56,'Data Vlaue (Cr)'!$C:$FB,79)</f>
        <v>477</v>
      </c>
      <c r="O56" s="92">
        <f>VLOOKUP($A56,'Data Vlaue (Cr)'!$C:$FB,82)</f>
        <v>4.7600000000000003E-2</v>
      </c>
    </row>
    <row r="57" spans="1:15" x14ac:dyDescent="0.25">
      <c r="A57" s="97" t="str">
        <f>'Data Vlaue (Cr)'!C52</f>
        <v>DABUR</v>
      </c>
      <c r="B57" s="142">
        <f>VLOOKUP(A57,'Data Vlaue (Cr)'!C52:CW266,99,0)</f>
        <v>2484</v>
      </c>
      <c r="C57" s="90">
        <f>VLOOKUP(A57,'Data Vlaue (Cr)'!C52:CY266,101,0)</f>
        <v>-194</v>
      </c>
      <c r="D57" s="139">
        <f>VLOOKUP(A57,'Data Vlaue (Cr)'!C52:CZ266,102,0)</f>
        <v>-7.2499999999999995E-2</v>
      </c>
      <c r="E57" s="91">
        <f>VLOOKUP($A57,'Data Vlaue (Cr)'!$C:$FB,75)</f>
        <v>1343</v>
      </c>
      <c r="F57" s="91">
        <f>VLOOKUP($A57,'Data Vlaue (Cr)'!$C:$FB,77)</f>
        <v>-43</v>
      </c>
      <c r="G57" s="92">
        <f>VLOOKUP(A57,'Data Vlaue (Cr)'!C52:CB266,78,0)</f>
        <v>-3.09E-2</v>
      </c>
      <c r="H57" s="91">
        <f>VLOOKUP($A57,'Data Vlaue (Cr)'!$C:$FB,91)</f>
        <v>746</v>
      </c>
      <c r="I57" s="91">
        <f>VLOOKUP($A57,'Data Vlaue (Cr)'!$C:$FB,93)</f>
        <v>-121</v>
      </c>
      <c r="J57" s="92">
        <f>VLOOKUP($A57,'Data Vlaue (Cr)'!$C:$FB,94)</f>
        <v>-0.13930000000000001</v>
      </c>
      <c r="K57" s="91">
        <f>VLOOKUP($A57,'Data Vlaue (Cr)'!$C:$FB,95)</f>
        <v>395</v>
      </c>
      <c r="L57" s="91">
        <f>VLOOKUP($A57,'Data Vlaue (Cr)'!$C:$FB,97)</f>
        <v>-31</v>
      </c>
      <c r="M57" s="92">
        <f>VLOOKUP($A57,'Data Vlaue (Cr)'!$C:$FB,98)</f>
        <v>-7.17E-2</v>
      </c>
      <c r="N57" s="91">
        <f>VLOOKUP($A57,'Data Vlaue (Cr)'!$C:$FB,79)</f>
        <v>1236</v>
      </c>
      <c r="O57" s="92">
        <f>VLOOKUP($A57,'Data Vlaue (Cr)'!$C:$FB,82)</f>
        <v>-3.61E-2</v>
      </c>
    </row>
    <row r="58" spans="1:15" x14ac:dyDescent="0.25">
      <c r="A58" s="97" t="str">
        <f>'Data Vlaue (Cr)'!C53</f>
        <v>DALBHARAT</v>
      </c>
      <c r="B58" s="142">
        <f>VLOOKUP(A58,'Data Vlaue (Cr)'!C53:CW267,99,0)</f>
        <v>777</v>
      </c>
      <c r="C58" s="90">
        <f>VLOOKUP(A58,'Data Vlaue (Cr)'!C53:CY267,101,0)</f>
        <v>-7</v>
      </c>
      <c r="D58" s="139">
        <f>VLOOKUP(A58,'Data Vlaue (Cr)'!C53:CZ267,102,0)</f>
        <v>-9.4000000000000004E-3</v>
      </c>
      <c r="E58" s="91">
        <f>VLOOKUP($A58,'Data Vlaue (Cr)'!$C:$FB,75)</f>
        <v>573</v>
      </c>
      <c r="F58" s="91">
        <f>VLOOKUP($A58,'Data Vlaue (Cr)'!$C:$FB,77)</f>
        <v>-8</v>
      </c>
      <c r="G58" s="92">
        <f>VLOOKUP(A58,'Data Vlaue (Cr)'!C53:CB267,78,0)</f>
        <v>-1.44E-2</v>
      </c>
      <c r="H58" s="91">
        <f>VLOOKUP($A58,'Data Vlaue (Cr)'!$C:$FB,91)</f>
        <v>136</v>
      </c>
      <c r="I58" s="91">
        <f>VLOOKUP($A58,'Data Vlaue (Cr)'!$C:$FB,93)</f>
        <v>5</v>
      </c>
      <c r="J58" s="92">
        <f>VLOOKUP($A58,'Data Vlaue (Cr)'!$C:$FB,94)</f>
        <v>3.5299999999999998E-2</v>
      </c>
      <c r="K58" s="91">
        <f>VLOOKUP($A58,'Data Vlaue (Cr)'!$C:$FB,95)</f>
        <v>68</v>
      </c>
      <c r="L58" s="91">
        <f>VLOOKUP($A58,'Data Vlaue (Cr)'!$C:$FB,97)</f>
        <v>-4</v>
      </c>
      <c r="M58" s="92">
        <f>VLOOKUP($A58,'Data Vlaue (Cr)'!$C:$FB,98)</f>
        <v>-5.0599999999999999E-2</v>
      </c>
      <c r="N58" s="91">
        <f>VLOOKUP($A58,'Data Vlaue (Cr)'!$C:$FB,79)</f>
        <v>554</v>
      </c>
      <c r="O58" s="92">
        <f>VLOOKUP($A58,'Data Vlaue (Cr)'!$C:$FB,82)</f>
        <v>-2.6599999999999999E-2</v>
      </c>
    </row>
    <row r="59" spans="1:15" x14ac:dyDescent="0.25">
      <c r="A59" s="97" t="str">
        <f>'Data Vlaue (Cr)'!C54</f>
        <v>DELHIVERY</v>
      </c>
      <c r="B59" s="142">
        <f>VLOOKUP(A59,'Data Vlaue (Cr)'!C54:CW268,99,0)</f>
        <v>1734</v>
      </c>
      <c r="C59" s="90">
        <f>VLOOKUP(A59,'Data Vlaue (Cr)'!C54:CY268,101,0)</f>
        <v>105</v>
      </c>
      <c r="D59" s="139">
        <f>VLOOKUP(A59,'Data Vlaue (Cr)'!C54:CZ268,102,0)</f>
        <v>6.4500000000000002E-2</v>
      </c>
      <c r="E59" s="91">
        <f>VLOOKUP($A59,'Data Vlaue (Cr)'!$C:$FB,75)</f>
        <v>880</v>
      </c>
      <c r="F59" s="91">
        <f>VLOOKUP($A59,'Data Vlaue (Cr)'!$C:$FB,77)</f>
        <v>-17</v>
      </c>
      <c r="G59" s="92">
        <f>VLOOKUP(A59,'Data Vlaue (Cr)'!C54:CB268,78,0)</f>
        <v>-1.9199999999999998E-2</v>
      </c>
      <c r="H59" s="91">
        <f>VLOOKUP($A59,'Data Vlaue (Cr)'!$C:$FB,91)</f>
        <v>596</v>
      </c>
      <c r="I59" s="91">
        <f>VLOOKUP($A59,'Data Vlaue (Cr)'!$C:$FB,93)</f>
        <v>122</v>
      </c>
      <c r="J59" s="92">
        <f>VLOOKUP($A59,'Data Vlaue (Cr)'!$C:$FB,94)</f>
        <v>0.2586</v>
      </c>
      <c r="K59" s="91">
        <f>VLOOKUP($A59,'Data Vlaue (Cr)'!$C:$FB,95)</f>
        <v>258</v>
      </c>
      <c r="L59" s="91">
        <f>VLOOKUP($A59,'Data Vlaue (Cr)'!$C:$FB,97)</f>
        <v>0</v>
      </c>
      <c r="M59" s="92">
        <f>VLOOKUP($A59,'Data Vlaue (Cr)'!$C:$FB,98)</f>
        <v>-4.0000000000000002E-4</v>
      </c>
      <c r="N59" s="91">
        <f>VLOOKUP($A59,'Data Vlaue (Cr)'!$C:$FB,79)</f>
        <v>818</v>
      </c>
      <c r="O59" s="92">
        <f>VLOOKUP($A59,'Data Vlaue (Cr)'!$C:$FB,82)</f>
        <v>-3.9899999999999998E-2</v>
      </c>
    </row>
    <row r="60" spans="1:15" x14ac:dyDescent="0.25">
      <c r="A60" s="97" t="str">
        <f>'Data Vlaue (Cr)'!C55</f>
        <v>DIVISLAB</v>
      </c>
      <c r="B60" s="142">
        <f>VLOOKUP(A60,'Data Vlaue (Cr)'!C55:CW269,99,0)</f>
        <v>4139</v>
      </c>
      <c r="C60" s="90">
        <f>VLOOKUP(A60,'Data Vlaue (Cr)'!C55:CY269,101,0)</f>
        <v>20</v>
      </c>
      <c r="D60" s="139">
        <f>VLOOKUP(A60,'Data Vlaue (Cr)'!C55:CZ269,102,0)</f>
        <v>4.7999999999999996E-3</v>
      </c>
      <c r="E60" s="91">
        <f>VLOOKUP($A60,'Data Vlaue (Cr)'!$C:$FB,75)</f>
        <v>1835</v>
      </c>
      <c r="F60" s="91">
        <f>VLOOKUP($A60,'Data Vlaue (Cr)'!$C:$FB,77)</f>
        <v>-25</v>
      </c>
      <c r="G60" s="92">
        <f>VLOOKUP(A60,'Data Vlaue (Cr)'!C55:CB269,78,0)</f>
        <v>-1.37E-2</v>
      </c>
      <c r="H60" s="91">
        <f>VLOOKUP($A60,'Data Vlaue (Cr)'!$C:$FB,91)</f>
        <v>1159</v>
      </c>
      <c r="I60" s="91">
        <f>VLOOKUP($A60,'Data Vlaue (Cr)'!$C:$FB,93)</f>
        <v>58</v>
      </c>
      <c r="J60" s="92">
        <f>VLOOKUP($A60,'Data Vlaue (Cr)'!$C:$FB,94)</f>
        <v>5.3100000000000001E-2</v>
      </c>
      <c r="K60" s="91">
        <f>VLOOKUP($A60,'Data Vlaue (Cr)'!$C:$FB,95)</f>
        <v>1145</v>
      </c>
      <c r="L60" s="91">
        <f>VLOOKUP($A60,'Data Vlaue (Cr)'!$C:$FB,97)</f>
        <v>-13</v>
      </c>
      <c r="M60" s="92">
        <f>VLOOKUP($A60,'Data Vlaue (Cr)'!$C:$FB,98)</f>
        <v>-1.1299999999999999E-2</v>
      </c>
      <c r="N60" s="91">
        <f>VLOOKUP($A60,'Data Vlaue (Cr)'!$C:$FB,79)</f>
        <v>1728</v>
      </c>
      <c r="O60" s="92">
        <f>VLOOKUP($A60,'Data Vlaue (Cr)'!$C:$FB,82)</f>
        <v>-1.5900000000000001E-2</v>
      </c>
    </row>
    <row r="61" spans="1:15" x14ac:dyDescent="0.25">
      <c r="A61" s="97" t="str">
        <f>'Data Vlaue (Cr)'!C56</f>
        <v>DIXON</v>
      </c>
      <c r="B61" s="142">
        <f>VLOOKUP(A61,'Data Vlaue (Cr)'!C56:CW270,99,0)</f>
        <v>6052</v>
      </c>
      <c r="C61" s="90">
        <f>VLOOKUP(A61,'Data Vlaue (Cr)'!C56:CY270,101,0)</f>
        <v>43</v>
      </c>
      <c r="D61" s="139">
        <f>VLOOKUP(A61,'Data Vlaue (Cr)'!C56:CZ270,102,0)</f>
        <v>7.1999999999999998E-3</v>
      </c>
      <c r="E61" s="91">
        <f>VLOOKUP($A61,'Data Vlaue (Cr)'!$C:$FB,75)</f>
        <v>2585</v>
      </c>
      <c r="F61" s="91">
        <f>VLOOKUP($A61,'Data Vlaue (Cr)'!$C:$FB,77)</f>
        <v>11</v>
      </c>
      <c r="G61" s="92">
        <f>VLOOKUP(A61,'Data Vlaue (Cr)'!C56:CB270,78,0)</f>
        <v>4.1999999999999997E-3</v>
      </c>
      <c r="H61" s="91">
        <f>VLOOKUP($A61,'Data Vlaue (Cr)'!$C:$FB,91)</f>
        <v>2091</v>
      </c>
      <c r="I61" s="91">
        <f>VLOOKUP($A61,'Data Vlaue (Cr)'!$C:$FB,93)</f>
        <v>-5</v>
      </c>
      <c r="J61" s="92">
        <f>VLOOKUP($A61,'Data Vlaue (Cr)'!$C:$FB,94)</f>
        <v>-2.3E-3</v>
      </c>
      <c r="K61" s="91">
        <f>VLOOKUP($A61,'Data Vlaue (Cr)'!$C:$FB,95)</f>
        <v>1375</v>
      </c>
      <c r="L61" s="91">
        <f>VLOOKUP($A61,'Data Vlaue (Cr)'!$C:$FB,97)</f>
        <v>37</v>
      </c>
      <c r="M61" s="92">
        <f>VLOOKUP($A61,'Data Vlaue (Cr)'!$C:$FB,98)</f>
        <v>2.7900000000000001E-2</v>
      </c>
      <c r="N61" s="91">
        <f>VLOOKUP($A61,'Data Vlaue (Cr)'!$C:$FB,79)</f>
        <v>2369</v>
      </c>
      <c r="O61" s="92">
        <f>VLOOKUP($A61,'Data Vlaue (Cr)'!$C:$FB,82)</f>
        <v>-4.7999999999999996E-3</v>
      </c>
    </row>
    <row r="62" spans="1:15" x14ac:dyDescent="0.25">
      <c r="A62" s="97" t="str">
        <f>'Data Vlaue (Cr)'!C57</f>
        <v>DLF</v>
      </c>
      <c r="B62" s="142">
        <f>VLOOKUP(A62,'Data Vlaue (Cr)'!C57:CW271,99,0)</f>
        <v>4862</v>
      </c>
      <c r="C62" s="90">
        <f>VLOOKUP(A62,'Data Vlaue (Cr)'!C57:CY271,101,0)</f>
        <v>-90</v>
      </c>
      <c r="D62" s="139">
        <f>VLOOKUP(A62,'Data Vlaue (Cr)'!C57:CZ271,102,0)</f>
        <v>-1.83E-2</v>
      </c>
      <c r="E62" s="91">
        <f>VLOOKUP($A62,'Data Vlaue (Cr)'!$C:$FB,75)</f>
        <v>2941</v>
      </c>
      <c r="F62" s="91">
        <f>VLOOKUP($A62,'Data Vlaue (Cr)'!$C:$FB,77)</f>
        <v>-71</v>
      </c>
      <c r="G62" s="92">
        <f>VLOOKUP(A62,'Data Vlaue (Cr)'!C57:CB271,78,0)</f>
        <v>-2.3699999999999999E-2</v>
      </c>
      <c r="H62" s="91">
        <f>VLOOKUP($A62,'Data Vlaue (Cr)'!$C:$FB,91)</f>
        <v>1129</v>
      </c>
      <c r="I62" s="91">
        <f>VLOOKUP($A62,'Data Vlaue (Cr)'!$C:$FB,93)</f>
        <v>-20</v>
      </c>
      <c r="J62" s="92">
        <f>VLOOKUP($A62,'Data Vlaue (Cr)'!$C:$FB,94)</f>
        <v>-1.7500000000000002E-2</v>
      </c>
      <c r="K62" s="91">
        <f>VLOOKUP($A62,'Data Vlaue (Cr)'!$C:$FB,95)</f>
        <v>792</v>
      </c>
      <c r="L62" s="91">
        <f>VLOOKUP($A62,'Data Vlaue (Cr)'!$C:$FB,97)</f>
        <v>1</v>
      </c>
      <c r="M62" s="92">
        <f>VLOOKUP($A62,'Data Vlaue (Cr)'!$C:$FB,98)</f>
        <v>1.4E-3</v>
      </c>
      <c r="N62" s="91">
        <f>VLOOKUP($A62,'Data Vlaue (Cr)'!$C:$FB,79)</f>
        <v>2810</v>
      </c>
      <c r="O62" s="92">
        <f>VLOOKUP($A62,'Data Vlaue (Cr)'!$C:$FB,82)</f>
        <v>-2.75E-2</v>
      </c>
    </row>
    <row r="63" spans="1:15" x14ac:dyDescent="0.25">
      <c r="A63" s="97" t="str">
        <f>'Data Vlaue (Cr)'!C58</f>
        <v>DMART</v>
      </c>
      <c r="B63" s="142">
        <f>VLOOKUP(A63,'Data Vlaue (Cr)'!C58:CW272,99,0)</f>
        <v>4874</v>
      </c>
      <c r="C63" s="90">
        <f>VLOOKUP(A63,'Data Vlaue (Cr)'!C58:CY272,101,0)</f>
        <v>-263</v>
      </c>
      <c r="D63" s="139">
        <f>VLOOKUP(A63,'Data Vlaue (Cr)'!C58:CZ272,102,0)</f>
        <v>-5.1200000000000002E-2</v>
      </c>
      <c r="E63" s="91">
        <f>VLOOKUP($A63,'Data Vlaue (Cr)'!$C:$FB,75)</f>
        <v>2911</v>
      </c>
      <c r="F63" s="91">
        <f>VLOOKUP($A63,'Data Vlaue (Cr)'!$C:$FB,77)</f>
        <v>7</v>
      </c>
      <c r="G63" s="92">
        <f>VLOOKUP(A63,'Data Vlaue (Cr)'!C58:CB272,78,0)</f>
        <v>2.3E-3</v>
      </c>
      <c r="H63" s="91">
        <f>VLOOKUP($A63,'Data Vlaue (Cr)'!$C:$FB,91)</f>
        <v>1377</v>
      </c>
      <c r="I63" s="91">
        <f>VLOOKUP($A63,'Data Vlaue (Cr)'!$C:$FB,93)</f>
        <v>-232</v>
      </c>
      <c r="J63" s="92">
        <f>VLOOKUP($A63,'Data Vlaue (Cr)'!$C:$FB,94)</f>
        <v>-0.14419999999999999</v>
      </c>
      <c r="K63" s="91">
        <f>VLOOKUP($A63,'Data Vlaue (Cr)'!$C:$FB,95)</f>
        <v>586</v>
      </c>
      <c r="L63" s="91">
        <f>VLOOKUP($A63,'Data Vlaue (Cr)'!$C:$FB,97)</f>
        <v>-38</v>
      </c>
      <c r="M63" s="92">
        <f>VLOOKUP($A63,'Data Vlaue (Cr)'!$C:$FB,98)</f>
        <v>-6.0400000000000002E-2</v>
      </c>
      <c r="N63" s="91">
        <f>VLOOKUP($A63,'Data Vlaue (Cr)'!$C:$FB,79)</f>
        <v>2641</v>
      </c>
      <c r="O63" s="92">
        <f>VLOOKUP($A63,'Data Vlaue (Cr)'!$C:$FB,82)</f>
        <v>-1.6299999999999999E-2</v>
      </c>
    </row>
    <row r="64" spans="1:15" x14ac:dyDescent="0.25">
      <c r="A64" s="97" t="str">
        <f>'Data Vlaue (Cr)'!C59</f>
        <v>DRREDDY</v>
      </c>
      <c r="B64" s="142">
        <f>VLOOKUP(A64,'Data Vlaue (Cr)'!C59:CW273,99,0)</f>
        <v>2871</v>
      </c>
      <c r="C64" s="90">
        <f>VLOOKUP(A64,'Data Vlaue (Cr)'!C59:CY273,101,0)</f>
        <v>41</v>
      </c>
      <c r="D64" s="139">
        <f>VLOOKUP(A64,'Data Vlaue (Cr)'!C59:CZ273,102,0)</f>
        <v>1.43E-2</v>
      </c>
      <c r="E64" s="91">
        <f>VLOOKUP($A64,'Data Vlaue (Cr)'!$C:$FB,75)</f>
        <v>1629</v>
      </c>
      <c r="F64" s="91">
        <f>VLOOKUP($A64,'Data Vlaue (Cr)'!$C:$FB,77)</f>
        <v>27</v>
      </c>
      <c r="G64" s="92">
        <f>VLOOKUP(A64,'Data Vlaue (Cr)'!C59:CB273,78,0)</f>
        <v>1.66E-2</v>
      </c>
      <c r="H64" s="91">
        <f>VLOOKUP($A64,'Data Vlaue (Cr)'!$C:$FB,91)</f>
        <v>835</v>
      </c>
      <c r="I64" s="91">
        <f>VLOOKUP($A64,'Data Vlaue (Cr)'!$C:$FB,93)</f>
        <v>11</v>
      </c>
      <c r="J64" s="92">
        <f>VLOOKUP($A64,'Data Vlaue (Cr)'!$C:$FB,94)</f>
        <v>1.37E-2</v>
      </c>
      <c r="K64" s="91">
        <f>VLOOKUP($A64,'Data Vlaue (Cr)'!$C:$FB,95)</f>
        <v>407</v>
      </c>
      <c r="L64" s="91">
        <f>VLOOKUP($A64,'Data Vlaue (Cr)'!$C:$FB,97)</f>
        <v>3</v>
      </c>
      <c r="M64" s="92">
        <f>VLOOKUP($A64,'Data Vlaue (Cr)'!$C:$FB,98)</f>
        <v>6.7000000000000002E-3</v>
      </c>
      <c r="N64" s="91">
        <f>VLOOKUP($A64,'Data Vlaue (Cr)'!$C:$FB,79)</f>
        <v>1535</v>
      </c>
      <c r="O64" s="92">
        <f>VLOOKUP($A64,'Data Vlaue (Cr)'!$C:$FB,82)</f>
        <v>4.7000000000000002E-3</v>
      </c>
    </row>
    <row r="65" spans="1:15" x14ac:dyDescent="0.25">
      <c r="A65" s="97" t="str">
        <f>'Data Vlaue (Cr)'!C60</f>
        <v>EICHERMOT</v>
      </c>
      <c r="B65" s="142">
        <f>VLOOKUP(A65,'Data Vlaue (Cr)'!C60:CW274,99,0)</f>
        <v>4959</v>
      </c>
      <c r="C65" s="90">
        <f>VLOOKUP(A65,'Data Vlaue (Cr)'!C60:CY274,101,0)</f>
        <v>-147</v>
      </c>
      <c r="D65" s="139">
        <f>VLOOKUP(A65,'Data Vlaue (Cr)'!C60:CZ274,102,0)</f>
        <v>-2.8799999999999999E-2</v>
      </c>
      <c r="E65" s="91">
        <f>VLOOKUP($A65,'Data Vlaue (Cr)'!$C:$FB,75)</f>
        <v>2407</v>
      </c>
      <c r="F65" s="91">
        <f>VLOOKUP($A65,'Data Vlaue (Cr)'!$C:$FB,77)</f>
        <v>-37</v>
      </c>
      <c r="G65" s="92">
        <f>VLOOKUP(A65,'Data Vlaue (Cr)'!C60:CB274,78,0)</f>
        <v>-1.52E-2</v>
      </c>
      <c r="H65" s="91">
        <f>VLOOKUP($A65,'Data Vlaue (Cr)'!$C:$FB,91)</f>
        <v>1455</v>
      </c>
      <c r="I65" s="91">
        <f>VLOOKUP($A65,'Data Vlaue (Cr)'!$C:$FB,93)</f>
        <v>-123</v>
      </c>
      <c r="J65" s="92">
        <f>VLOOKUP($A65,'Data Vlaue (Cr)'!$C:$FB,94)</f>
        <v>-7.7799999999999994E-2</v>
      </c>
      <c r="K65" s="91">
        <f>VLOOKUP($A65,'Data Vlaue (Cr)'!$C:$FB,95)</f>
        <v>1097</v>
      </c>
      <c r="L65" s="91">
        <f>VLOOKUP($A65,'Data Vlaue (Cr)'!$C:$FB,97)</f>
        <v>13</v>
      </c>
      <c r="M65" s="92">
        <f>VLOOKUP($A65,'Data Vlaue (Cr)'!$C:$FB,98)</f>
        <v>1.1900000000000001E-2</v>
      </c>
      <c r="N65" s="91">
        <f>VLOOKUP($A65,'Data Vlaue (Cr)'!$C:$FB,79)</f>
        <v>2323</v>
      </c>
      <c r="O65" s="92">
        <f>VLOOKUP($A65,'Data Vlaue (Cr)'!$C:$FB,82)</f>
        <v>-1.8100000000000002E-2</v>
      </c>
    </row>
    <row r="66" spans="1:15" x14ac:dyDescent="0.25">
      <c r="A66" s="97" t="str">
        <f>'Data Vlaue (Cr)'!C61</f>
        <v>ETERNAL</v>
      </c>
      <c r="B66" s="142">
        <f>VLOOKUP(A66,'Data Vlaue (Cr)'!C61:CW275,99,0)</f>
        <v>12758</v>
      </c>
      <c r="C66" s="90">
        <f>VLOOKUP(A66,'Data Vlaue (Cr)'!C61:CY275,101,0)</f>
        <v>1104</v>
      </c>
      <c r="D66" s="139">
        <f>VLOOKUP(A66,'Data Vlaue (Cr)'!C61:CZ275,102,0)</f>
        <v>9.4700000000000006E-2</v>
      </c>
      <c r="E66" s="91">
        <f>VLOOKUP($A66,'Data Vlaue (Cr)'!$C:$FB,75)</f>
        <v>7651</v>
      </c>
      <c r="F66" s="91">
        <f>VLOOKUP($A66,'Data Vlaue (Cr)'!$C:$FB,77)</f>
        <v>-409</v>
      </c>
      <c r="G66" s="92">
        <f>VLOOKUP(A66,'Data Vlaue (Cr)'!C61:CB275,78,0)</f>
        <v>-5.0700000000000002E-2</v>
      </c>
      <c r="H66" s="91">
        <f>VLOOKUP($A66,'Data Vlaue (Cr)'!$C:$FB,91)</f>
        <v>3147</v>
      </c>
      <c r="I66" s="91">
        <f>VLOOKUP($A66,'Data Vlaue (Cr)'!$C:$FB,93)</f>
        <v>1040</v>
      </c>
      <c r="J66" s="92">
        <f>VLOOKUP($A66,'Data Vlaue (Cr)'!$C:$FB,94)</f>
        <v>0.49349999999999999</v>
      </c>
      <c r="K66" s="91">
        <f>VLOOKUP($A66,'Data Vlaue (Cr)'!$C:$FB,95)</f>
        <v>1960</v>
      </c>
      <c r="L66" s="91">
        <f>VLOOKUP($A66,'Data Vlaue (Cr)'!$C:$FB,97)</f>
        <v>473</v>
      </c>
      <c r="M66" s="92">
        <f>VLOOKUP($A66,'Data Vlaue (Cr)'!$C:$FB,98)</f>
        <v>0.31790000000000002</v>
      </c>
      <c r="N66" s="91">
        <f>VLOOKUP($A66,'Data Vlaue (Cr)'!$C:$FB,79)</f>
        <v>7346</v>
      </c>
      <c r="O66" s="92">
        <f>VLOOKUP($A66,'Data Vlaue (Cr)'!$C:$FB,82)</f>
        <v>-7.1099999999999997E-2</v>
      </c>
    </row>
    <row r="67" spans="1:15" x14ac:dyDescent="0.25">
      <c r="A67" s="97" t="str">
        <f>'Data Vlaue (Cr)'!C62</f>
        <v>EXIDEIND</v>
      </c>
      <c r="B67" s="142">
        <f>VLOOKUP(A67,'Data Vlaue (Cr)'!C62:CW276,99,0)</f>
        <v>2100</v>
      </c>
      <c r="C67" s="90">
        <f>VLOOKUP(A67,'Data Vlaue (Cr)'!C62:CY276,101,0)</f>
        <v>-10</v>
      </c>
      <c r="D67" s="139">
        <f>VLOOKUP(A67,'Data Vlaue (Cr)'!C62:CZ276,102,0)</f>
        <v>-4.7999999999999996E-3</v>
      </c>
      <c r="E67" s="91">
        <f>VLOOKUP($A67,'Data Vlaue (Cr)'!$C:$FB,75)</f>
        <v>1230</v>
      </c>
      <c r="F67" s="91">
        <f>VLOOKUP($A67,'Data Vlaue (Cr)'!$C:$FB,77)</f>
        <v>-3</v>
      </c>
      <c r="G67" s="92">
        <f>VLOOKUP(A67,'Data Vlaue (Cr)'!C62:CB276,78,0)</f>
        <v>-2.5999999999999999E-3</v>
      </c>
      <c r="H67" s="91">
        <f>VLOOKUP($A67,'Data Vlaue (Cr)'!$C:$FB,91)</f>
        <v>520</v>
      </c>
      <c r="I67" s="91">
        <f>VLOOKUP($A67,'Data Vlaue (Cr)'!$C:$FB,93)</f>
        <v>-15</v>
      </c>
      <c r="J67" s="92">
        <f>VLOOKUP($A67,'Data Vlaue (Cr)'!$C:$FB,94)</f>
        <v>-2.8199999999999999E-2</v>
      </c>
      <c r="K67" s="91">
        <f>VLOOKUP($A67,'Data Vlaue (Cr)'!$C:$FB,95)</f>
        <v>349</v>
      </c>
      <c r="L67" s="91">
        <f>VLOOKUP($A67,'Data Vlaue (Cr)'!$C:$FB,97)</f>
        <v>8</v>
      </c>
      <c r="M67" s="92">
        <f>VLOOKUP($A67,'Data Vlaue (Cr)'!$C:$FB,98)</f>
        <v>2.3800000000000002E-2</v>
      </c>
      <c r="N67" s="91">
        <f>VLOOKUP($A67,'Data Vlaue (Cr)'!$C:$FB,79)</f>
        <v>1130</v>
      </c>
      <c r="O67" s="92">
        <f>VLOOKUP($A67,'Data Vlaue (Cr)'!$C:$FB,82)</f>
        <v>-1.8100000000000002E-2</v>
      </c>
    </row>
    <row r="68" spans="1:15" x14ac:dyDescent="0.25">
      <c r="A68" s="97" t="str">
        <f>'Data Vlaue (Cr)'!C63</f>
        <v>FEDERALBNK</v>
      </c>
      <c r="B68" s="142">
        <f>VLOOKUP(A68,'Data Vlaue (Cr)'!C63:CW277,99,0)</f>
        <v>4622</v>
      </c>
      <c r="C68" s="90">
        <f>VLOOKUP(A68,'Data Vlaue (Cr)'!C63:CY277,101,0)</f>
        <v>60</v>
      </c>
      <c r="D68" s="139">
        <f>VLOOKUP(A68,'Data Vlaue (Cr)'!C63:CZ277,102,0)</f>
        <v>1.32E-2</v>
      </c>
      <c r="E68" s="91">
        <f>VLOOKUP($A68,'Data Vlaue (Cr)'!$C:$FB,75)</f>
        <v>2173</v>
      </c>
      <c r="F68" s="91">
        <f>VLOOKUP($A68,'Data Vlaue (Cr)'!$C:$FB,77)</f>
        <v>45</v>
      </c>
      <c r="G68" s="92">
        <f>VLOOKUP(A68,'Data Vlaue (Cr)'!C63:CB277,78,0)</f>
        <v>2.12E-2</v>
      </c>
      <c r="H68" s="91">
        <f>VLOOKUP($A68,'Data Vlaue (Cr)'!$C:$FB,91)</f>
        <v>1479</v>
      </c>
      <c r="I68" s="91">
        <f>VLOOKUP($A68,'Data Vlaue (Cr)'!$C:$FB,93)</f>
        <v>6</v>
      </c>
      <c r="J68" s="92">
        <f>VLOOKUP($A68,'Data Vlaue (Cr)'!$C:$FB,94)</f>
        <v>4.1999999999999997E-3</v>
      </c>
      <c r="K68" s="91">
        <f>VLOOKUP($A68,'Data Vlaue (Cr)'!$C:$FB,95)</f>
        <v>969</v>
      </c>
      <c r="L68" s="91">
        <f>VLOOKUP($A68,'Data Vlaue (Cr)'!$C:$FB,97)</f>
        <v>9</v>
      </c>
      <c r="M68" s="92">
        <f>VLOOKUP($A68,'Data Vlaue (Cr)'!$C:$FB,98)</f>
        <v>9.2999999999999992E-3</v>
      </c>
      <c r="N68" s="91">
        <f>VLOOKUP($A68,'Data Vlaue (Cr)'!$C:$FB,79)</f>
        <v>2020</v>
      </c>
      <c r="O68" s="92">
        <f>VLOOKUP($A68,'Data Vlaue (Cr)'!$C:$FB,82)</f>
        <v>8.2000000000000007E-3</v>
      </c>
    </row>
    <row r="69" spans="1:15" x14ac:dyDescent="0.25">
      <c r="A69" s="97" t="str">
        <f>'Data Vlaue (Cr)'!C64</f>
        <v>FINNIFTY</v>
      </c>
      <c r="B69" s="142">
        <f>VLOOKUP(A69,'Data Vlaue (Cr)'!C64:CW278,99,0)</f>
        <v>5617</v>
      </c>
      <c r="C69" s="90">
        <f>VLOOKUP(A69,'Data Vlaue (Cr)'!C64:CY278,101,0)</f>
        <v>-131</v>
      </c>
      <c r="D69" s="139">
        <f>VLOOKUP(A69,'Data Vlaue (Cr)'!C64:CZ278,102,0)</f>
        <v>-2.2800000000000001E-2</v>
      </c>
      <c r="E69" s="91">
        <f>VLOOKUP($A69,'Data Vlaue (Cr)'!$C:$FB,75)</f>
        <v>119</v>
      </c>
      <c r="F69" s="91">
        <f>VLOOKUP($A69,'Data Vlaue (Cr)'!$C:$FB,77)</f>
        <v>2</v>
      </c>
      <c r="G69" s="92">
        <f>VLOOKUP(A69,'Data Vlaue (Cr)'!C64:CB278,78,0)</f>
        <v>1.9900000000000001E-2</v>
      </c>
      <c r="H69" s="91">
        <f>VLOOKUP($A69,'Data Vlaue (Cr)'!$C:$FB,91)</f>
        <v>2835</v>
      </c>
      <c r="I69" s="91">
        <f>VLOOKUP($A69,'Data Vlaue (Cr)'!$C:$FB,93)</f>
        <v>-291</v>
      </c>
      <c r="J69" s="92">
        <f>VLOOKUP($A69,'Data Vlaue (Cr)'!$C:$FB,94)</f>
        <v>-9.2999999999999999E-2</v>
      </c>
      <c r="K69" s="91">
        <f>VLOOKUP($A69,'Data Vlaue (Cr)'!$C:$FB,95)</f>
        <v>2663</v>
      </c>
      <c r="L69" s="91">
        <f>VLOOKUP($A69,'Data Vlaue (Cr)'!$C:$FB,97)</f>
        <v>157</v>
      </c>
      <c r="M69" s="92">
        <f>VLOOKUP($A69,'Data Vlaue (Cr)'!$C:$FB,98)</f>
        <v>6.2700000000000006E-2</v>
      </c>
      <c r="N69" s="91">
        <f>VLOOKUP($A69,'Data Vlaue (Cr)'!$C:$FB,79)</f>
        <v>111</v>
      </c>
      <c r="O69" s="92">
        <f>VLOOKUP($A69,'Data Vlaue (Cr)'!$C:$FB,82)</f>
        <v>1.14E-2</v>
      </c>
    </row>
    <row r="70" spans="1:15" x14ac:dyDescent="0.25">
      <c r="A70" s="97" t="str">
        <f>'Data Vlaue (Cr)'!C65</f>
        <v>FORTIS</v>
      </c>
      <c r="B70" s="142">
        <f>VLOOKUP(A70,'Data Vlaue (Cr)'!C65:CW279,99,0)</f>
        <v>1735</v>
      </c>
      <c r="C70" s="90">
        <f>VLOOKUP(A70,'Data Vlaue (Cr)'!C65:CY279,101,0)</f>
        <v>-25</v>
      </c>
      <c r="D70" s="139">
        <f>VLOOKUP(A70,'Data Vlaue (Cr)'!C65:CZ279,102,0)</f>
        <v>-1.43E-2</v>
      </c>
      <c r="E70" s="91">
        <f>VLOOKUP($A70,'Data Vlaue (Cr)'!$C:$FB,75)</f>
        <v>918</v>
      </c>
      <c r="F70" s="91">
        <f>VLOOKUP($A70,'Data Vlaue (Cr)'!$C:$FB,77)</f>
        <v>1</v>
      </c>
      <c r="G70" s="92">
        <f>VLOOKUP(A70,'Data Vlaue (Cr)'!C65:CB279,78,0)</f>
        <v>1.6000000000000001E-3</v>
      </c>
      <c r="H70" s="91">
        <f>VLOOKUP($A70,'Data Vlaue (Cr)'!$C:$FB,91)</f>
        <v>446</v>
      </c>
      <c r="I70" s="91">
        <f>VLOOKUP($A70,'Data Vlaue (Cr)'!$C:$FB,93)</f>
        <v>-24</v>
      </c>
      <c r="J70" s="92">
        <f>VLOOKUP($A70,'Data Vlaue (Cr)'!$C:$FB,94)</f>
        <v>-5.16E-2</v>
      </c>
      <c r="K70" s="91">
        <f>VLOOKUP($A70,'Data Vlaue (Cr)'!$C:$FB,95)</f>
        <v>371</v>
      </c>
      <c r="L70" s="91">
        <f>VLOOKUP($A70,'Data Vlaue (Cr)'!$C:$FB,97)</f>
        <v>-2</v>
      </c>
      <c r="M70" s="92">
        <f>VLOOKUP($A70,'Data Vlaue (Cr)'!$C:$FB,98)</f>
        <v>-6.4000000000000003E-3</v>
      </c>
      <c r="N70" s="91">
        <f>VLOOKUP($A70,'Data Vlaue (Cr)'!$C:$FB,79)</f>
        <v>860</v>
      </c>
      <c r="O70" s="92">
        <f>VLOOKUP($A70,'Data Vlaue (Cr)'!$C:$FB,82)</f>
        <v>-5.0000000000000001E-3</v>
      </c>
    </row>
    <row r="71" spans="1:15" x14ac:dyDescent="0.25">
      <c r="A71" s="97" t="str">
        <f>'Data Vlaue (Cr)'!C66</f>
        <v>GAIL</v>
      </c>
      <c r="B71" s="142">
        <f>VLOOKUP(A71,'Data Vlaue (Cr)'!C66:CW280,99,0)</f>
        <v>2909</v>
      </c>
      <c r="C71" s="90">
        <f>VLOOKUP(A71,'Data Vlaue (Cr)'!C66:CY280,101,0)</f>
        <v>-79</v>
      </c>
      <c r="D71" s="139">
        <f>VLOOKUP(A71,'Data Vlaue (Cr)'!C66:CZ280,102,0)</f>
        <v>-2.6599999999999999E-2</v>
      </c>
      <c r="E71" s="91">
        <f>VLOOKUP($A71,'Data Vlaue (Cr)'!$C:$FB,75)</f>
        <v>1723</v>
      </c>
      <c r="F71" s="91">
        <f>VLOOKUP($A71,'Data Vlaue (Cr)'!$C:$FB,77)</f>
        <v>-35</v>
      </c>
      <c r="G71" s="92">
        <f>VLOOKUP(A71,'Data Vlaue (Cr)'!C66:CB280,78,0)</f>
        <v>-1.9699999999999999E-2</v>
      </c>
      <c r="H71" s="91">
        <f>VLOOKUP($A71,'Data Vlaue (Cr)'!$C:$FB,91)</f>
        <v>737</v>
      </c>
      <c r="I71" s="91">
        <f>VLOOKUP($A71,'Data Vlaue (Cr)'!$C:$FB,93)</f>
        <v>-37</v>
      </c>
      <c r="J71" s="92">
        <f>VLOOKUP($A71,'Data Vlaue (Cr)'!$C:$FB,94)</f>
        <v>-4.8099999999999997E-2</v>
      </c>
      <c r="K71" s="91">
        <f>VLOOKUP($A71,'Data Vlaue (Cr)'!$C:$FB,95)</f>
        <v>449</v>
      </c>
      <c r="L71" s="91">
        <f>VLOOKUP($A71,'Data Vlaue (Cr)'!$C:$FB,97)</f>
        <v>-8</v>
      </c>
      <c r="M71" s="92">
        <f>VLOOKUP($A71,'Data Vlaue (Cr)'!$C:$FB,98)</f>
        <v>-1.6500000000000001E-2</v>
      </c>
      <c r="N71" s="91">
        <f>VLOOKUP($A71,'Data Vlaue (Cr)'!$C:$FB,79)</f>
        <v>1609</v>
      </c>
      <c r="O71" s="92">
        <f>VLOOKUP($A71,'Data Vlaue (Cr)'!$C:$FB,82)</f>
        <v>-2.12E-2</v>
      </c>
    </row>
    <row r="72" spans="1:15" x14ac:dyDescent="0.25">
      <c r="A72" s="97" t="str">
        <f>'Data Vlaue (Cr)'!C67</f>
        <v>GLENMARK</v>
      </c>
      <c r="B72" s="142">
        <f>VLOOKUP(A72,'Data Vlaue (Cr)'!C67:CW281,99,0)</f>
        <v>2214</v>
      </c>
      <c r="C72" s="90">
        <f>VLOOKUP(A72,'Data Vlaue (Cr)'!C67:CY281,101,0)</f>
        <v>56</v>
      </c>
      <c r="D72" s="139">
        <f>VLOOKUP(A72,'Data Vlaue (Cr)'!C67:CZ281,102,0)</f>
        <v>2.6100000000000002E-2</v>
      </c>
      <c r="E72" s="91">
        <f>VLOOKUP($A72,'Data Vlaue (Cr)'!$C:$FB,75)</f>
        <v>1497</v>
      </c>
      <c r="F72" s="91">
        <f>VLOOKUP($A72,'Data Vlaue (Cr)'!$C:$FB,77)</f>
        <v>22</v>
      </c>
      <c r="G72" s="92">
        <f>VLOOKUP(A72,'Data Vlaue (Cr)'!C67:CB281,78,0)</f>
        <v>1.47E-2</v>
      </c>
      <c r="H72" s="91">
        <f>VLOOKUP($A72,'Data Vlaue (Cr)'!$C:$FB,91)</f>
        <v>487</v>
      </c>
      <c r="I72" s="91">
        <f>VLOOKUP($A72,'Data Vlaue (Cr)'!$C:$FB,93)</f>
        <v>41</v>
      </c>
      <c r="J72" s="92">
        <f>VLOOKUP($A72,'Data Vlaue (Cr)'!$C:$FB,94)</f>
        <v>9.0999999999999998E-2</v>
      </c>
      <c r="K72" s="91">
        <f>VLOOKUP($A72,'Data Vlaue (Cr)'!$C:$FB,95)</f>
        <v>231</v>
      </c>
      <c r="L72" s="91">
        <f>VLOOKUP($A72,'Data Vlaue (Cr)'!$C:$FB,97)</f>
        <v>-6</v>
      </c>
      <c r="M72" s="92">
        <f>VLOOKUP($A72,'Data Vlaue (Cr)'!$C:$FB,98)</f>
        <v>-2.4899999999999999E-2</v>
      </c>
      <c r="N72" s="91">
        <f>VLOOKUP($A72,'Data Vlaue (Cr)'!$C:$FB,79)</f>
        <v>1442</v>
      </c>
      <c r="O72" s="92">
        <f>VLOOKUP($A72,'Data Vlaue (Cr)'!$C:$FB,82)</f>
        <v>-4.4999999999999997E-3</v>
      </c>
    </row>
    <row r="73" spans="1:15" x14ac:dyDescent="0.25">
      <c r="A73" s="97" t="str">
        <f>'Data Vlaue (Cr)'!C68</f>
        <v>GMRAIRPORT</v>
      </c>
      <c r="B73" s="142">
        <f>VLOOKUP(A73,'Data Vlaue (Cr)'!C68:CW282,99,0)</f>
        <v>3103</v>
      </c>
      <c r="C73" s="90">
        <f>VLOOKUP(A73,'Data Vlaue (Cr)'!C68:CY282,101,0)</f>
        <v>39</v>
      </c>
      <c r="D73" s="139">
        <f>VLOOKUP(A73,'Data Vlaue (Cr)'!C68:CZ282,102,0)</f>
        <v>1.2699999999999999E-2</v>
      </c>
      <c r="E73" s="91">
        <f>VLOOKUP($A73,'Data Vlaue (Cr)'!$C:$FB,75)</f>
        <v>2021</v>
      </c>
      <c r="F73" s="91">
        <f>VLOOKUP($A73,'Data Vlaue (Cr)'!$C:$FB,77)</f>
        <v>-2</v>
      </c>
      <c r="G73" s="92">
        <f>VLOOKUP(A73,'Data Vlaue (Cr)'!C68:CB282,78,0)</f>
        <v>-8.0000000000000004E-4</v>
      </c>
      <c r="H73" s="91">
        <f>VLOOKUP($A73,'Data Vlaue (Cr)'!$C:$FB,91)</f>
        <v>723</v>
      </c>
      <c r="I73" s="91">
        <f>VLOOKUP($A73,'Data Vlaue (Cr)'!$C:$FB,93)</f>
        <v>18</v>
      </c>
      <c r="J73" s="92">
        <f>VLOOKUP($A73,'Data Vlaue (Cr)'!$C:$FB,94)</f>
        <v>2.5899999999999999E-2</v>
      </c>
      <c r="K73" s="91">
        <f>VLOOKUP($A73,'Data Vlaue (Cr)'!$C:$FB,95)</f>
        <v>358</v>
      </c>
      <c r="L73" s="91">
        <f>VLOOKUP($A73,'Data Vlaue (Cr)'!$C:$FB,97)</f>
        <v>22</v>
      </c>
      <c r="M73" s="92">
        <f>VLOOKUP($A73,'Data Vlaue (Cr)'!$C:$FB,98)</f>
        <v>6.6100000000000006E-2</v>
      </c>
      <c r="N73" s="91">
        <f>VLOOKUP($A73,'Data Vlaue (Cr)'!$C:$FB,79)</f>
        <v>1868</v>
      </c>
      <c r="O73" s="92">
        <f>VLOOKUP($A73,'Data Vlaue (Cr)'!$C:$FB,82)</f>
        <v>-5.7000000000000002E-3</v>
      </c>
    </row>
    <row r="74" spans="1:15" x14ac:dyDescent="0.25">
      <c r="A74" s="97" t="str">
        <f>'Data Vlaue (Cr)'!C69</f>
        <v>GODREJCP</v>
      </c>
      <c r="B74" s="142">
        <f>VLOOKUP(A74,'Data Vlaue (Cr)'!C69:CW283,99,0)</f>
        <v>2171</v>
      </c>
      <c r="C74" s="90">
        <f>VLOOKUP(A74,'Data Vlaue (Cr)'!C69:CY283,101,0)</f>
        <v>84</v>
      </c>
      <c r="D74" s="139">
        <f>VLOOKUP(A74,'Data Vlaue (Cr)'!C69:CZ283,102,0)</f>
        <v>4.0099999999999997E-2</v>
      </c>
      <c r="E74" s="91">
        <f>VLOOKUP($A74,'Data Vlaue (Cr)'!$C:$FB,75)</f>
        <v>1400</v>
      </c>
      <c r="F74" s="91">
        <f>VLOOKUP($A74,'Data Vlaue (Cr)'!$C:$FB,77)</f>
        <v>29</v>
      </c>
      <c r="G74" s="92">
        <f>VLOOKUP(A74,'Data Vlaue (Cr)'!C69:CB283,78,0)</f>
        <v>2.12E-2</v>
      </c>
      <c r="H74" s="91">
        <f>VLOOKUP($A74,'Data Vlaue (Cr)'!$C:$FB,91)</f>
        <v>531</v>
      </c>
      <c r="I74" s="91">
        <f>VLOOKUP($A74,'Data Vlaue (Cr)'!$C:$FB,93)</f>
        <v>55</v>
      </c>
      <c r="J74" s="92">
        <f>VLOOKUP($A74,'Data Vlaue (Cr)'!$C:$FB,94)</f>
        <v>0.1153</v>
      </c>
      <c r="K74" s="91">
        <f>VLOOKUP($A74,'Data Vlaue (Cr)'!$C:$FB,95)</f>
        <v>240</v>
      </c>
      <c r="L74" s="91">
        <f>VLOOKUP($A74,'Data Vlaue (Cr)'!$C:$FB,97)</f>
        <v>0</v>
      </c>
      <c r="M74" s="92">
        <f>VLOOKUP($A74,'Data Vlaue (Cr)'!$C:$FB,98)</f>
        <v>-8.9999999999999998E-4</v>
      </c>
      <c r="N74" s="91">
        <f>VLOOKUP($A74,'Data Vlaue (Cr)'!$C:$FB,79)</f>
        <v>1323</v>
      </c>
      <c r="O74" s="92">
        <f>VLOOKUP($A74,'Data Vlaue (Cr)'!$C:$FB,82)</f>
        <v>1.4999999999999999E-2</v>
      </c>
    </row>
    <row r="75" spans="1:15" x14ac:dyDescent="0.25">
      <c r="A75" s="97" t="str">
        <f>'Data Vlaue (Cr)'!C70</f>
        <v>GODREJPROP</v>
      </c>
      <c r="B75" s="142">
        <f>VLOOKUP(A75,'Data Vlaue (Cr)'!C70:CW284,99,0)</f>
        <v>3146</v>
      </c>
      <c r="C75" s="90">
        <f>VLOOKUP(A75,'Data Vlaue (Cr)'!C70:CY284,101,0)</f>
        <v>-24</v>
      </c>
      <c r="D75" s="139">
        <f>VLOOKUP(A75,'Data Vlaue (Cr)'!C70:CZ284,102,0)</f>
        <v>-7.7000000000000002E-3</v>
      </c>
      <c r="E75" s="91">
        <f>VLOOKUP($A75,'Data Vlaue (Cr)'!$C:$FB,75)</f>
        <v>1999</v>
      </c>
      <c r="F75" s="91">
        <f>VLOOKUP($A75,'Data Vlaue (Cr)'!$C:$FB,77)</f>
        <v>-56</v>
      </c>
      <c r="G75" s="92">
        <f>VLOOKUP(A75,'Data Vlaue (Cr)'!C70:CB284,78,0)</f>
        <v>-2.7300000000000001E-2</v>
      </c>
      <c r="H75" s="91">
        <f>VLOOKUP($A75,'Data Vlaue (Cr)'!$C:$FB,91)</f>
        <v>659</v>
      </c>
      <c r="I75" s="91">
        <f>VLOOKUP($A75,'Data Vlaue (Cr)'!$C:$FB,93)</f>
        <v>-16</v>
      </c>
      <c r="J75" s="92">
        <f>VLOOKUP($A75,'Data Vlaue (Cr)'!$C:$FB,94)</f>
        <v>-2.4299999999999999E-2</v>
      </c>
      <c r="K75" s="91">
        <f>VLOOKUP($A75,'Data Vlaue (Cr)'!$C:$FB,95)</f>
        <v>488</v>
      </c>
      <c r="L75" s="91">
        <f>VLOOKUP($A75,'Data Vlaue (Cr)'!$C:$FB,97)</f>
        <v>48</v>
      </c>
      <c r="M75" s="92">
        <f>VLOOKUP($A75,'Data Vlaue (Cr)'!$C:$FB,98)</f>
        <v>0.10970000000000001</v>
      </c>
      <c r="N75" s="91">
        <f>VLOOKUP($A75,'Data Vlaue (Cr)'!$C:$FB,79)</f>
        <v>1913</v>
      </c>
      <c r="O75" s="92">
        <f>VLOOKUP($A75,'Data Vlaue (Cr)'!$C:$FB,82)</f>
        <v>-4.1799999999999997E-2</v>
      </c>
    </row>
    <row r="76" spans="1:15" x14ac:dyDescent="0.25">
      <c r="A76" s="97" t="str">
        <f>'Data Vlaue (Cr)'!C71</f>
        <v>GRASIM</v>
      </c>
      <c r="B76" s="142">
        <f>VLOOKUP(A76,'Data Vlaue (Cr)'!C71:CW285,99,0)</f>
        <v>4982</v>
      </c>
      <c r="C76" s="90">
        <f>VLOOKUP(A76,'Data Vlaue (Cr)'!C71:CY285,101,0)</f>
        <v>30</v>
      </c>
      <c r="D76" s="139">
        <f>VLOOKUP(A76,'Data Vlaue (Cr)'!C71:CZ285,102,0)</f>
        <v>6.0000000000000001E-3</v>
      </c>
      <c r="E76" s="91">
        <f>VLOOKUP($A76,'Data Vlaue (Cr)'!$C:$FB,75)</f>
        <v>4231</v>
      </c>
      <c r="F76" s="91">
        <f>VLOOKUP($A76,'Data Vlaue (Cr)'!$C:$FB,77)</f>
        <v>60</v>
      </c>
      <c r="G76" s="92">
        <f>VLOOKUP(A76,'Data Vlaue (Cr)'!C71:CB285,78,0)</f>
        <v>1.4500000000000001E-2</v>
      </c>
      <c r="H76" s="91">
        <f>VLOOKUP($A76,'Data Vlaue (Cr)'!$C:$FB,91)</f>
        <v>444</v>
      </c>
      <c r="I76" s="91">
        <f>VLOOKUP($A76,'Data Vlaue (Cr)'!$C:$FB,93)</f>
        <v>-34</v>
      </c>
      <c r="J76" s="92">
        <f>VLOOKUP($A76,'Data Vlaue (Cr)'!$C:$FB,94)</f>
        <v>-7.0599999999999996E-2</v>
      </c>
      <c r="K76" s="91">
        <f>VLOOKUP($A76,'Data Vlaue (Cr)'!$C:$FB,95)</f>
        <v>306</v>
      </c>
      <c r="L76" s="91">
        <f>VLOOKUP($A76,'Data Vlaue (Cr)'!$C:$FB,97)</f>
        <v>3</v>
      </c>
      <c r="M76" s="92">
        <f>VLOOKUP($A76,'Data Vlaue (Cr)'!$C:$FB,98)</f>
        <v>9.7000000000000003E-3</v>
      </c>
      <c r="N76" s="91">
        <f>VLOOKUP($A76,'Data Vlaue (Cr)'!$C:$FB,79)</f>
        <v>4169</v>
      </c>
      <c r="O76" s="92">
        <f>VLOOKUP($A76,'Data Vlaue (Cr)'!$C:$FB,82)</f>
        <v>1.1900000000000001E-2</v>
      </c>
    </row>
    <row r="77" spans="1:15" x14ac:dyDescent="0.25">
      <c r="A77" s="97" t="str">
        <f>'Data Vlaue (Cr)'!C72</f>
        <v>HAL</v>
      </c>
      <c r="B77" s="142">
        <f>VLOOKUP(A77,'Data Vlaue (Cr)'!C72:CW286,99,0)</f>
        <v>8180</v>
      </c>
      <c r="C77" s="90">
        <f>VLOOKUP(A77,'Data Vlaue (Cr)'!C72:CY286,101,0)</f>
        <v>64</v>
      </c>
      <c r="D77" s="139">
        <f>VLOOKUP(A77,'Data Vlaue (Cr)'!C72:CZ286,102,0)</f>
        <v>7.9000000000000008E-3</v>
      </c>
      <c r="E77" s="91">
        <f>VLOOKUP($A77,'Data Vlaue (Cr)'!$C:$FB,75)</f>
        <v>4609</v>
      </c>
      <c r="F77" s="91">
        <f>VLOOKUP($A77,'Data Vlaue (Cr)'!$C:$FB,77)</f>
        <v>30</v>
      </c>
      <c r="G77" s="92">
        <f>VLOOKUP(A77,'Data Vlaue (Cr)'!C72:CB286,78,0)</f>
        <v>6.4999999999999997E-3</v>
      </c>
      <c r="H77" s="91">
        <f>VLOOKUP($A77,'Data Vlaue (Cr)'!$C:$FB,91)</f>
        <v>2264</v>
      </c>
      <c r="I77" s="91">
        <f>VLOOKUP($A77,'Data Vlaue (Cr)'!$C:$FB,93)</f>
        <v>51</v>
      </c>
      <c r="J77" s="92">
        <f>VLOOKUP($A77,'Data Vlaue (Cr)'!$C:$FB,94)</f>
        <v>2.3300000000000001E-2</v>
      </c>
      <c r="K77" s="91">
        <f>VLOOKUP($A77,'Data Vlaue (Cr)'!$C:$FB,95)</f>
        <v>1307</v>
      </c>
      <c r="L77" s="91">
        <f>VLOOKUP($A77,'Data Vlaue (Cr)'!$C:$FB,97)</f>
        <v>-17</v>
      </c>
      <c r="M77" s="92">
        <f>VLOOKUP($A77,'Data Vlaue (Cr)'!$C:$FB,98)</f>
        <v>-1.26E-2</v>
      </c>
      <c r="N77" s="91">
        <f>VLOOKUP($A77,'Data Vlaue (Cr)'!$C:$FB,79)</f>
        <v>4228</v>
      </c>
      <c r="O77" s="92">
        <f>VLOOKUP($A77,'Data Vlaue (Cr)'!$C:$FB,82)</f>
        <v>-2E-3</v>
      </c>
    </row>
    <row r="78" spans="1:15" x14ac:dyDescent="0.25">
      <c r="A78" s="97" t="str">
        <f>'Data Vlaue (Cr)'!C73</f>
        <v>HAVELLS</v>
      </c>
      <c r="B78" s="142">
        <f>VLOOKUP(A78,'Data Vlaue (Cr)'!C73:CW287,99,0)</f>
        <v>2537</v>
      </c>
      <c r="C78" s="90">
        <f>VLOOKUP(A78,'Data Vlaue (Cr)'!C73:CY287,101,0)</f>
        <v>-10</v>
      </c>
      <c r="D78" s="139">
        <f>VLOOKUP(A78,'Data Vlaue (Cr)'!C73:CZ287,102,0)</f>
        <v>-3.8999999999999998E-3</v>
      </c>
      <c r="E78" s="91">
        <f>VLOOKUP($A78,'Data Vlaue (Cr)'!$C:$FB,75)</f>
        <v>1683</v>
      </c>
      <c r="F78" s="91">
        <f>VLOOKUP($A78,'Data Vlaue (Cr)'!$C:$FB,77)</f>
        <v>5</v>
      </c>
      <c r="G78" s="92">
        <f>VLOOKUP(A78,'Data Vlaue (Cr)'!C73:CB287,78,0)</f>
        <v>2.8E-3</v>
      </c>
      <c r="H78" s="91">
        <f>VLOOKUP($A78,'Data Vlaue (Cr)'!$C:$FB,91)</f>
        <v>538</v>
      </c>
      <c r="I78" s="91">
        <f>VLOOKUP($A78,'Data Vlaue (Cr)'!$C:$FB,93)</f>
        <v>-20</v>
      </c>
      <c r="J78" s="92">
        <f>VLOOKUP($A78,'Data Vlaue (Cr)'!$C:$FB,94)</f>
        <v>-3.61E-2</v>
      </c>
      <c r="K78" s="91">
        <f>VLOOKUP($A78,'Data Vlaue (Cr)'!$C:$FB,95)</f>
        <v>315</v>
      </c>
      <c r="L78" s="91">
        <f>VLOOKUP($A78,'Data Vlaue (Cr)'!$C:$FB,97)</f>
        <v>5</v>
      </c>
      <c r="M78" s="92">
        <f>VLOOKUP($A78,'Data Vlaue (Cr)'!$C:$FB,98)</f>
        <v>1.7399999999999999E-2</v>
      </c>
      <c r="N78" s="91">
        <f>VLOOKUP($A78,'Data Vlaue (Cr)'!$C:$FB,79)</f>
        <v>1601</v>
      </c>
      <c r="O78" s="92">
        <f>VLOOKUP($A78,'Data Vlaue (Cr)'!$C:$FB,82)</f>
        <v>-4.5999999999999999E-3</v>
      </c>
    </row>
    <row r="79" spans="1:15" x14ac:dyDescent="0.25">
      <c r="A79" s="97" t="str">
        <f>'Data Vlaue (Cr)'!C74</f>
        <v>HCLTECH</v>
      </c>
      <c r="B79" s="142">
        <f>VLOOKUP(A79,'Data Vlaue (Cr)'!C74:CW288,99,0)</f>
        <v>5068</v>
      </c>
      <c r="C79" s="90">
        <f>VLOOKUP(A79,'Data Vlaue (Cr)'!C74:CY288,101,0)</f>
        <v>-729</v>
      </c>
      <c r="D79" s="139">
        <f>VLOOKUP(A79,'Data Vlaue (Cr)'!C74:CZ288,102,0)</f>
        <v>-0.1258</v>
      </c>
      <c r="E79" s="91">
        <f>VLOOKUP($A79,'Data Vlaue (Cr)'!$C:$FB,75)</f>
        <v>2714</v>
      </c>
      <c r="F79" s="91">
        <f>VLOOKUP($A79,'Data Vlaue (Cr)'!$C:$FB,77)</f>
        <v>-130</v>
      </c>
      <c r="G79" s="92">
        <f>VLOOKUP(A79,'Data Vlaue (Cr)'!C74:CB288,78,0)</f>
        <v>-4.5699999999999998E-2</v>
      </c>
      <c r="H79" s="91">
        <f>VLOOKUP($A79,'Data Vlaue (Cr)'!$C:$FB,91)</f>
        <v>1477</v>
      </c>
      <c r="I79" s="91">
        <f>VLOOKUP($A79,'Data Vlaue (Cr)'!$C:$FB,93)</f>
        <v>-458</v>
      </c>
      <c r="J79" s="92">
        <f>VLOOKUP($A79,'Data Vlaue (Cr)'!$C:$FB,94)</f>
        <v>-0.23669999999999999</v>
      </c>
      <c r="K79" s="91">
        <f>VLOOKUP($A79,'Data Vlaue (Cr)'!$C:$FB,95)</f>
        <v>878</v>
      </c>
      <c r="L79" s="91">
        <f>VLOOKUP($A79,'Data Vlaue (Cr)'!$C:$FB,97)</f>
        <v>-142</v>
      </c>
      <c r="M79" s="92">
        <f>VLOOKUP($A79,'Data Vlaue (Cr)'!$C:$FB,98)</f>
        <v>-0.1389</v>
      </c>
      <c r="N79" s="91">
        <f>VLOOKUP($A79,'Data Vlaue (Cr)'!$C:$FB,79)</f>
        <v>2562</v>
      </c>
      <c r="O79" s="92">
        <f>VLOOKUP($A79,'Data Vlaue (Cr)'!$C:$FB,82)</f>
        <v>-5.3400000000000003E-2</v>
      </c>
    </row>
    <row r="80" spans="1:15" x14ac:dyDescent="0.25">
      <c r="A80" s="97" t="str">
        <f>'Data Vlaue (Cr)'!C75</f>
        <v>HDFCAMC</v>
      </c>
      <c r="B80" s="142">
        <f>VLOOKUP(A80,'Data Vlaue (Cr)'!C75:CW289,99,0)</f>
        <v>3505</v>
      </c>
      <c r="C80" s="90">
        <f>VLOOKUP(A80,'Data Vlaue (Cr)'!C75:CY289,101,0)</f>
        <v>1</v>
      </c>
      <c r="D80" s="139">
        <f>VLOOKUP(A80,'Data Vlaue (Cr)'!C75:CZ289,102,0)</f>
        <v>2.0000000000000001E-4</v>
      </c>
      <c r="E80" s="91">
        <f>VLOOKUP($A80,'Data Vlaue (Cr)'!$C:$FB,75)</f>
        <v>1356</v>
      </c>
      <c r="F80" s="91">
        <f>VLOOKUP($A80,'Data Vlaue (Cr)'!$C:$FB,77)</f>
        <v>-125</v>
      </c>
      <c r="G80" s="92">
        <f>VLOOKUP(A80,'Data Vlaue (Cr)'!C75:CB289,78,0)</f>
        <v>-8.4599999999999995E-2</v>
      </c>
      <c r="H80" s="91">
        <f>VLOOKUP($A80,'Data Vlaue (Cr)'!$C:$FB,91)</f>
        <v>1391</v>
      </c>
      <c r="I80" s="91">
        <f>VLOOKUP($A80,'Data Vlaue (Cr)'!$C:$FB,93)</f>
        <v>18</v>
      </c>
      <c r="J80" s="92">
        <f>VLOOKUP($A80,'Data Vlaue (Cr)'!$C:$FB,94)</f>
        <v>1.3299999999999999E-2</v>
      </c>
      <c r="K80" s="91">
        <f>VLOOKUP($A80,'Data Vlaue (Cr)'!$C:$FB,95)</f>
        <v>757</v>
      </c>
      <c r="L80" s="91">
        <f>VLOOKUP($A80,'Data Vlaue (Cr)'!$C:$FB,97)</f>
        <v>108</v>
      </c>
      <c r="M80" s="92">
        <f>VLOOKUP($A80,'Data Vlaue (Cr)'!$C:$FB,98)</f>
        <v>0.16639999999999999</v>
      </c>
      <c r="N80" s="91">
        <f>VLOOKUP($A80,'Data Vlaue (Cr)'!$C:$FB,79)</f>
        <v>1312</v>
      </c>
      <c r="O80" s="92">
        <f>VLOOKUP($A80,'Data Vlaue (Cr)'!$C:$FB,82)</f>
        <v>-9.2999999999999999E-2</v>
      </c>
    </row>
    <row r="81" spans="1:15" x14ac:dyDescent="0.25">
      <c r="A81" s="97" t="str">
        <f>'Data Vlaue (Cr)'!C76</f>
        <v>HDFCBANK</v>
      </c>
      <c r="B81" s="142">
        <f>VLOOKUP(A81,'Data Vlaue (Cr)'!C76:CW290,99,0)</f>
        <v>26622</v>
      </c>
      <c r="C81" s="90">
        <f>VLOOKUP(A81,'Data Vlaue (Cr)'!C76:CY290,101,0)</f>
        <v>-195</v>
      </c>
      <c r="D81" s="139">
        <f>VLOOKUP(A81,'Data Vlaue (Cr)'!C76:CZ290,102,0)</f>
        <v>-7.3000000000000001E-3</v>
      </c>
      <c r="E81" s="91">
        <f>VLOOKUP($A81,'Data Vlaue (Cr)'!$C:$FB,75)</f>
        <v>20631</v>
      </c>
      <c r="F81" s="91">
        <f>VLOOKUP($A81,'Data Vlaue (Cr)'!$C:$FB,77)</f>
        <v>-33</v>
      </c>
      <c r="G81" s="92">
        <f>VLOOKUP(A81,'Data Vlaue (Cr)'!C76:CB290,78,0)</f>
        <v>-1.6000000000000001E-3</v>
      </c>
      <c r="H81" s="91">
        <f>VLOOKUP($A81,'Data Vlaue (Cr)'!$C:$FB,91)</f>
        <v>3222</v>
      </c>
      <c r="I81" s="91">
        <f>VLOOKUP($A81,'Data Vlaue (Cr)'!$C:$FB,93)</f>
        <v>-311</v>
      </c>
      <c r="J81" s="92">
        <f>VLOOKUP($A81,'Data Vlaue (Cr)'!$C:$FB,94)</f>
        <v>-8.7999999999999995E-2</v>
      </c>
      <c r="K81" s="91">
        <f>VLOOKUP($A81,'Data Vlaue (Cr)'!$C:$FB,95)</f>
        <v>2769</v>
      </c>
      <c r="L81" s="91">
        <f>VLOOKUP($A81,'Data Vlaue (Cr)'!$C:$FB,97)</f>
        <v>149</v>
      </c>
      <c r="M81" s="92">
        <f>VLOOKUP($A81,'Data Vlaue (Cr)'!$C:$FB,98)</f>
        <v>5.6899999999999999E-2</v>
      </c>
      <c r="N81" s="91">
        <f>VLOOKUP($A81,'Data Vlaue (Cr)'!$C:$FB,79)</f>
        <v>19516</v>
      </c>
      <c r="O81" s="92">
        <f>VLOOKUP($A81,'Data Vlaue (Cr)'!$C:$FB,82)</f>
        <v>-7.9000000000000008E-3</v>
      </c>
    </row>
    <row r="82" spans="1:15" x14ac:dyDescent="0.25">
      <c r="A82" s="97" t="str">
        <f>'Data Vlaue (Cr)'!C77</f>
        <v>HDFCLIFE</v>
      </c>
      <c r="B82" s="142">
        <f>VLOOKUP(A82,'Data Vlaue (Cr)'!C77:CW291,99,0)</f>
        <v>4328</v>
      </c>
      <c r="C82" s="90">
        <f>VLOOKUP(A82,'Data Vlaue (Cr)'!C77:CY291,101,0)</f>
        <v>522</v>
      </c>
      <c r="D82" s="139">
        <f>VLOOKUP(A82,'Data Vlaue (Cr)'!C77:CZ291,102,0)</f>
        <v>0.13700000000000001</v>
      </c>
      <c r="E82" s="91">
        <f>VLOOKUP($A82,'Data Vlaue (Cr)'!$C:$FB,75)</f>
        <v>2486</v>
      </c>
      <c r="F82" s="91">
        <f>VLOOKUP($A82,'Data Vlaue (Cr)'!$C:$FB,77)</f>
        <v>146</v>
      </c>
      <c r="G82" s="92">
        <f>VLOOKUP(A82,'Data Vlaue (Cr)'!C77:CB291,78,0)</f>
        <v>6.25E-2</v>
      </c>
      <c r="H82" s="91">
        <f>VLOOKUP($A82,'Data Vlaue (Cr)'!$C:$FB,91)</f>
        <v>1262</v>
      </c>
      <c r="I82" s="91">
        <f>VLOOKUP($A82,'Data Vlaue (Cr)'!$C:$FB,93)</f>
        <v>308</v>
      </c>
      <c r="J82" s="92">
        <f>VLOOKUP($A82,'Data Vlaue (Cr)'!$C:$FB,94)</f>
        <v>0.32290000000000002</v>
      </c>
      <c r="K82" s="91">
        <f>VLOOKUP($A82,'Data Vlaue (Cr)'!$C:$FB,95)</f>
        <v>579</v>
      </c>
      <c r="L82" s="91">
        <f>VLOOKUP($A82,'Data Vlaue (Cr)'!$C:$FB,97)</f>
        <v>67</v>
      </c>
      <c r="M82" s="92">
        <f>VLOOKUP($A82,'Data Vlaue (Cr)'!$C:$FB,98)</f>
        <v>0.13120000000000001</v>
      </c>
      <c r="N82" s="91">
        <f>VLOOKUP($A82,'Data Vlaue (Cr)'!$C:$FB,79)</f>
        <v>2367</v>
      </c>
      <c r="O82" s="92">
        <f>VLOOKUP($A82,'Data Vlaue (Cr)'!$C:$FB,82)</f>
        <v>3.4599999999999999E-2</v>
      </c>
    </row>
    <row r="83" spans="1:15" x14ac:dyDescent="0.25">
      <c r="A83" s="97" t="str">
        <f>'Data Vlaue (Cr)'!C78</f>
        <v>HEROMOTOCO</v>
      </c>
      <c r="B83" s="142">
        <f>VLOOKUP(A83,'Data Vlaue (Cr)'!C78:CW292,99,0)</f>
        <v>4997</v>
      </c>
      <c r="C83" s="90">
        <f>VLOOKUP(A83,'Data Vlaue (Cr)'!C78:CY292,101,0)</f>
        <v>-117</v>
      </c>
      <c r="D83" s="139">
        <f>VLOOKUP(A83,'Data Vlaue (Cr)'!C78:CZ292,102,0)</f>
        <v>-2.2800000000000001E-2</v>
      </c>
      <c r="E83" s="91">
        <f>VLOOKUP($A83,'Data Vlaue (Cr)'!$C:$FB,75)</f>
        <v>2651</v>
      </c>
      <c r="F83" s="91">
        <f>VLOOKUP($A83,'Data Vlaue (Cr)'!$C:$FB,77)</f>
        <v>-16</v>
      </c>
      <c r="G83" s="92">
        <f>VLOOKUP(A83,'Data Vlaue (Cr)'!C78:CB292,78,0)</f>
        <v>-6.1999999999999998E-3</v>
      </c>
      <c r="H83" s="91">
        <f>VLOOKUP($A83,'Data Vlaue (Cr)'!$C:$FB,91)</f>
        <v>1408</v>
      </c>
      <c r="I83" s="91">
        <f>VLOOKUP($A83,'Data Vlaue (Cr)'!$C:$FB,93)</f>
        <v>-95</v>
      </c>
      <c r="J83" s="92">
        <f>VLOOKUP($A83,'Data Vlaue (Cr)'!$C:$FB,94)</f>
        <v>-6.2899999999999998E-2</v>
      </c>
      <c r="K83" s="91">
        <f>VLOOKUP($A83,'Data Vlaue (Cr)'!$C:$FB,95)</f>
        <v>938</v>
      </c>
      <c r="L83" s="91">
        <f>VLOOKUP($A83,'Data Vlaue (Cr)'!$C:$FB,97)</f>
        <v>-6</v>
      </c>
      <c r="M83" s="92">
        <f>VLOOKUP($A83,'Data Vlaue (Cr)'!$C:$FB,98)</f>
        <v>-6.1000000000000004E-3</v>
      </c>
      <c r="N83" s="91">
        <f>VLOOKUP($A83,'Data Vlaue (Cr)'!$C:$FB,79)</f>
        <v>2435</v>
      </c>
      <c r="O83" s="92">
        <f>VLOOKUP($A83,'Data Vlaue (Cr)'!$C:$FB,82)</f>
        <v>-1.3599999999999999E-2</v>
      </c>
    </row>
    <row r="84" spans="1:15" x14ac:dyDescent="0.25">
      <c r="A84" s="97" t="str">
        <f>'Data Vlaue (Cr)'!C79</f>
        <v>HFCL</v>
      </c>
      <c r="B84" s="142">
        <f>VLOOKUP(A84,'Data Vlaue (Cr)'!C79:CW293,99,0)</f>
        <v>1592</v>
      </c>
      <c r="C84" s="90">
        <f>VLOOKUP(A84,'Data Vlaue (Cr)'!C79:CY293,101,0)</f>
        <v>25</v>
      </c>
      <c r="D84" s="139">
        <f>VLOOKUP(A84,'Data Vlaue (Cr)'!C79:CZ293,102,0)</f>
        <v>1.5699999999999999E-2</v>
      </c>
      <c r="E84" s="91">
        <f>VLOOKUP($A84,'Data Vlaue (Cr)'!$C:$FB,75)</f>
        <v>1038</v>
      </c>
      <c r="F84" s="91">
        <f>VLOOKUP($A84,'Data Vlaue (Cr)'!$C:$FB,77)</f>
        <v>6</v>
      </c>
      <c r="G84" s="92">
        <f>VLOOKUP(A84,'Data Vlaue (Cr)'!C79:CB293,78,0)</f>
        <v>6.3E-3</v>
      </c>
      <c r="H84" s="91">
        <f>VLOOKUP($A84,'Data Vlaue (Cr)'!$C:$FB,91)</f>
        <v>366</v>
      </c>
      <c r="I84" s="91">
        <f>VLOOKUP($A84,'Data Vlaue (Cr)'!$C:$FB,93)</f>
        <v>13</v>
      </c>
      <c r="J84" s="92">
        <f>VLOOKUP($A84,'Data Vlaue (Cr)'!$C:$FB,94)</f>
        <v>3.7999999999999999E-2</v>
      </c>
      <c r="K84" s="91">
        <f>VLOOKUP($A84,'Data Vlaue (Cr)'!$C:$FB,95)</f>
        <v>188</v>
      </c>
      <c r="L84" s="91">
        <f>VLOOKUP($A84,'Data Vlaue (Cr)'!$C:$FB,97)</f>
        <v>5</v>
      </c>
      <c r="M84" s="92">
        <f>VLOOKUP($A84,'Data Vlaue (Cr)'!$C:$FB,98)</f>
        <v>2.6200000000000001E-2</v>
      </c>
      <c r="N84" s="91">
        <f>VLOOKUP($A84,'Data Vlaue (Cr)'!$C:$FB,79)</f>
        <v>930</v>
      </c>
      <c r="O84" s="92">
        <f>VLOOKUP($A84,'Data Vlaue (Cr)'!$C:$FB,82)</f>
        <v>-1.2999999999999999E-3</v>
      </c>
    </row>
    <row r="85" spans="1:15" x14ac:dyDescent="0.25">
      <c r="A85" s="97" t="str">
        <f>'Data Vlaue (Cr)'!C80</f>
        <v>HINDALCO</v>
      </c>
      <c r="B85" s="142">
        <f>VLOOKUP(A85,'Data Vlaue (Cr)'!C80:CW294,99,0)</f>
        <v>7604</v>
      </c>
      <c r="C85" s="90">
        <f>VLOOKUP(A85,'Data Vlaue (Cr)'!C80:CY294,101,0)</f>
        <v>-206</v>
      </c>
      <c r="D85" s="139">
        <f>VLOOKUP(A85,'Data Vlaue (Cr)'!C80:CZ294,102,0)</f>
        <v>-2.64E-2</v>
      </c>
      <c r="E85" s="91">
        <f>VLOOKUP($A85,'Data Vlaue (Cr)'!$C:$FB,75)</f>
        <v>5212</v>
      </c>
      <c r="F85" s="91">
        <f>VLOOKUP($A85,'Data Vlaue (Cr)'!$C:$FB,77)</f>
        <v>-104</v>
      </c>
      <c r="G85" s="92">
        <f>VLOOKUP(A85,'Data Vlaue (Cr)'!C80:CB294,78,0)</f>
        <v>-1.9599999999999999E-2</v>
      </c>
      <c r="H85" s="91">
        <f>VLOOKUP($A85,'Data Vlaue (Cr)'!$C:$FB,91)</f>
        <v>1389</v>
      </c>
      <c r="I85" s="91">
        <f>VLOOKUP($A85,'Data Vlaue (Cr)'!$C:$FB,93)</f>
        <v>-135</v>
      </c>
      <c r="J85" s="92">
        <f>VLOOKUP($A85,'Data Vlaue (Cr)'!$C:$FB,94)</f>
        <v>-8.8700000000000001E-2</v>
      </c>
      <c r="K85" s="91">
        <f>VLOOKUP($A85,'Data Vlaue (Cr)'!$C:$FB,95)</f>
        <v>1004</v>
      </c>
      <c r="L85" s="91">
        <f>VLOOKUP($A85,'Data Vlaue (Cr)'!$C:$FB,97)</f>
        <v>33</v>
      </c>
      <c r="M85" s="92">
        <f>VLOOKUP($A85,'Data Vlaue (Cr)'!$C:$FB,98)</f>
        <v>3.44E-2</v>
      </c>
      <c r="N85" s="91">
        <f>VLOOKUP($A85,'Data Vlaue (Cr)'!$C:$FB,79)</f>
        <v>5054</v>
      </c>
      <c r="O85" s="92">
        <f>VLOOKUP($A85,'Data Vlaue (Cr)'!$C:$FB,82)</f>
        <v>-2.1100000000000001E-2</v>
      </c>
    </row>
    <row r="86" spans="1:15" x14ac:dyDescent="0.25">
      <c r="A86" s="97" t="str">
        <f>'Data Vlaue (Cr)'!C81</f>
        <v>HINDPETRO</v>
      </c>
      <c r="B86" s="142">
        <f>VLOOKUP(A86,'Data Vlaue (Cr)'!C81:CW295,99,0)</f>
        <v>3804</v>
      </c>
      <c r="C86" s="90">
        <f>VLOOKUP(A86,'Data Vlaue (Cr)'!C81:CY295,101,0)</f>
        <v>-86</v>
      </c>
      <c r="D86" s="139">
        <f>VLOOKUP(A86,'Data Vlaue (Cr)'!C81:CZ295,102,0)</f>
        <v>-2.1999999999999999E-2</v>
      </c>
      <c r="E86" s="91">
        <f>VLOOKUP($A86,'Data Vlaue (Cr)'!$C:$FB,75)</f>
        <v>2370</v>
      </c>
      <c r="F86" s="91">
        <f>VLOOKUP($A86,'Data Vlaue (Cr)'!$C:$FB,77)</f>
        <v>-45</v>
      </c>
      <c r="G86" s="92">
        <f>VLOOKUP(A86,'Data Vlaue (Cr)'!C81:CB295,78,0)</f>
        <v>-1.8800000000000001E-2</v>
      </c>
      <c r="H86" s="91">
        <f>VLOOKUP($A86,'Data Vlaue (Cr)'!$C:$FB,91)</f>
        <v>924</v>
      </c>
      <c r="I86" s="91">
        <f>VLOOKUP($A86,'Data Vlaue (Cr)'!$C:$FB,93)</f>
        <v>-36</v>
      </c>
      <c r="J86" s="92">
        <f>VLOOKUP($A86,'Data Vlaue (Cr)'!$C:$FB,94)</f>
        <v>-3.7900000000000003E-2</v>
      </c>
      <c r="K86" s="91">
        <f>VLOOKUP($A86,'Data Vlaue (Cr)'!$C:$FB,95)</f>
        <v>510</v>
      </c>
      <c r="L86" s="91">
        <f>VLOOKUP($A86,'Data Vlaue (Cr)'!$C:$FB,97)</f>
        <v>-4</v>
      </c>
      <c r="M86" s="92">
        <f>VLOOKUP($A86,'Data Vlaue (Cr)'!$C:$FB,98)</f>
        <v>-7.7999999999999996E-3</v>
      </c>
      <c r="N86" s="91">
        <f>VLOOKUP($A86,'Data Vlaue (Cr)'!$C:$FB,79)</f>
        <v>2288</v>
      </c>
      <c r="O86" s="92">
        <f>VLOOKUP($A86,'Data Vlaue (Cr)'!$C:$FB,82)</f>
        <v>-2.1600000000000001E-2</v>
      </c>
    </row>
    <row r="87" spans="1:15" x14ac:dyDescent="0.25">
      <c r="A87" s="97" t="str">
        <f>'Data Vlaue (Cr)'!C82</f>
        <v>HINDUNILVR</v>
      </c>
      <c r="B87" s="142">
        <f>VLOOKUP(A87,'Data Vlaue (Cr)'!C82:CW296,99,0)</f>
        <v>5833</v>
      </c>
      <c r="C87" s="90">
        <f>VLOOKUP(A87,'Data Vlaue (Cr)'!C82:CY296,101,0)</f>
        <v>-12</v>
      </c>
      <c r="D87" s="139">
        <f>VLOOKUP(A87,'Data Vlaue (Cr)'!C82:CZ296,102,0)</f>
        <v>-2.0999999999999999E-3</v>
      </c>
      <c r="E87" s="91">
        <f>VLOOKUP($A87,'Data Vlaue (Cr)'!$C:$FB,75)</f>
        <v>3646</v>
      </c>
      <c r="F87" s="91">
        <f>VLOOKUP($A87,'Data Vlaue (Cr)'!$C:$FB,77)</f>
        <v>2</v>
      </c>
      <c r="G87" s="92">
        <f>VLOOKUP(A87,'Data Vlaue (Cr)'!C82:CB296,78,0)</f>
        <v>5.9999999999999995E-4</v>
      </c>
      <c r="H87" s="91">
        <f>VLOOKUP($A87,'Data Vlaue (Cr)'!$C:$FB,91)</f>
        <v>1324</v>
      </c>
      <c r="I87" s="91">
        <f>VLOOKUP($A87,'Data Vlaue (Cr)'!$C:$FB,93)</f>
        <v>-56</v>
      </c>
      <c r="J87" s="92">
        <f>VLOOKUP($A87,'Data Vlaue (Cr)'!$C:$FB,94)</f>
        <v>-4.0500000000000001E-2</v>
      </c>
      <c r="K87" s="91">
        <f>VLOOKUP($A87,'Data Vlaue (Cr)'!$C:$FB,95)</f>
        <v>863</v>
      </c>
      <c r="L87" s="91">
        <f>VLOOKUP($A87,'Data Vlaue (Cr)'!$C:$FB,97)</f>
        <v>42</v>
      </c>
      <c r="M87" s="92">
        <f>VLOOKUP($A87,'Data Vlaue (Cr)'!$C:$FB,98)</f>
        <v>5.0599999999999999E-2</v>
      </c>
      <c r="N87" s="91">
        <f>VLOOKUP($A87,'Data Vlaue (Cr)'!$C:$FB,79)</f>
        <v>3406</v>
      </c>
      <c r="O87" s="92">
        <f>VLOOKUP($A87,'Data Vlaue (Cr)'!$C:$FB,82)</f>
        <v>-7.1999999999999998E-3</v>
      </c>
    </row>
    <row r="88" spans="1:15" x14ac:dyDescent="0.25">
      <c r="A88" s="97" t="str">
        <f>'Data Vlaue (Cr)'!C83</f>
        <v>HINDZINC</v>
      </c>
      <c r="B88" s="142">
        <f>VLOOKUP(A88,'Data Vlaue (Cr)'!C83:CW297,99,0)</f>
        <v>3692</v>
      </c>
      <c r="C88" s="90">
        <f>VLOOKUP(A88,'Data Vlaue (Cr)'!C83:CY297,101,0)</f>
        <v>56</v>
      </c>
      <c r="D88" s="139">
        <f>VLOOKUP(A88,'Data Vlaue (Cr)'!C83:CZ297,102,0)</f>
        <v>1.54E-2</v>
      </c>
      <c r="E88" s="91">
        <f>VLOOKUP($A88,'Data Vlaue (Cr)'!$C:$FB,75)</f>
        <v>1789</v>
      </c>
      <c r="F88" s="91">
        <f>VLOOKUP($A88,'Data Vlaue (Cr)'!$C:$FB,77)</f>
        <v>16</v>
      </c>
      <c r="G88" s="92">
        <f>VLOOKUP(A88,'Data Vlaue (Cr)'!C83:CB297,78,0)</f>
        <v>8.8000000000000005E-3</v>
      </c>
      <c r="H88" s="91">
        <f>VLOOKUP($A88,'Data Vlaue (Cr)'!$C:$FB,91)</f>
        <v>1226</v>
      </c>
      <c r="I88" s="91">
        <f>VLOOKUP($A88,'Data Vlaue (Cr)'!$C:$FB,93)</f>
        <v>33</v>
      </c>
      <c r="J88" s="92">
        <f>VLOOKUP($A88,'Data Vlaue (Cr)'!$C:$FB,94)</f>
        <v>2.7900000000000001E-2</v>
      </c>
      <c r="K88" s="91">
        <f>VLOOKUP($A88,'Data Vlaue (Cr)'!$C:$FB,95)</f>
        <v>677</v>
      </c>
      <c r="L88" s="91">
        <f>VLOOKUP($A88,'Data Vlaue (Cr)'!$C:$FB,97)</f>
        <v>7</v>
      </c>
      <c r="M88" s="92">
        <f>VLOOKUP($A88,'Data Vlaue (Cr)'!$C:$FB,98)</f>
        <v>1.0500000000000001E-2</v>
      </c>
      <c r="N88" s="91">
        <f>VLOOKUP($A88,'Data Vlaue (Cr)'!$C:$FB,79)</f>
        <v>1591</v>
      </c>
      <c r="O88" s="92">
        <f>VLOOKUP($A88,'Data Vlaue (Cr)'!$C:$FB,82)</f>
        <v>-7.4999999999999997E-3</v>
      </c>
    </row>
    <row r="89" spans="1:15" x14ac:dyDescent="0.25">
      <c r="A89" s="97" t="str">
        <f>'Data Vlaue (Cr)'!C84</f>
        <v>HUDCO</v>
      </c>
      <c r="B89" s="142">
        <f>VLOOKUP(A89,'Data Vlaue (Cr)'!C84:CW298,99,0)</f>
        <v>1253</v>
      </c>
      <c r="C89" s="90">
        <f>VLOOKUP(A89,'Data Vlaue (Cr)'!C84:CY298,101,0)</f>
        <v>57</v>
      </c>
      <c r="D89" s="139">
        <f>VLOOKUP(A89,'Data Vlaue (Cr)'!C84:CZ298,102,0)</f>
        <v>4.8099999999999997E-2</v>
      </c>
      <c r="E89" s="91">
        <f>VLOOKUP($A89,'Data Vlaue (Cr)'!$C:$FB,75)</f>
        <v>645</v>
      </c>
      <c r="F89" s="91">
        <f>VLOOKUP($A89,'Data Vlaue (Cr)'!$C:$FB,77)</f>
        <v>10</v>
      </c>
      <c r="G89" s="92">
        <f>VLOOKUP(A89,'Data Vlaue (Cr)'!C84:CB298,78,0)</f>
        <v>1.61E-2</v>
      </c>
      <c r="H89" s="91">
        <f>VLOOKUP($A89,'Data Vlaue (Cr)'!$C:$FB,91)</f>
        <v>407</v>
      </c>
      <c r="I89" s="91">
        <f>VLOOKUP($A89,'Data Vlaue (Cr)'!$C:$FB,93)</f>
        <v>38</v>
      </c>
      <c r="J89" s="92">
        <f>VLOOKUP($A89,'Data Vlaue (Cr)'!$C:$FB,94)</f>
        <v>0.10249999999999999</v>
      </c>
      <c r="K89" s="91">
        <f>VLOOKUP($A89,'Data Vlaue (Cr)'!$C:$FB,95)</f>
        <v>200</v>
      </c>
      <c r="L89" s="91">
        <f>VLOOKUP($A89,'Data Vlaue (Cr)'!$C:$FB,97)</f>
        <v>9</v>
      </c>
      <c r="M89" s="92">
        <f>VLOOKUP($A89,'Data Vlaue (Cr)'!$C:$FB,98)</f>
        <v>4.9299999999999997E-2</v>
      </c>
      <c r="N89" s="91">
        <f>VLOOKUP($A89,'Data Vlaue (Cr)'!$C:$FB,79)</f>
        <v>608</v>
      </c>
      <c r="O89" s="92">
        <f>VLOOKUP($A89,'Data Vlaue (Cr)'!$C:$FB,82)</f>
        <v>6.3E-3</v>
      </c>
    </row>
    <row r="90" spans="1:15" x14ac:dyDescent="0.25">
      <c r="A90" s="97" t="str">
        <f>'Data Vlaue (Cr)'!C85</f>
        <v>ICICIBANK</v>
      </c>
      <c r="B90" s="142">
        <f>VLOOKUP(A90,'Data Vlaue (Cr)'!C85:CW299,99,0)</f>
        <v>21751</v>
      </c>
      <c r="C90" s="90">
        <f>VLOOKUP(A90,'Data Vlaue (Cr)'!C85:CY299,101,0)</f>
        <v>-358</v>
      </c>
      <c r="D90" s="139">
        <f>VLOOKUP(A90,'Data Vlaue (Cr)'!C85:CZ299,102,0)</f>
        <v>-1.6199999999999999E-2</v>
      </c>
      <c r="E90" s="91">
        <f>VLOOKUP($A90,'Data Vlaue (Cr)'!$C:$FB,75)</f>
        <v>15561</v>
      </c>
      <c r="F90" s="91">
        <f>VLOOKUP($A90,'Data Vlaue (Cr)'!$C:$FB,77)</f>
        <v>-368</v>
      </c>
      <c r="G90" s="92">
        <f>VLOOKUP(A90,'Data Vlaue (Cr)'!C85:CB299,78,0)</f>
        <v>-2.3099999999999999E-2</v>
      </c>
      <c r="H90" s="91">
        <f>VLOOKUP($A90,'Data Vlaue (Cr)'!$C:$FB,91)</f>
        <v>3425</v>
      </c>
      <c r="I90" s="91">
        <f>VLOOKUP($A90,'Data Vlaue (Cr)'!$C:$FB,93)</f>
        <v>-11</v>
      </c>
      <c r="J90" s="92">
        <f>VLOOKUP($A90,'Data Vlaue (Cr)'!$C:$FB,94)</f>
        <v>-3.2000000000000002E-3</v>
      </c>
      <c r="K90" s="91">
        <f>VLOOKUP($A90,'Data Vlaue (Cr)'!$C:$FB,95)</f>
        <v>2765</v>
      </c>
      <c r="L90" s="91">
        <f>VLOOKUP($A90,'Data Vlaue (Cr)'!$C:$FB,97)</f>
        <v>21</v>
      </c>
      <c r="M90" s="92">
        <f>VLOOKUP($A90,'Data Vlaue (Cr)'!$C:$FB,98)</f>
        <v>7.7000000000000002E-3</v>
      </c>
      <c r="N90" s="91">
        <f>VLOOKUP($A90,'Data Vlaue (Cr)'!$C:$FB,79)</f>
        <v>14527</v>
      </c>
      <c r="O90" s="92">
        <f>VLOOKUP($A90,'Data Vlaue (Cr)'!$C:$FB,82)</f>
        <v>-3.6499999999999998E-2</v>
      </c>
    </row>
    <row r="91" spans="1:15" x14ac:dyDescent="0.25">
      <c r="A91" s="97" t="str">
        <f>'Data Vlaue (Cr)'!C86</f>
        <v>ICICIGI</v>
      </c>
      <c r="B91" s="142">
        <f>VLOOKUP(A91,'Data Vlaue (Cr)'!C86:CW300,99,0)</f>
        <v>2427</v>
      </c>
      <c r="C91" s="90">
        <f>VLOOKUP(A91,'Data Vlaue (Cr)'!C86:CY300,101,0)</f>
        <v>-371</v>
      </c>
      <c r="D91" s="139">
        <f>VLOOKUP(A91,'Data Vlaue (Cr)'!C86:CZ300,102,0)</f>
        <v>-0.13250000000000001</v>
      </c>
      <c r="E91" s="91">
        <f>VLOOKUP($A91,'Data Vlaue (Cr)'!$C:$FB,75)</f>
        <v>1217</v>
      </c>
      <c r="F91" s="91">
        <f>VLOOKUP($A91,'Data Vlaue (Cr)'!$C:$FB,77)</f>
        <v>-59</v>
      </c>
      <c r="G91" s="92">
        <f>VLOOKUP(A91,'Data Vlaue (Cr)'!C86:CB300,78,0)</f>
        <v>-4.5999999999999999E-2</v>
      </c>
      <c r="H91" s="91">
        <f>VLOOKUP($A91,'Data Vlaue (Cr)'!$C:$FB,91)</f>
        <v>483</v>
      </c>
      <c r="I91" s="91">
        <f>VLOOKUP($A91,'Data Vlaue (Cr)'!$C:$FB,93)</f>
        <v>-199</v>
      </c>
      <c r="J91" s="92">
        <f>VLOOKUP($A91,'Data Vlaue (Cr)'!$C:$FB,94)</f>
        <v>-0.29160000000000003</v>
      </c>
      <c r="K91" s="91">
        <f>VLOOKUP($A91,'Data Vlaue (Cr)'!$C:$FB,95)</f>
        <v>728</v>
      </c>
      <c r="L91" s="91">
        <f>VLOOKUP($A91,'Data Vlaue (Cr)'!$C:$FB,97)</f>
        <v>-113</v>
      </c>
      <c r="M91" s="92">
        <f>VLOOKUP($A91,'Data Vlaue (Cr)'!$C:$FB,98)</f>
        <v>-0.13450000000000001</v>
      </c>
      <c r="N91" s="91">
        <f>VLOOKUP($A91,'Data Vlaue (Cr)'!$C:$FB,79)</f>
        <v>1162</v>
      </c>
      <c r="O91" s="92">
        <f>VLOOKUP($A91,'Data Vlaue (Cr)'!$C:$FB,82)</f>
        <v>-5.3400000000000003E-2</v>
      </c>
    </row>
    <row r="92" spans="1:15" x14ac:dyDescent="0.25">
      <c r="A92" s="97" t="str">
        <f>'Data Vlaue (Cr)'!C87</f>
        <v>ICICIPRULI</v>
      </c>
      <c r="B92" s="142">
        <f>VLOOKUP(A92,'Data Vlaue (Cr)'!C87:CW301,99,0)</f>
        <v>1434</v>
      </c>
      <c r="C92" s="90">
        <f>VLOOKUP(A92,'Data Vlaue (Cr)'!C87:CY301,101,0)</f>
        <v>4</v>
      </c>
      <c r="D92" s="139">
        <f>VLOOKUP(A92,'Data Vlaue (Cr)'!C87:CZ301,102,0)</f>
        <v>3.0999999999999999E-3</v>
      </c>
      <c r="E92" s="91">
        <f>VLOOKUP($A92,'Data Vlaue (Cr)'!$C:$FB,75)</f>
        <v>747</v>
      </c>
      <c r="F92" s="91">
        <f>VLOOKUP($A92,'Data Vlaue (Cr)'!$C:$FB,77)</f>
        <v>-4</v>
      </c>
      <c r="G92" s="92">
        <f>VLOOKUP(A92,'Data Vlaue (Cr)'!C87:CB301,78,0)</f>
        <v>-5.4000000000000003E-3</v>
      </c>
      <c r="H92" s="91">
        <f>VLOOKUP($A92,'Data Vlaue (Cr)'!$C:$FB,91)</f>
        <v>477</v>
      </c>
      <c r="I92" s="91">
        <f>VLOOKUP($A92,'Data Vlaue (Cr)'!$C:$FB,93)</f>
        <v>12</v>
      </c>
      <c r="J92" s="92">
        <f>VLOOKUP($A92,'Data Vlaue (Cr)'!$C:$FB,94)</f>
        <v>2.5000000000000001E-2</v>
      </c>
      <c r="K92" s="91">
        <f>VLOOKUP($A92,'Data Vlaue (Cr)'!$C:$FB,95)</f>
        <v>210</v>
      </c>
      <c r="L92" s="91">
        <f>VLOOKUP($A92,'Data Vlaue (Cr)'!$C:$FB,97)</f>
        <v>-3</v>
      </c>
      <c r="M92" s="92">
        <f>VLOOKUP($A92,'Data Vlaue (Cr)'!$C:$FB,98)</f>
        <v>-1.4800000000000001E-2</v>
      </c>
      <c r="N92" s="91">
        <f>VLOOKUP($A92,'Data Vlaue (Cr)'!$C:$FB,79)</f>
        <v>714</v>
      </c>
      <c r="O92" s="92">
        <f>VLOOKUP($A92,'Data Vlaue (Cr)'!$C:$FB,82)</f>
        <v>-1.3599999999999999E-2</v>
      </c>
    </row>
    <row r="93" spans="1:15" x14ac:dyDescent="0.25">
      <c r="A93" s="97" t="str">
        <f>'Data Vlaue (Cr)'!C88</f>
        <v>IDEA</v>
      </c>
      <c r="B93" s="142">
        <f>VLOOKUP(A93,'Data Vlaue (Cr)'!C88:CW302,99,0)</f>
        <v>9054</v>
      </c>
      <c r="C93" s="90">
        <f>VLOOKUP(A93,'Data Vlaue (Cr)'!C88:CY302,101,0)</f>
        <v>81</v>
      </c>
      <c r="D93" s="139">
        <f>VLOOKUP(A93,'Data Vlaue (Cr)'!C88:CZ302,102,0)</f>
        <v>9.1000000000000004E-3</v>
      </c>
      <c r="E93" s="91">
        <f>VLOOKUP($A93,'Data Vlaue (Cr)'!$C:$FB,75)</f>
        <v>5775</v>
      </c>
      <c r="F93" s="91">
        <f>VLOOKUP($A93,'Data Vlaue (Cr)'!$C:$FB,77)</f>
        <v>-1</v>
      </c>
      <c r="G93" s="92">
        <f>VLOOKUP(A93,'Data Vlaue (Cr)'!C88:CB302,78,0)</f>
        <v>-2.0000000000000001E-4</v>
      </c>
      <c r="H93" s="91">
        <f>VLOOKUP($A93,'Data Vlaue (Cr)'!$C:$FB,91)</f>
        <v>2097</v>
      </c>
      <c r="I93" s="91">
        <f>VLOOKUP($A93,'Data Vlaue (Cr)'!$C:$FB,93)</f>
        <v>13</v>
      </c>
      <c r="J93" s="92">
        <f>VLOOKUP($A93,'Data Vlaue (Cr)'!$C:$FB,94)</f>
        <v>6.1999999999999998E-3</v>
      </c>
      <c r="K93" s="91">
        <f>VLOOKUP($A93,'Data Vlaue (Cr)'!$C:$FB,95)</f>
        <v>1182</v>
      </c>
      <c r="L93" s="91">
        <f>VLOOKUP($A93,'Data Vlaue (Cr)'!$C:$FB,97)</f>
        <v>69</v>
      </c>
      <c r="M93" s="92">
        <f>VLOOKUP($A93,'Data Vlaue (Cr)'!$C:$FB,98)</f>
        <v>6.2300000000000001E-2</v>
      </c>
      <c r="N93" s="91">
        <f>VLOOKUP($A93,'Data Vlaue (Cr)'!$C:$FB,79)</f>
        <v>5173</v>
      </c>
      <c r="O93" s="92">
        <f>VLOOKUP($A93,'Data Vlaue (Cr)'!$C:$FB,82)</f>
        <v>-7.0000000000000001E-3</v>
      </c>
    </row>
    <row r="94" spans="1:15" x14ac:dyDescent="0.25">
      <c r="A94" s="97" t="str">
        <f>'Data Vlaue (Cr)'!C89</f>
        <v>IDFCFIRSTB</v>
      </c>
      <c r="B94" s="142">
        <f>VLOOKUP(A94,'Data Vlaue (Cr)'!C89:CW303,99,0)</f>
        <v>4853</v>
      </c>
      <c r="C94" s="90">
        <f>VLOOKUP(A94,'Data Vlaue (Cr)'!C89:CY303,101,0)</f>
        <v>194</v>
      </c>
      <c r="D94" s="139">
        <f>VLOOKUP(A94,'Data Vlaue (Cr)'!C89:CZ303,102,0)</f>
        <v>4.1599999999999998E-2</v>
      </c>
      <c r="E94" s="91">
        <f>VLOOKUP($A94,'Data Vlaue (Cr)'!$C:$FB,75)</f>
        <v>2949</v>
      </c>
      <c r="F94" s="91">
        <f>VLOOKUP($A94,'Data Vlaue (Cr)'!$C:$FB,77)</f>
        <v>65</v>
      </c>
      <c r="G94" s="92">
        <f>VLOOKUP(A94,'Data Vlaue (Cr)'!C89:CB303,78,0)</f>
        <v>2.2700000000000001E-2</v>
      </c>
      <c r="H94" s="91">
        <f>VLOOKUP($A94,'Data Vlaue (Cr)'!$C:$FB,91)</f>
        <v>1133</v>
      </c>
      <c r="I94" s="91">
        <f>VLOOKUP($A94,'Data Vlaue (Cr)'!$C:$FB,93)</f>
        <v>90</v>
      </c>
      <c r="J94" s="92">
        <f>VLOOKUP($A94,'Data Vlaue (Cr)'!$C:$FB,94)</f>
        <v>8.6599999999999996E-2</v>
      </c>
      <c r="K94" s="91">
        <f>VLOOKUP($A94,'Data Vlaue (Cr)'!$C:$FB,95)</f>
        <v>771</v>
      </c>
      <c r="L94" s="91">
        <f>VLOOKUP($A94,'Data Vlaue (Cr)'!$C:$FB,97)</f>
        <v>38</v>
      </c>
      <c r="M94" s="92">
        <f>VLOOKUP($A94,'Data Vlaue (Cr)'!$C:$FB,98)</f>
        <v>5.1900000000000002E-2</v>
      </c>
      <c r="N94" s="91">
        <f>VLOOKUP($A94,'Data Vlaue (Cr)'!$C:$FB,79)</f>
        <v>2560</v>
      </c>
      <c r="O94" s="92">
        <f>VLOOKUP($A94,'Data Vlaue (Cr)'!$C:$FB,82)</f>
        <v>-1.18E-2</v>
      </c>
    </row>
    <row r="95" spans="1:15" x14ac:dyDescent="0.25">
      <c r="A95" s="97" t="str">
        <f>'Data Vlaue (Cr)'!C90</f>
        <v>IEX</v>
      </c>
      <c r="B95" s="142">
        <f>VLOOKUP(A95,'Data Vlaue (Cr)'!C90:CW304,99,0)</f>
        <v>1830</v>
      </c>
      <c r="C95" s="90">
        <f>VLOOKUP(A95,'Data Vlaue (Cr)'!C90:CY304,101,0)</f>
        <v>89</v>
      </c>
      <c r="D95" s="139">
        <f>VLOOKUP(A95,'Data Vlaue (Cr)'!C90:CZ304,102,0)</f>
        <v>5.0799999999999998E-2</v>
      </c>
      <c r="E95" s="91">
        <f>VLOOKUP($A95,'Data Vlaue (Cr)'!$C:$FB,75)</f>
        <v>953</v>
      </c>
      <c r="F95" s="91">
        <f>VLOOKUP($A95,'Data Vlaue (Cr)'!$C:$FB,77)</f>
        <v>41</v>
      </c>
      <c r="G95" s="92">
        <f>VLOOKUP(A95,'Data Vlaue (Cr)'!C90:CB304,78,0)</f>
        <v>4.5100000000000001E-2</v>
      </c>
      <c r="H95" s="91">
        <f>VLOOKUP($A95,'Data Vlaue (Cr)'!$C:$FB,91)</f>
        <v>550</v>
      </c>
      <c r="I95" s="91">
        <f>VLOOKUP($A95,'Data Vlaue (Cr)'!$C:$FB,93)</f>
        <v>30</v>
      </c>
      <c r="J95" s="92">
        <f>VLOOKUP($A95,'Data Vlaue (Cr)'!$C:$FB,94)</f>
        <v>5.6899999999999999E-2</v>
      </c>
      <c r="K95" s="91">
        <f>VLOOKUP($A95,'Data Vlaue (Cr)'!$C:$FB,95)</f>
        <v>327</v>
      </c>
      <c r="L95" s="91">
        <f>VLOOKUP($A95,'Data Vlaue (Cr)'!$C:$FB,97)</f>
        <v>18</v>
      </c>
      <c r="M95" s="92">
        <f>VLOOKUP($A95,'Data Vlaue (Cr)'!$C:$FB,98)</f>
        <v>5.7599999999999998E-2</v>
      </c>
      <c r="N95" s="91">
        <f>VLOOKUP($A95,'Data Vlaue (Cr)'!$C:$FB,79)</f>
        <v>780</v>
      </c>
      <c r="O95" s="92">
        <f>VLOOKUP($A95,'Data Vlaue (Cr)'!$C:$FB,82)</f>
        <v>3.3300000000000003E-2</v>
      </c>
    </row>
    <row r="96" spans="1:15" x14ac:dyDescent="0.25">
      <c r="A96" s="97" t="str">
        <f>'Data Vlaue (Cr)'!C91</f>
        <v>IGL</v>
      </c>
      <c r="B96" s="142">
        <f>VLOOKUP(A96,'Data Vlaue (Cr)'!C91:CW305,99,0)</f>
        <v>1080</v>
      </c>
      <c r="C96" s="90">
        <f>VLOOKUP(A96,'Data Vlaue (Cr)'!C91:CY305,101,0)</f>
        <v>6</v>
      </c>
      <c r="D96" s="139">
        <f>VLOOKUP(A96,'Data Vlaue (Cr)'!C91:CZ305,102,0)</f>
        <v>5.4999999999999997E-3</v>
      </c>
      <c r="E96" s="91">
        <f>VLOOKUP($A96,'Data Vlaue (Cr)'!$C:$FB,75)</f>
        <v>436</v>
      </c>
      <c r="F96" s="91">
        <f>VLOOKUP($A96,'Data Vlaue (Cr)'!$C:$FB,77)</f>
        <v>1</v>
      </c>
      <c r="G96" s="92">
        <f>VLOOKUP(A96,'Data Vlaue (Cr)'!C91:CB305,78,0)</f>
        <v>2.5999999999999999E-3</v>
      </c>
      <c r="H96" s="91">
        <f>VLOOKUP($A96,'Data Vlaue (Cr)'!$C:$FB,91)</f>
        <v>428</v>
      </c>
      <c r="I96" s="91">
        <f>VLOOKUP($A96,'Data Vlaue (Cr)'!$C:$FB,93)</f>
        <v>5</v>
      </c>
      <c r="J96" s="92">
        <f>VLOOKUP($A96,'Data Vlaue (Cr)'!$C:$FB,94)</f>
        <v>1.24E-2</v>
      </c>
      <c r="K96" s="91">
        <f>VLOOKUP($A96,'Data Vlaue (Cr)'!$C:$FB,95)</f>
        <v>215</v>
      </c>
      <c r="L96" s="91">
        <f>VLOOKUP($A96,'Data Vlaue (Cr)'!$C:$FB,97)</f>
        <v>0</v>
      </c>
      <c r="M96" s="92">
        <f>VLOOKUP($A96,'Data Vlaue (Cr)'!$C:$FB,98)</f>
        <v>-1.9E-3</v>
      </c>
      <c r="N96" s="91">
        <f>VLOOKUP($A96,'Data Vlaue (Cr)'!$C:$FB,79)</f>
        <v>395</v>
      </c>
      <c r="O96" s="92">
        <f>VLOOKUP($A96,'Data Vlaue (Cr)'!$C:$FB,82)</f>
        <v>-4.1000000000000003E-3</v>
      </c>
    </row>
    <row r="97" spans="1:15" x14ac:dyDescent="0.25">
      <c r="A97" s="97" t="str">
        <f>'Data Vlaue (Cr)'!C92</f>
        <v>IIFL</v>
      </c>
      <c r="B97" s="142">
        <f>VLOOKUP(A97,'Data Vlaue (Cr)'!C92:CW306,99,0)</f>
        <v>1180</v>
      </c>
      <c r="C97" s="90">
        <f>VLOOKUP(A97,'Data Vlaue (Cr)'!C92:CY306,101,0)</f>
        <v>-16</v>
      </c>
      <c r="D97" s="139">
        <f>VLOOKUP(A97,'Data Vlaue (Cr)'!C92:CZ306,102,0)</f>
        <v>-1.3100000000000001E-2</v>
      </c>
      <c r="E97" s="91">
        <f>VLOOKUP($A97,'Data Vlaue (Cr)'!$C:$FB,75)</f>
        <v>800</v>
      </c>
      <c r="F97" s="91">
        <f>VLOOKUP($A97,'Data Vlaue (Cr)'!$C:$FB,77)</f>
        <v>-7</v>
      </c>
      <c r="G97" s="92">
        <f>VLOOKUP(A97,'Data Vlaue (Cr)'!C92:CB306,78,0)</f>
        <v>-8.9999999999999993E-3</v>
      </c>
      <c r="H97" s="91">
        <f>VLOOKUP($A97,'Data Vlaue (Cr)'!$C:$FB,91)</f>
        <v>223</v>
      </c>
      <c r="I97" s="91">
        <f>VLOOKUP($A97,'Data Vlaue (Cr)'!$C:$FB,93)</f>
        <v>2</v>
      </c>
      <c r="J97" s="92">
        <f>VLOOKUP($A97,'Data Vlaue (Cr)'!$C:$FB,94)</f>
        <v>7.4999999999999997E-3</v>
      </c>
      <c r="K97" s="91">
        <f>VLOOKUP($A97,'Data Vlaue (Cr)'!$C:$FB,95)</f>
        <v>157</v>
      </c>
      <c r="L97" s="91">
        <f>VLOOKUP($A97,'Data Vlaue (Cr)'!$C:$FB,97)</f>
        <v>-10</v>
      </c>
      <c r="M97" s="92">
        <f>VLOOKUP($A97,'Data Vlaue (Cr)'!$C:$FB,98)</f>
        <v>-6.0400000000000002E-2</v>
      </c>
      <c r="N97" s="91">
        <f>VLOOKUP($A97,'Data Vlaue (Cr)'!$C:$FB,79)</f>
        <v>777</v>
      </c>
      <c r="O97" s="92">
        <f>VLOOKUP($A97,'Data Vlaue (Cr)'!$C:$FB,82)</f>
        <v>-1.4200000000000001E-2</v>
      </c>
    </row>
    <row r="98" spans="1:15" x14ac:dyDescent="0.25">
      <c r="A98" s="97" t="str">
        <f>'Data Vlaue (Cr)'!C93</f>
        <v>INDHOTEL</v>
      </c>
      <c r="B98" s="142">
        <f>VLOOKUP(A98,'Data Vlaue (Cr)'!C93:CW307,99,0)</f>
        <v>3746</v>
      </c>
      <c r="C98" s="90">
        <f>VLOOKUP(A98,'Data Vlaue (Cr)'!C93:CY307,101,0)</f>
        <v>-193</v>
      </c>
      <c r="D98" s="139">
        <f>VLOOKUP(A98,'Data Vlaue (Cr)'!C93:CZ307,102,0)</f>
        <v>-4.9000000000000002E-2</v>
      </c>
      <c r="E98" s="91">
        <f>VLOOKUP($A98,'Data Vlaue (Cr)'!$C:$FB,75)</f>
        <v>2123</v>
      </c>
      <c r="F98" s="91">
        <f>VLOOKUP($A98,'Data Vlaue (Cr)'!$C:$FB,77)</f>
        <v>-86</v>
      </c>
      <c r="G98" s="92">
        <f>VLOOKUP(A98,'Data Vlaue (Cr)'!C93:CB307,78,0)</f>
        <v>-3.8899999999999997E-2</v>
      </c>
      <c r="H98" s="91">
        <f>VLOOKUP($A98,'Data Vlaue (Cr)'!$C:$FB,91)</f>
        <v>1091</v>
      </c>
      <c r="I98" s="91">
        <f>VLOOKUP($A98,'Data Vlaue (Cr)'!$C:$FB,93)</f>
        <v>-77</v>
      </c>
      <c r="J98" s="92">
        <f>VLOOKUP($A98,'Data Vlaue (Cr)'!$C:$FB,94)</f>
        <v>-6.6299999999999998E-2</v>
      </c>
      <c r="K98" s="91">
        <f>VLOOKUP($A98,'Data Vlaue (Cr)'!$C:$FB,95)</f>
        <v>532</v>
      </c>
      <c r="L98" s="91">
        <f>VLOOKUP($A98,'Data Vlaue (Cr)'!$C:$FB,97)</f>
        <v>-30</v>
      </c>
      <c r="M98" s="92">
        <f>VLOOKUP($A98,'Data Vlaue (Cr)'!$C:$FB,98)</f>
        <v>-5.28E-2</v>
      </c>
      <c r="N98" s="91">
        <f>VLOOKUP($A98,'Data Vlaue (Cr)'!$C:$FB,79)</f>
        <v>1983</v>
      </c>
      <c r="O98" s="92">
        <f>VLOOKUP($A98,'Data Vlaue (Cr)'!$C:$FB,82)</f>
        <v>-4.0800000000000003E-2</v>
      </c>
    </row>
    <row r="99" spans="1:15" x14ac:dyDescent="0.25">
      <c r="A99" s="97" t="str">
        <f>'Data Vlaue (Cr)'!C94</f>
        <v>INDIANB</v>
      </c>
      <c r="B99" s="142">
        <f>VLOOKUP(A99,'Data Vlaue (Cr)'!C94:CW308,99,0)</f>
        <v>1290</v>
      </c>
      <c r="C99" s="90">
        <f>VLOOKUP(A99,'Data Vlaue (Cr)'!C94:CY308,101,0)</f>
        <v>225</v>
      </c>
      <c r="D99" s="139">
        <f>VLOOKUP(A99,'Data Vlaue (Cr)'!C94:CZ308,102,0)</f>
        <v>0.2107</v>
      </c>
      <c r="E99" s="91">
        <f>VLOOKUP($A99,'Data Vlaue (Cr)'!$C:$FB,75)</f>
        <v>585</v>
      </c>
      <c r="F99" s="91">
        <f>VLOOKUP($A99,'Data Vlaue (Cr)'!$C:$FB,77)</f>
        <v>11</v>
      </c>
      <c r="G99" s="92">
        <f>VLOOKUP(A99,'Data Vlaue (Cr)'!C94:CB308,78,0)</f>
        <v>1.89E-2</v>
      </c>
      <c r="H99" s="91">
        <f>VLOOKUP($A99,'Data Vlaue (Cr)'!$C:$FB,91)</f>
        <v>436</v>
      </c>
      <c r="I99" s="91">
        <f>VLOOKUP($A99,'Data Vlaue (Cr)'!$C:$FB,93)</f>
        <v>173</v>
      </c>
      <c r="J99" s="92">
        <f>VLOOKUP($A99,'Data Vlaue (Cr)'!$C:$FB,94)</f>
        <v>0.65980000000000005</v>
      </c>
      <c r="K99" s="91">
        <f>VLOOKUP($A99,'Data Vlaue (Cr)'!$C:$FB,95)</f>
        <v>270</v>
      </c>
      <c r="L99" s="91">
        <f>VLOOKUP($A99,'Data Vlaue (Cr)'!$C:$FB,97)</f>
        <v>41</v>
      </c>
      <c r="M99" s="92">
        <f>VLOOKUP($A99,'Data Vlaue (Cr)'!$C:$FB,98)</f>
        <v>0.17710000000000001</v>
      </c>
      <c r="N99" s="91">
        <f>VLOOKUP($A99,'Data Vlaue (Cr)'!$C:$FB,79)</f>
        <v>543</v>
      </c>
      <c r="O99" s="92">
        <f>VLOOKUP($A99,'Data Vlaue (Cr)'!$C:$FB,82)</f>
        <v>-1.5900000000000001E-2</v>
      </c>
    </row>
    <row r="100" spans="1:15" x14ac:dyDescent="0.25">
      <c r="A100" s="97" t="str">
        <f>'Data Vlaue (Cr)'!C95</f>
        <v>INDIAVIX</v>
      </c>
      <c r="B100" s="142">
        <f>VLOOKUP(A100,'Data Vlaue (Cr)'!C95:CW309,99,0)</f>
        <v>0</v>
      </c>
      <c r="C100" s="90">
        <f>VLOOKUP(A100,'Data Vlaue (Cr)'!C95:CY309,101,0)</f>
        <v>0</v>
      </c>
      <c r="D100" s="139">
        <f>VLOOKUP(A100,'Data Vlaue (Cr)'!C95:CZ309,102,0)</f>
        <v>0</v>
      </c>
      <c r="E100" s="91">
        <f>VLOOKUP($A100,'Data Vlaue (Cr)'!$C:$FB,75)</f>
        <v>0</v>
      </c>
      <c r="F100" s="91">
        <f>VLOOKUP($A100,'Data Vlaue (Cr)'!$C:$FB,77)</f>
        <v>0</v>
      </c>
      <c r="G100" s="92">
        <f>VLOOKUP(A100,'Data Vlaue (Cr)'!C95:CB309,78,0)</f>
        <v>0</v>
      </c>
      <c r="H100" s="91">
        <f>VLOOKUP($A100,'Data Vlaue (Cr)'!$C:$FB,91)</f>
        <v>0</v>
      </c>
      <c r="I100" s="91">
        <f>VLOOKUP($A100,'Data Vlaue (Cr)'!$C:$FB,93)</f>
        <v>0</v>
      </c>
      <c r="J100" s="92">
        <f>VLOOKUP($A100,'Data Vlaue (Cr)'!$C:$FB,94)</f>
        <v>0</v>
      </c>
      <c r="K100" s="91">
        <f>VLOOKUP($A100,'Data Vlaue (Cr)'!$C:$FB,95)</f>
        <v>0</v>
      </c>
      <c r="L100" s="91">
        <f>VLOOKUP($A100,'Data Vlaue (Cr)'!$C:$FB,97)</f>
        <v>0</v>
      </c>
      <c r="M100" s="92">
        <f>VLOOKUP($A100,'Data Vlaue (Cr)'!$C:$FB,98)</f>
        <v>0</v>
      </c>
      <c r="N100" s="91">
        <f>VLOOKUP($A100,'Data Vlaue (Cr)'!$C:$FB,79)</f>
        <v>0</v>
      </c>
      <c r="O100" s="92">
        <f>VLOOKUP($A100,'Data Vlaue (Cr)'!$C:$FB,82)</f>
        <v>0</v>
      </c>
    </row>
    <row r="101" spans="1:15" x14ac:dyDescent="0.25">
      <c r="A101" s="97" t="str">
        <f>'Data Vlaue (Cr)'!C96</f>
        <v>INDIGO</v>
      </c>
      <c r="B101" s="142">
        <f>VLOOKUP(A101,'Data Vlaue (Cr)'!C96:CW310,99,0)</f>
        <v>6798</v>
      </c>
      <c r="C101" s="90">
        <f>VLOOKUP(A101,'Data Vlaue (Cr)'!C96:CY310,101,0)</f>
        <v>133</v>
      </c>
      <c r="D101" s="139">
        <f>VLOOKUP(A101,'Data Vlaue (Cr)'!C96:CZ310,102,0)</f>
        <v>0.02</v>
      </c>
      <c r="E101" s="91">
        <f>VLOOKUP($A101,'Data Vlaue (Cr)'!$C:$FB,75)</f>
        <v>4699</v>
      </c>
      <c r="F101" s="91">
        <f>VLOOKUP($A101,'Data Vlaue (Cr)'!$C:$FB,77)</f>
        <v>36</v>
      </c>
      <c r="G101" s="92">
        <f>VLOOKUP(A101,'Data Vlaue (Cr)'!C96:CB310,78,0)</f>
        <v>7.6E-3</v>
      </c>
      <c r="H101" s="91">
        <f>VLOOKUP($A101,'Data Vlaue (Cr)'!$C:$FB,91)</f>
        <v>1178</v>
      </c>
      <c r="I101" s="91">
        <f>VLOOKUP($A101,'Data Vlaue (Cr)'!$C:$FB,93)</f>
        <v>78</v>
      </c>
      <c r="J101" s="92">
        <f>VLOOKUP($A101,'Data Vlaue (Cr)'!$C:$FB,94)</f>
        <v>7.0400000000000004E-2</v>
      </c>
      <c r="K101" s="91">
        <f>VLOOKUP($A101,'Data Vlaue (Cr)'!$C:$FB,95)</f>
        <v>921</v>
      </c>
      <c r="L101" s="91">
        <f>VLOOKUP($A101,'Data Vlaue (Cr)'!$C:$FB,97)</f>
        <v>20</v>
      </c>
      <c r="M101" s="92">
        <f>VLOOKUP($A101,'Data Vlaue (Cr)'!$C:$FB,98)</f>
        <v>2.24E-2</v>
      </c>
      <c r="N101" s="91">
        <f>VLOOKUP($A101,'Data Vlaue (Cr)'!$C:$FB,79)</f>
        <v>4442</v>
      </c>
      <c r="O101" s="92">
        <f>VLOOKUP($A101,'Data Vlaue (Cr)'!$C:$FB,82)</f>
        <v>-7.7000000000000002E-3</v>
      </c>
    </row>
    <row r="102" spans="1:15" x14ac:dyDescent="0.25">
      <c r="A102" s="97" t="str">
        <f>'Data Vlaue (Cr)'!C97</f>
        <v>INDUSINDBK</v>
      </c>
      <c r="B102" s="142">
        <f>VLOOKUP(A102,'Data Vlaue (Cr)'!C97:CW311,99,0)</f>
        <v>5999</v>
      </c>
      <c r="C102" s="90">
        <f>VLOOKUP(A102,'Data Vlaue (Cr)'!C97:CY311,101,0)</f>
        <v>134</v>
      </c>
      <c r="D102" s="139">
        <f>VLOOKUP(A102,'Data Vlaue (Cr)'!C97:CZ311,102,0)</f>
        <v>2.29E-2</v>
      </c>
      <c r="E102" s="91">
        <f>VLOOKUP($A102,'Data Vlaue (Cr)'!$C:$FB,75)</f>
        <v>4062</v>
      </c>
      <c r="F102" s="91">
        <f>VLOOKUP($A102,'Data Vlaue (Cr)'!$C:$FB,77)</f>
        <v>49</v>
      </c>
      <c r="G102" s="92">
        <f>VLOOKUP(A102,'Data Vlaue (Cr)'!C97:CB311,78,0)</f>
        <v>1.21E-2</v>
      </c>
      <c r="H102" s="91">
        <f>VLOOKUP($A102,'Data Vlaue (Cr)'!$C:$FB,91)</f>
        <v>1029</v>
      </c>
      <c r="I102" s="91">
        <f>VLOOKUP($A102,'Data Vlaue (Cr)'!$C:$FB,93)</f>
        <v>51</v>
      </c>
      <c r="J102" s="92">
        <f>VLOOKUP($A102,'Data Vlaue (Cr)'!$C:$FB,94)</f>
        <v>5.1799999999999999E-2</v>
      </c>
      <c r="K102" s="91">
        <f>VLOOKUP($A102,'Data Vlaue (Cr)'!$C:$FB,95)</f>
        <v>908</v>
      </c>
      <c r="L102" s="91">
        <f>VLOOKUP($A102,'Data Vlaue (Cr)'!$C:$FB,97)</f>
        <v>35</v>
      </c>
      <c r="M102" s="92">
        <f>VLOOKUP($A102,'Data Vlaue (Cr)'!$C:$FB,98)</f>
        <v>0.04</v>
      </c>
      <c r="N102" s="91">
        <f>VLOOKUP($A102,'Data Vlaue (Cr)'!$C:$FB,79)</f>
        <v>3734</v>
      </c>
      <c r="O102" s="92">
        <f>VLOOKUP($A102,'Data Vlaue (Cr)'!$C:$FB,82)</f>
        <v>-1.4E-3</v>
      </c>
    </row>
    <row r="103" spans="1:15" x14ac:dyDescent="0.25">
      <c r="A103" s="97" t="str">
        <f>'Data Vlaue (Cr)'!C98</f>
        <v>INDUSTOWER</v>
      </c>
      <c r="B103" s="142">
        <f>VLOOKUP(A103,'Data Vlaue (Cr)'!C98:CW312,99,0)</f>
        <v>4317</v>
      </c>
      <c r="C103" s="90">
        <f>VLOOKUP(A103,'Data Vlaue (Cr)'!C98:CY312,101,0)</f>
        <v>30</v>
      </c>
      <c r="D103" s="139">
        <f>VLOOKUP(A103,'Data Vlaue (Cr)'!C98:CZ312,102,0)</f>
        <v>7.0000000000000001E-3</v>
      </c>
      <c r="E103" s="91">
        <f>VLOOKUP($A103,'Data Vlaue (Cr)'!$C:$FB,75)</f>
        <v>3109</v>
      </c>
      <c r="F103" s="91">
        <f>VLOOKUP($A103,'Data Vlaue (Cr)'!$C:$FB,77)</f>
        <v>9</v>
      </c>
      <c r="G103" s="92">
        <f>VLOOKUP(A103,'Data Vlaue (Cr)'!C98:CB312,78,0)</f>
        <v>2.8999999999999998E-3</v>
      </c>
      <c r="H103" s="91">
        <f>VLOOKUP($A103,'Data Vlaue (Cr)'!$C:$FB,91)</f>
        <v>695</v>
      </c>
      <c r="I103" s="91">
        <f>VLOOKUP($A103,'Data Vlaue (Cr)'!$C:$FB,93)</f>
        <v>5</v>
      </c>
      <c r="J103" s="92">
        <f>VLOOKUP($A103,'Data Vlaue (Cr)'!$C:$FB,94)</f>
        <v>7.0000000000000001E-3</v>
      </c>
      <c r="K103" s="91">
        <f>VLOOKUP($A103,'Data Vlaue (Cr)'!$C:$FB,95)</f>
        <v>513</v>
      </c>
      <c r="L103" s="91">
        <f>VLOOKUP($A103,'Data Vlaue (Cr)'!$C:$FB,97)</f>
        <v>16</v>
      </c>
      <c r="M103" s="92">
        <f>VLOOKUP($A103,'Data Vlaue (Cr)'!$C:$FB,98)</f>
        <v>3.2800000000000003E-2</v>
      </c>
      <c r="N103" s="91">
        <f>VLOOKUP($A103,'Data Vlaue (Cr)'!$C:$FB,79)</f>
        <v>3001</v>
      </c>
      <c r="O103" s="92">
        <f>VLOOKUP($A103,'Data Vlaue (Cr)'!$C:$FB,82)</f>
        <v>4.0000000000000002E-4</v>
      </c>
    </row>
    <row r="104" spans="1:15" x14ac:dyDescent="0.25">
      <c r="A104" s="97" t="str">
        <f>'Data Vlaue (Cr)'!C99</f>
        <v>INFY</v>
      </c>
      <c r="B104" s="142">
        <f>VLOOKUP(A104,'Data Vlaue (Cr)'!C99:CW313,99,0)</f>
        <v>21414</v>
      </c>
      <c r="C104" s="90">
        <f>VLOOKUP(A104,'Data Vlaue (Cr)'!C99:CY313,101,0)</f>
        <v>2494</v>
      </c>
      <c r="D104" s="139">
        <f>VLOOKUP(A104,'Data Vlaue (Cr)'!C99:CZ313,102,0)</f>
        <v>0.1318</v>
      </c>
      <c r="E104" s="91">
        <f>VLOOKUP($A104,'Data Vlaue (Cr)'!$C:$FB,75)</f>
        <v>9728</v>
      </c>
      <c r="F104" s="91">
        <f>VLOOKUP($A104,'Data Vlaue (Cr)'!$C:$FB,77)</f>
        <v>294</v>
      </c>
      <c r="G104" s="92">
        <f>VLOOKUP(A104,'Data Vlaue (Cr)'!C99:CB313,78,0)</f>
        <v>3.1199999999999999E-2</v>
      </c>
      <c r="H104" s="91">
        <f>VLOOKUP($A104,'Data Vlaue (Cr)'!$C:$FB,91)</f>
        <v>7917</v>
      </c>
      <c r="I104" s="91">
        <f>VLOOKUP($A104,'Data Vlaue (Cr)'!$C:$FB,93)</f>
        <v>1527</v>
      </c>
      <c r="J104" s="92">
        <f>VLOOKUP($A104,'Data Vlaue (Cr)'!$C:$FB,94)</f>
        <v>0.23899999999999999</v>
      </c>
      <c r="K104" s="91">
        <f>VLOOKUP($A104,'Data Vlaue (Cr)'!$C:$FB,95)</f>
        <v>3769</v>
      </c>
      <c r="L104" s="91">
        <f>VLOOKUP($A104,'Data Vlaue (Cr)'!$C:$FB,97)</f>
        <v>673</v>
      </c>
      <c r="M104" s="92">
        <f>VLOOKUP($A104,'Data Vlaue (Cr)'!$C:$FB,98)</f>
        <v>0.2172</v>
      </c>
      <c r="N104" s="91">
        <f>VLOOKUP($A104,'Data Vlaue (Cr)'!$C:$FB,79)</f>
        <v>6434</v>
      </c>
      <c r="O104" s="92">
        <f>VLOOKUP($A104,'Data Vlaue (Cr)'!$C:$FB,82)</f>
        <v>1.7100000000000001E-2</v>
      </c>
    </row>
    <row r="105" spans="1:15" x14ac:dyDescent="0.25">
      <c r="A105" s="97" t="str">
        <f>'Data Vlaue (Cr)'!C100</f>
        <v>INOXWIND</v>
      </c>
      <c r="B105" s="142">
        <f>VLOOKUP(A105,'Data Vlaue (Cr)'!C100:CW314,99,0)</f>
        <v>1160</v>
      </c>
      <c r="C105" s="90">
        <f>VLOOKUP(A105,'Data Vlaue (Cr)'!C100:CY314,101,0)</f>
        <v>15</v>
      </c>
      <c r="D105" s="139">
        <f>VLOOKUP(A105,'Data Vlaue (Cr)'!C100:CZ314,102,0)</f>
        <v>1.2999999999999999E-2</v>
      </c>
      <c r="E105" s="91">
        <f>VLOOKUP($A105,'Data Vlaue (Cr)'!$C:$FB,75)</f>
        <v>701</v>
      </c>
      <c r="F105" s="91">
        <f>VLOOKUP($A105,'Data Vlaue (Cr)'!$C:$FB,77)</f>
        <v>5</v>
      </c>
      <c r="G105" s="92">
        <f>VLOOKUP(A105,'Data Vlaue (Cr)'!C100:CB314,78,0)</f>
        <v>7.0000000000000001E-3</v>
      </c>
      <c r="H105" s="91">
        <f>VLOOKUP($A105,'Data Vlaue (Cr)'!$C:$FB,91)</f>
        <v>315</v>
      </c>
      <c r="I105" s="91">
        <f>VLOOKUP($A105,'Data Vlaue (Cr)'!$C:$FB,93)</f>
        <v>7</v>
      </c>
      <c r="J105" s="92">
        <f>VLOOKUP($A105,'Data Vlaue (Cr)'!$C:$FB,94)</f>
        <v>2.2499999999999999E-2</v>
      </c>
      <c r="K105" s="91">
        <f>VLOOKUP($A105,'Data Vlaue (Cr)'!$C:$FB,95)</f>
        <v>144</v>
      </c>
      <c r="L105" s="91">
        <f>VLOOKUP($A105,'Data Vlaue (Cr)'!$C:$FB,97)</f>
        <v>3</v>
      </c>
      <c r="M105" s="92">
        <f>VLOOKUP($A105,'Data Vlaue (Cr)'!$C:$FB,98)</f>
        <v>2.2200000000000001E-2</v>
      </c>
      <c r="N105" s="91">
        <f>VLOOKUP($A105,'Data Vlaue (Cr)'!$C:$FB,79)</f>
        <v>657</v>
      </c>
      <c r="O105" s="92">
        <f>VLOOKUP($A105,'Data Vlaue (Cr)'!$C:$FB,82)</f>
        <v>3.0999999999999999E-3</v>
      </c>
    </row>
    <row r="106" spans="1:15" x14ac:dyDescent="0.25">
      <c r="A106" s="97" t="str">
        <f>'Data Vlaue (Cr)'!C101</f>
        <v>IOC</v>
      </c>
      <c r="B106" s="142">
        <f>VLOOKUP(A106,'Data Vlaue (Cr)'!C101:CW315,99,0)</f>
        <v>2995</v>
      </c>
      <c r="C106" s="90">
        <f>VLOOKUP(A106,'Data Vlaue (Cr)'!C101:CY315,101,0)</f>
        <v>78</v>
      </c>
      <c r="D106" s="139">
        <f>VLOOKUP(A106,'Data Vlaue (Cr)'!C101:CZ315,102,0)</f>
        <v>2.6800000000000001E-2</v>
      </c>
      <c r="E106" s="91">
        <f>VLOOKUP($A106,'Data Vlaue (Cr)'!$C:$FB,75)</f>
        <v>1654</v>
      </c>
      <c r="F106" s="91">
        <f>VLOOKUP($A106,'Data Vlaue (Cr)'!$C:$FB,77)</f>
        <v>13</v>
      </c>
      <c r="G106" s="92">
        <f>VLOOKUP(A106,'Data Vlaue (Cr)'!C101:CB315,78,0)</f>
        <v>8.0000000000000002E-3</v>
      </c>
      <c r="H106" s="91">
        <f>VLOOKUP($A106,'Data Vlaue (Cr)'!$C:$FB,91)</f>
        <v>811</v>
      </c>
      <c r="I106" s="91">
        <f>VLOOKUP($A106,'Data Vlaue (Cr)'!$C:$FB,93)</f>
        <v>30</v>
      </c>
      <c r="J106" s="92">
        <f>VLOOKUP($A106,'Data Vlaue (Cr)'!$C:$FB,94)</f>
        <v>3.8699999999999998E-2</v>
      </c>
      <c r="K106" s="91">
        <f>VLOOKUP($A106,'Data Vlaue (Cr)'!$C:$FB,95)</f>
        <v>530</v>
      </c>
      <c r="L106" s="91">
        <f>VLOOKUP($A106,'Data Vlaue (Cr)'!$C:$FB,97)</f>
        <v>35</v>
      </c>
      <c r="M106" s="92">
        <f>VLOOKUP($A106,'Data Vlaue (Cr)'!$C:$FB,98)</f>
        <v>7.0400000000000004E-2</v>
      </c>
      <c r="N106" s="91">
        <f>VLOOKUP($A106,'Data Vlaue (Cr)'!$C:$FB,79)</f>
        <v>1535</v>
      </c>
      <c r="O106" s="92">
        <f>VLOOKUP($A106,'Data Vlaue (Cr)'!$C:$FB,82)</f>
        <v>-2.8E-3</v>
      </c>
    </row>
    <row r="107" spans="1:15" x14ac:dyDescent="0.25">
      <c r="A107" s="97" t="str">
        <f>'Data Vlaue (Cr)'!C102</f>
        <v>IRCTC</v>
      </c>
      <c r="B107" s="142">
        <f>VLOOKUP(A107,'Data Vlaue (Cr)'!C102:CW316,99,0)</f>
        <v>2254</v>
      </c>
      <c r="C107" s="90">
        <f>VLOOKUP(A107,'Data Vlaue (Cr)'!C102:CY316,101,0)</f>
        <v>-26</v>
      </c>
      <c r="D107" s="139">
        <f>VLOOKUP(A107,'Data Vlaue (Cr)'!C102:CZ316,102,0)</f>
        <v>-1.15E-2</v>
      </c>
      <c r="E107" s="91">
        <f>VLOOKUP($A107,'Data Vlaue (Cr)'!$C:$FB,75)</f>
        <v>1142</v>
      </c>
      <c r="F107" s="91">
        <f>VLOOKUP($A107,'Data Vlaue (Cr)'!$C:$FB,77)</f>
        <v>-15</v>
      </c>
      <c r="G107" s="92">
        <f>VLOOKUP(A107,'Data Vlaue (Cr)'!C102:CB316,78,0)</f>
        <v>-1.2999999999999999E-2</v>
      </c>
      <c r="H107" s="91">
        <f>VLOOKUP($A107,'Data Vlaue (Cr)'!$C:$FB,91)</f>
        <v>748</v>
      </c>
      <c r="I107" s="91">
        <f>VLOOKUP($A107,'Data Vlaue (Cr)'!$C:$FB,93)</f>
        <v>0</v>
      </c>
      <c r="J107" s="92">
        <f>VLOOKUP($A107,'Data Vlaue (Cr)'!$C:$FB,94)</f>
        <v>-1E-4</v>
      </c>
      <c r="K107" s="91">
        <f>VLOOKUP($A107,'Data Vlaue (Cr)'!$C:$FB,95)</f>
        <v>364</v>
      </c>
      <c r="L107" s="91">
        <f>VLOOKUP($A107,'Data Vlaue (Cr)'!$C:$FB,97)</f>
        <v>-11</v>
      </c>
      <c r="M107" s="92">
        <f>VLOOKUP($A107,'Data Vlaue (Cr)'!$C:$FB,98)</f>
        <v>-2.9399999999999999E-2</v>
      </c>
      <c r="N107" s="91">
        <f>VLOOKUP($A107,'Data Vlaue (Cr)'!$C:$FB,79)</f>
        <v>978</v>
      </c>
      <c r="O107" s="92">
        <f>VLOOKUP($A107,'Data Vlaue (Cr)'!$C:$FB,82)</f>
        <v>-2.4500000000000001E-2</v>
      </c>
    </row>
    <row r="108" spans="1:15" x14ac:dyDescent="0.25">
      <c r="A108" s="97" t="str">
        <f>'Data Vlaue (Cr)'!C103</f>
        <v>IREDA</v>
      </c>
      <c r="B108" s="142">
        <f>VLOOKUP(A108,'Data Vlaue (Cr)'!C103:CW317,99,0)</f>
        <v>1837</v>
      </c>
      <c r="C108" s="90">
        <f>VLOOKUP(A108,'Data Vlaue (Cr)'!C103:CY317,101,0)</f>
        <v>99</v>
      </c>
      <c r="D108" s="139">
        <f>VLOOKUP(A108,'Data Vlaue (Cr)'!C103:CZ317,102,0)</f>
        <v>5.7200000000000001E-2</v>
      </c>
      <c r="E108" s="91">
        <f>VLOOKUP($A108,'Data Vlaue (Cr)'!$C:$FB,75)</f>
        <v>787</v>
      </c>
      <c r="F108" s="91">
        <f>VLOOKUP($A108,'Data Vlaue (Cr)'!$C:$FB,77)</f>
        <v>62</v>
      </c>
      <c r="G108" s="92">
        <f>VLOOKUP(A108,'Data Vlaue (Cr)'!C103:CB317,78,0)</f>
        <v>8.6099999999999996E-2</v>
      </c>
      <c r="H108" s="91">
        <f>VLOOKUP($A108,'Data Vlaue (Cr)'!$C:$FB,91)</f>
        <v>742</v>
      </c>
      <c r="I108" s="91">
        <f>VLOOKUP($A108,'Data Vlaue (Cr)'!$C:$FB,93)</f>
        <v>26</v>
      </c>
      <c r="J108" s="92">
        <f>VLOOKUP($A108,'Data Vlaue (Cr)'!$C:$FB,94)</f>
        <v>3.6799999999999999E-2</v>
      </c>
      <c r="K108" s="91">
        <f>VLOOKUP($A108,'Data Vlaue (Cr)'!$C:$FB,95)</f>
        <v>308</v>
      </c>
      <c r="L108" s="91">
        <f>VLOOKUP($A108,'Data Vlaue (Cr)'!$C:$FB,97)</f>
        <v>11</v>
      </c>
      <c r="M108" s="92">
        <f>VLOOKUP($A108,'Data Vlaue (Cr)'!$C:$FB,98)</f>
        <v>3.5900000000000001E-2</v>
      </c>
      <c r="N108" s="91">
        <f>VLOOKUP($A108,'Data Vlaue (Cr)'!$C:$FB,79)</f>
        <v>604</v>
      </c>
      <c r="O108" s="92">
        <f>VLOOKUP($A108,'Data Vlaue (Cr)'!$C:$FB,82)</f>
        <v>4.2500000000000003E-2</v>
      </c>
    </row>
    <row r="109" spans="1:15" x14ac:dyDescent="0.25">
      <c r="A109" s="97" t="str">
        <f>'Data Vlaue (Cr)'!C104</f>
        <v>IRFC</v>
      </c>
      <c r="B109" s="142">
        <f>VLOOKUP(A109,'Data Vlaue (Cr)'!C104:CW318,99,0)</f>
        <v>1397</v>
      </c>
      <c r="C109" s="90">
        <f>VLOOKUP(A109,'Data Vlaue (Cr)'!C104:CY318,101,0)</f>
        <v>49</v>
      </c>
      <c r="D109" s="139">
        <f>VLOOKUP(A109,'Data Vlaue (Cr)'!C104:CZ318,102,0)</f>
        <v>3.6499999999999998E-2</v>
      </c>
      <c r="E109" s="91">
        <f>VLOOKUP($A109,'Data Vlaue (Cr)'!$C:$FB,75)</f>
        <v>618</v>
      </c>
      <c r="F109" s="91">
        <f>VLOOKUP($A109,'Data Vlaue (Cr)'!$C:$FB,77)</f>
        <v>27</v>
      </c>
      <c r="G109" s="92">
        <f>VLOOKUP(A109,'Data Vlaue (Cr)'!C104:CB318,78,0)</f>
        <v>4.5400000000000003E-2</v>
      </c>
      <c r="H109" s="91">
        <f>VLOOKUP($A109,'Data Vlaue (Cr)'!$C:$FB,91)</f>
        <v>544</v>
      </c>
      <c r="I109" s="91">
        <f>VLOOKUP($A109,'Data Vlaue (Cr)'!$C:$FB,93)</f>
        <v>15</v>
      </c>
      <c r="J109" s="92">
        <f>VLOOKUP($A109,'Data Vlaue (Cr)'!$C:$FB,94)</f>
        <v>2.86E-2</v>
      </c>
      <c r="K109" s="91">
        <f>VLOOKUP($A109,'Data Vlaue (Cr)'!$C:$FB,95)</f>
        <v>235</v>
      </c>
      <c r="L109" s="91">
        <f>VLOOKUP($A109,'Data Vlaue (Cr)'!$C:$FB,97)</f>
        <v>7</v>
      </c>
      <c r="M109" s="92">
        <f>VLOOKUP($A109,'Data Vlaue (Cr)'!$C:$FB,98)</f>
        <v>3.1699999999999999E-2</v>
      </c>
      <c r="N109" s="91">
        <f>VLOOKUP($A109,'Data Vlaue (Cr)'!$C:$FB,79)</f>
        <v>525</v>
      </c>
      <c r="O109" s="92">
        <f>VLOOKUP($A109,'Data Vlaue (Cr)'!$C:$FB,82)</f>
        <v>2.3699999999999999E-2</v>
      </c>
    </row>
    <row r="110" spans="1:15" x14ac:dyDescent="0.25">
      <c r="A110" s="97" t="str">
        <f>'Data Vlaue (Cr)'!C105</f>
        <v>ITC</v>
      </c>
      <c r="B110" s="142">
        <f>VLOOKUP(A110,'Data Vlaue (Cr)'!C105:CW319,99,0)</f>
        <v>9012</v>
      </c>
      <c r="C110" s="90">
        <f>VLOOKUP(A110,'Data Vlaue (Cr)'!C105:CY319,101,0)</f>
        <v>-131</v>
      </c>
      <c r="D110" s="139">
        <f>VLOOKUP(A110,'Data Vlaue (Cr)'!C105:CZ319,102,0)</f>
        <v>-1.43E-2</v>
      </c>
      <c r="E110" s="91">
        <f>VLOOKUP($A110,'Data Vlaue (Cr)'!$C:$FB,75)</f>
        <v>5872</v>
      </c>
      <c r="F110" s="91">
        <f>VLOOKUP($A110,'Data Vlaue (Cr)'!$C:$FB,77)</f>
        <v>163</v>
      </c>
      <c r="G110" s="92">
        <f>VLOOKUP(A110,'Data Vlaue (Cr)'!C105:CB319,78,0)</f>
        <v>2.8500000000000001E-2</v>
      </c>
      <c r="H110" s="91">
        <f>VLOOKUP($A110,'Data Vlaue (Cr)'!$C:$FB,91)</f>
        <v>1800</v>
      </c>
      <c r="I110" s="91">
        <f>VLOOKUP($A110,'Data Vlaue (Cr)'!$C:$FB,93)</f>
        <v>-257</v>
      </c>
      <c r="J110" s="92">
        <f>VLOOKUP($A110,'Data Vlaue (Cr)'!$C:$FB,94)</f>
        <v>-0.12479999999999999</v>
      </c>
      <c r="K110" s="91">
        <f>VLOOKUP($A110,'Data Vlaue (Cr)'!$C:$FB,95)</f>
        <v>1340</v>
      </c>
      <c r="L110" s="91">
        <f>VLOOKUP($A110,'Data Vlaue (Cr)'!$C:$FB,97)</f>
        <v>-37</v>
      </c>
      <c r="M110" s="92">
        <f>VLOOKUP($A110,'Data Vlaue (Cr)'!$C:$FB,98)</f>
        <v>-2.69E-2</v>
      </c>
      <c r="N110" s="91">
        <f>VLOOKUP($A110,'Data Vlaue (Cr)'!$C:$FB,79)</f>
        <v>5271</v>
      </c>
      <c r="O110" s="92">
        <f>VLOOKUP($A110,'Data Vlaue (Cr)'!$C:$FB,82)</f>
        <v>8.9999999999999993E-3</v>
      </c>
    </row>
    <row r="111" spans="1:15" x14ac:dyDescent="0.25">
      <c r="A111" s="97" t="str">
        <f>'Data Vlaue (Cr)'!C106</f>
        <v>JINDALSTEL</v>
      </c>
      <c r="B111" s="142">
        <f>VLOOKUP(A111,'Data Vlaue (Cr)'!C106:CW320,99,0)</f>
        <v>2739</v>
      </c>
      <c r="C111" s="90">
        <f>VLOOKUP(A111,'Data Vlaue (Cr)'!C106:CY320,101,0)</f>
        <v>-140</v>
      </c>
      <c r="D111" s="139">
        <f>VLOOKUP(A111,'Data Vlaue (Cr)'!C106:CZ320,102,0)</f>
        <v>-4.8599999999999997E-2</v>
      </c>
      <c r="E111" s="91">
        <f>VLOOKUP($A111,'Data Vlaue (Cr)'!$C:$FB,75)</f>
        <v>1468</v>
      </c>
      <c r="F111" s="91">
        <f>VLOOKUP($A111,'Data Vlaue (Cr)'!$C:$FB,77)</f>
        <v>-49</v>
      </c>
      <c r="G111" s="92">
        <f>VLOOKUP(A111,'Data Vlaue (Cr)'!C106:CB320,78,0)</f>
        <v>-3.2199999999999999E-2</v>
      </c>
      <c r="H111" s="91">
        <f>VLOOKUP($A111,'Data Vlaue (Cr)'!$C:$FB,91)</f>
        <v>841</v>
      </c>
      <c r="I111" s="91">
        <f>VLOOKUP($A111,'Data Vlaue (Cr)'!$C:$FB,93)</f>
        <v>-98</v>
      </c>
      <c r="J111" s="92">
        <f>VLOOKUP($A111,'Data Vlaue (Cr)'!$C:$FB,94)</f>
        <v>-0.104</v>
      </c>
      <c r="K111" s="91">
        <f>VLOOKUP($A111,'Data Vlaue (Cr)'!$C:$FB,95)</f>
        <v>430</v>
      </c>
      <c r="L111" s="91">
        <f>VLOOKUP($A111,'Data Vlaue (Cr)'!$C:$FB,97)</f>
        <v>7</v>
      </c>
      <c r="M111" s="92">
        <f>VLOOKUP($A111,'Data Vlaue (Cr)'!$C:$FB,98)</f>
        <v>1.5599999999999999E-2</v>
      </c>
      <c r="N111" s="91">
        <f>VLOOKUP($A111,'Data Vlaue (Cr)'!$C:$FB,79)</f>
        <v>1434</v>
      </c>
      <c r="O111" s="92">
        <f>VLOOKUP($A111,'Data Vlaue (Cr)'!$C:$FB,82)</f>
        <v>-3.4299999999999997E-2</v>
      </c>
    </row>
    <row r="112" spans="1:15" x14ac:dyDescent="0.25">
      <c r="A112" s="97" t="str">
        <f>'Data Vlaue (Cr)'!C107</f>
        <v>JIOFIN</v>
      </c>
      <c r="B112" s="142">
        <f>VLOOKUP(A112,'Data Vlaue (Cr)'!C107:CW321,99,0)</f>
        <v>8083</v>
      </c>
      <c r="C112" s="90">
        <f>VLOOKUP(A112,'Data Vlaue (Cr)'!C107:CY321,101,0)</f>
        <v>545</v>
      </c>
      <c r="D112" s="139">
        <f>VLOOKUP(A112,'Data Vlaue (Cr)'!C107:CZ321,102,0)</f>
        <v>7.2300000000000003E-2</v>
      </c>
      <c r="E112" s="91">
        <f>VLOOKUP($A112,'Data Vlaue (Cr)'!$C:$FB,75)</f>
        <v>4427</v>
      </c>
      <c r="F112" s="91">
        <f>VLOOKUP($A112,'Data Vlaue (Cr)'!$C:$FB,77)</f>
        <v>100</v>
      </c>
      <c r="G112" s="92">
        <f>VLOOKUP(A112,'Data Vlaue (Cr)'!C107:CB321,78,0)</f>
        <v>2.3099999999999999E-2</v>
      </c>
      <c r="H112" s="91">
        <f>VLOOKUP($A112,'Data Vlaue (Cr)'!$C:$FB,91)</f>
        <v>2305</v>
      </c>
      <c r="I112" s="91">
        <f>VLOOKUP($A112,'Data Vlaue (Cr)'!$C:$FB,93)</f>
        <v>330</v>
      </c>
      <c r="J112" s="92">
        <f>VLOOKUP($A112,'Data Vlaue (Cr)'!$C:$FB,94)</f>
        <v>0.1671</v>
      </c>
      <c r="K112" s="91">
        <f>VLOOKUP($A112,'Data Vlaue (Cr)'!$C:$FB,95)</f>
        <v>1351</v>
      </c>
      <c r="L112" s="91">
        <f>VLOOKUP($A112,'Data Vlaue (Cr)'!$C:$FB,97)</f>
        <v>115</v>
      </c>
      <c r="M112" s="92">
        <f>VLOOKUP($A112,'Data Vlaue (Cr)'!$C:$FB,98)</f>
        <v>9.2899999999999996E-2</v>
      </c>
      <c r="N112" s="91">
        <f>VLOOKUP($A112,'Data Vlaue (Cr)'!$C:$FB,79)</f>
        <v>3857</v>
      </c>
      <c r="O112" s="92">
        <f>VLOOKUP($A112,'Data Vlaue (Cr)'!$C:$FB,82)</f>
        <v>4.4999999999999997E-3</v>
      </c>
    </row>
    <row r="113" spans="1:15" x14ac:dyDescent="0.25">
      <c r="A113" s="97" t="str">
        <f>'Data Vlaue (Cr)'!C108</f>
        <v>JSWENERGY</v>
      </c>
      <c r="B113" s="142">
        <f>VLOOKUP(A113,'Data Vlaue (Cr)'!C108:CW322,99,0)</f>
        <v>2783</v>
      </c>
      <c r="C113" s="90">
        <f>VLOOKUP(A113,'Data Vlaue (Cr)'!C108:CY322,101,0)</f>
        <v>16</v>
      </c>
      <c r="D113" s="139">
        <f>VLOOKUP(A113,'Data Vlaue (Cr)'!C108:CZ322,102,0)</f>
        <v>5.7999999999999996E-3</v>
      </c>
      <c r="E113" s="91">
        <f>VLOOKUP($A113,'Data Vlaue (Cr)'!$C:$FB,75)</f>
        <v>2032</v>
      </c>
      <c r="F113" s="91">
        <f>VLOOKUP($A113,'Data Vlaue (Cr)'!$C:$FB,77)</f>
        <v>-32</v>
      </c>
      <c r="G113" s="92">
        <f>VLOOKUP(A113,'Data Vlaue (Cr)'!C108:CB322,78,0)</f>
        <v>-1.55E-2</v>
      </c>
      <c r="H113" s="91">
        <f>VLOOKUP($A113,'Data Vlaue (Cr)'!$C:$FB,91)</f>
        <v>519</v>
      </c>
      <c r="I113" s="91">
        <f>VLOOKUP($A113,'Data Vlaue (Cr)'!$C:$FB,93)</f>
        <v>39</v>
      </c>
      <c r="J113" s="92">
        <f>VLOOKUP($A113,'Data Vlaue (Cr)'!$C:$FB,94)</f>
        <v>8.0799999999999997E-2</v>
      </c>
      <c r="K113" s="91">
        <f>VLOOKUP($A113,'Data Vlaue (Cr)'!$C:$FB,95)</f>
        <v>231</v>
      </c>
      <c r="L113" s="91">
        <f>VLOOKUP($A113,'Data Vlaue (Cr)'!$C:$FB,97)</f>
        <v>9</v>
      </c>
      <c r="M113" s="92">
        <f>VLOOKUP($A113,'Data Vlaue (Cr)'!$C:$FB,98)</f>
        <v>4.1399999999999999E-2</v>
      </c>
      <c r="N113" s="91">
        <f>VLOOKUP($A113,'Data Vlaue (Cr)'!$C:$FB,79)</f>
        <v>1997</v>
      </c>
      <c r="O113" s="92">
        <f>VLOOKUP($A113,'Data Vlaue (Cr)'!$C:$FB,82)</f>
        <v>-1.83E-2</v>
      </c>
    </row>
    <row r="114" spans="1:15" x14ac:dyDescent="0.25">
      <c r="A114" s="97" t="str">
        <f>'Data Vlaue (Cr)'!C109</f>
        <v>JSWSTEEL</v>
      </c>
      <c r="B114" s="142">
        <f>VLOOKUP(A114,'Data Vlaue (Cr)'!C109:CW323,99,0)</f>
        <v>6526</v>
      </c>
      <c r="C114" s="90">
        <f>VLOOKUP(A114,'Data Vlaue (Cr)'!C109:CY323,101,0)</f>
        <v>29</v>
      </c>
      <c r="D114" s="139">
        <f>VLOOKUP(A114,'Data Vlaue (Cr)'!C109:CZ323,102,0)</f>
        <v>4.4999999999999997E-3</v>
      </c>
      <c r="E114" s="91">
        <f>VLOOKUP($A114,'Data Vlaue (Cr)'!$C:$FB,75)</f>
        <v>5294</v>
      </c>
      <c r="F114" s="91">
        <f>VLOOKUP($A114,'Data Vlaue (Cr)'!$C:$FB,77)</f>
        <v>1</v>
      </c>
      <c r="G114" s="92">
        <f>VLOOKUP(A114,'Data Vlaue (Cr)'!C109:CB323,78,0)</f>
        <v>1E-4</v>
      </c>
      <c r="H114" s="91">
        <f>VLOOKUP($A114,'Data Vlaue (Cr)'!$C:$FB,91)</f>
        <v>730</v>
      </c>
      <c r="I114" s="91">
        <f>VLOOKUP($A114,'Data Vlaue (Cr)'!$C:$FB,93)</f>
        <v>0</v>
      </c>
      <c r="J114" s="92">
        <f>VLOOKUP($A114,'Data Vlaue (Cr)'!$C:$FB,94)</f>
        <v>2.9999999999999997E-4</v>
      </c>
      <c r="K114" s="91">
        <f>VLOOKUP($A114,'Data Vlaue (Cr)'!$C:$FB,95)</f>
        <v>502</v>
      </c>
      <c r="L114" s="91">
        <f>VLOOKUP($A114,'Data Vlaue (Cr)'!$C:$FB,97)</f>
        <v>28</v>
      </c>
      <c r="M114" s="92">
        <f>VLOOKUP($A114,'Data Vlaue (Cr)'!$C:$FB,98)</f>
        <v>5.9700000000000003E-2</v>
      </c>
      <c r="N114" s="91">
        <f>VLOOKUP($A114,'Data Vlaue (Cr)'!$C:$FB,79)</f>
        <v>5222</v>
      </c>
      <c r="O114" s="92">
        <f>VLOOKUP($A114,'Data Vlaue (Cr)'!$C:$FB,82)</f>
        <v>-5.9999999999999995E-4</v>
      </c>
    </row>
    <row r="115" spans="1:15" x14ac:dyDescent="0.25">
      <c r="A115" s="97" t="str">
        <f>'Data Vlaue (Cr)'!C110</f>
        <v>JUBLFOOD</v>
      </c>
      <c r="B115" s="142">
        <f>VLOOKUP(A115,'Data Vlaue (Cr)'!C110:CW324,99,0)</f>
        <v>2324</v>
      </c>
      <c r="C115" s="90">
        <f>VLOOKUP(A115,'Data Vlaue (Cr)'!C110:CY324,101,0)</f>
        <v>-111</v>
      </c>
      <c r="D115" s="139">
        <f>VLOOKUP(A115,'Data Vlaue (Cr)'!C110:CZ324,102,0)</f>
        <v>-4.5600000000000002E-2</v>
      </c>
      <c r="E115" s="91">
        <f>VLOOKUP($A115,'Data Vlaue (Cr)'!$C:$FB,75)</f>
        <v>1329</v>
      </c>
      <c r="F115" s="91">
        <f>VLOOKUP($A115,'Data Vlaue (Cr)'!$C:$FB,77)</f>
        <v>-14</v>
      </c>
      <c r="G115" s="92">
        <f>VLOOKUP(A115,'Data Vlaue (Cr)'!C110:CB324,78,0)</f>
        <v>-1.0200000000000001E-2</v>
      </c>
      <c r="H115" s="91">
        <f>VLOOKUP($A115,'Data Vlaue (Cr)'!$C:$FB,91)</f>
        <v>695</v>
      </c>
      <c r="I115" s="91">
        <f>VLOOKUP($A115,'Data Vlaue (Cr)'!$C:$FB,93)</f>
        <v>-74</v>
      </c>
      <c r="J115" s="92">
        <f>VLOOKUP($A115,'Data Vlaue (Cr)'!$C:$FB,94)</f>
        <v>-9.6100000000000005E-2</v>
      </c>
      <c r="K115" s="91">
        <f>VLOOKUP($A115,'Data Vlaue (Cr)'!$C:$FB,95)</f>
        <v>299</v>
      </c>
      <c r="L115" s="91">
        <f>VLOOKUP($A115,'Data Vlaue (Cr)'!$C:$FB,97)</f>
        <v>-23</v>
      </c>
      <c r="M115" s="92">
        <f>VLOOKUP($A115,'Data Vlaue (Cr)'!$C:$FB,98)</f>
        <v>-7.2599999999999998E-2</v>
      </c>
      <c r="N115" s="91">
        <f>VLOOKUP($A115,'Data Vlaue (Cr)'!$C:$FB,79)</f>
        <v>1260</v>
      </c>
      <c r="O115" s="92">
        <f>VLOOKUP($A115,'Data Vlaue (Cr)'!$C:$FB,82)</f>
        <v>-1.4800000000000001E-2</v>
      </c>
    </row>
    <row r="116" spans="1:15" x14ac:dyDescent="0.25">
      <c r="A116" s="97" t="str">
        <f>'Data Vlaue (Cr)'!C111</f>
        <v>KALYANKJIL</v>
      </c>
      <c r="B116" s="142">
        <f>VLOOKUP(A116,'Data Vlaue (Cr)'!C111:CW325,99,0)</f>
        <v>2683</v>
      </c>
      <c r="C116" s="90">
        <f>VLOOKUP(A116,'Data Vlaue (Cr)'!C111:CY325,101,0)</f>
        <v>-81</v>
      </c>
      <c r="D116" s="139">
        <f>VLOOKUP(A116,'Data Vlaue (Cr)'!C111:CZ325,102,0)</f>
        <v>-2.9399999999999999E-2</v>
      </c>
      <c r="E116" s="91">
        <f>VLOOKUP($A116,'Data Vlaue (Cr)'!$C:$FB,75)</f>
        <v>1490</v>
      </c>
      <c r="F116" s="91">
        <f>VLOOKUP($A116,'Data Vlaue (Cr)'!$C:$FB,77)</f>
        <v>-44</v>
      </c>
      <c r="G116" s="92">
        <f>VLOOKUP(A116,'Data Vlaue (Cr)'!C111:CB325,78,0)</f>
        <v>-2.87E-2</v>
      </c>
      <c r="H116" s="91">
        <f>VLOOKUP($A116,'Data Vlaue (Cr)'!$C:$FB,91)</f>
        <v>801</v>
      </c>
      <c r="I116" s="91">
        <f>VLOOKUP($A116,'Data Vlaue (Cr)'!$C:$FB,93)</f>
        <v>-26</v>
      </c>
      <c r="J116" s="92">
        <f>VLOOKUP($A116,'Data Vlaue (Cr)'!$C:$FB,94)</f>
        <v>-3.1899999999999998E-2</v>
      </c>
      <c r="K116" s="91">
        <f>VLOOKUP($A116,'Data Vlaue (Cr)'!$C:$FB,95)</f>
        <v>392</v>
      </c>
      <c r="L116" s="91">
        <f>VLOOKUP($A116,'Data Vlaue (Cr)'!$C:$FB,97)</f>
        <v>-11</v>
      </c>
      <c r="M116" s="92">
        <f>VLOOKUP($A116,'Data Vlaue (Cr)'!$C:$FB,98)</f>
        <v>-2.6800000000000001E-2</v>
      </c>
      <c r="N116" s="91">
        <f>VLOOKUP($A116,'Data Vlaue (Cr)'!$C:$FB,79)</f>
        <v>1420</v>
      </c>
      <c r="O116" s="92">
        <f>VLOOKUP($A116,'Data Vlaue (Cr)'!$C:$FB,82)</f>
        <v>-3.1800000000000002E-2</v>
      </c>
    </row>
    <row r="117" spans="1:15" x14ac:dyDescent="0.25">
      <c r="A117" s="97" t="str">
        <f>'Data Vlaue (Cr)'!C112</f>
        <v>KAYNES</v>
      </c>
      <c r="B117" s="142">
        <f>VLOOKUP(A117,'Data Vlaue (Cr)'!C112:CW326,99,0)</f>
        <v>3363</v>
      </c>
      <c r="C117" s="90">
        <f>VLOOKUP(A117,'Data Vlaue (Cr)'!C112:CY326,101,0)</f>
        <v>131</v>
      </c>
      <c r="D117" s="139">
        <f>VLOOKUP(A117,'Data Vlaue (Cr)'!C112:CZ326,102,0)</f>
        <v>4.0399999999999998E-2</v>
      </c>
      <c r="E117" s="91">
        <f>VLOOKUP($A117,'Data Vlaue (Cr)'!$C:$FB,75)</f>
        <v>1051</v>
      </c>
      <c r="F117" s="91">
        <f>VLOOKUP($A117,'Data Vlaue (Cr)'!$C:$FB,77)</f>
        <v>46</v>
      </c>
      <c r="G117" s="92">
        <f>VLOOKUP(A117,'Data Vlaue (Cr)'!C112:CB326,78,0)</f>
        <v>4.5499999999999999E-2</v>
      </c>
      <c r="H117" s="91">
        <f>VLOOKUP($A117,'Data Vlaue (Cr)'!$C:$FB,91)</f>
        <v>1624</v>
      </c>
      <c r="I117" s="91">
        <f>VLOOKUP($A117,'Data Vlaue (Cr)'!$C:$FB,93)</f>
        <v>75</v>
      </c>
      <c r="J117" s="92">
        <f>VLOOKUP($A117,'Data Vlaue (Cr)'!$C:$FB,94)</f>
        <v>4.8500000000000001E-2</v>
      </c>
      <c r="K117" s="91">
        <f>VLOOKUP($A117,'Data Vlaue (Cr)'!$C:$FB,95)</f>
        <v>688</v>
      </c>
      <c r="L117" s="91">
        <f>VLOOKUP($A117,'Data Vlaue (Cr)'!$C:$FB,97)</f>
        <v>10</v>
      </c>
      <c r="M117" s="92">
        <f>VLOOKUP($A117,'Data Vlaue (Cr)'!$C:$FB,98)</f>
        <v>1.4200000000000001E-2</v>
      </c>
      <c r="N117" s="91">
        <f>VLOOKUP($A117,'Data Vlaue (Cr)'!$C:$FB,79)</f>
        <v>964</v>
      </c>
      <c r="O117" s="92">
        <f>VLOOKUP($A117,'Data Vlaue (Cr)'!$C:$FB,82)</f>
        <v>2.7099999999999999E-2</v>
      </c>
    </row>
    <row r="118" spans="1:15" x14ac:dyDescent="0.25">
      <c r="A118" s="97" t="str">
        <f>'Data Vlaue (Cr)'!C113</f>
        <v>KEI</v>
      </c>
      <c r="B118" s="142">
        <f>VLOOKUP(A118,'Data Vlaue (Cr)'!C113:CW327,99,0)</f>
        <v>1776</v>
      </c>
      <c r="C118" s="90">
        <f>VLOOKUP(A118,'Data Vlaue (Cr)'!C113:CY327,101,0)</f>
        <v>671</v>
      </c>
      <c r="D118" s="139">
        <f>VLOOKUP(A118,'Data Vlaue (Cr)'!C113:CZ327,102,0)</f>
        <v>0.60660000000000003</v>
      </c>
      <c r="E118" s="91">
        <f>VLOOKUP($A118,'Data Vlaue (Cr)'!$C:$FB,75)</f>
        <v>656</v>
      </c>
      <c r="F118" s="91">
        <f>VLOOKUP($A118,'Data Vlaue (Cr)'!$C:$FB,77)</f>
        <v>72</v>
      </c>
      <c r="G118" s="92">
        <f>VLOOKUP(A118,'Data Vlaue (Cr)'!C113:CB327,78,0)</f>
        <v>0.1242</v>
      </c>
      <c r="H118" s="91">
        <f>VLOOKUP($A118,'Data Vlaue (Cr)'!$C:$FB,91)</f>
        <v>812</v>
      </c>
      <c r="I118" s="91">
        <f>VLOOKUP($A118,'Data Vlaue (Cr)'!$C:$FB,93)</f>
        <v>499</v>
      </c>
      <c r="J118" s="92">
        <f>VLOOKUP($A118,'Data Vlaue (Cr)'!$C:$FB,94)</f>
        <v>1.5899000000000001</v>
      </c>
      <c r="K118" s="91">
        <f>VLOOKUP($A118,'Data Vlaue (Cr)'!$C:$FB,95)</f>
        <v>308</v>
      </c>
      <c r="L118" s="91">
        <f>VLOOKUP($A118,'Data Vlaue (Cr)'!$C:$FB,97)</f>
        <v>100</v>
      </c>
      <c r="M118" s="92">
        <f>VLOOKUP($A118,'Data Vlaue (Cr)'!$C:$FB,98)</f>
        <v>0.47689999999999999</v>
      </c>
      <c r="N118" s="91">
        <f>VLOOKUP($A118,'Data Vlaue (Cr)'!$C:$FB,79)</f>
        <v>590</v>
      </c>
      <c r="O118" s="92">
        <f>VLOOKUP($A118,'Data Vlaue (Cr)'!$C:$FB,82)</f>
        <v>2.8400000000000002E-2</v>
      </c>
    </row>
    <row r="119" spans="1:15" x14ac:dyDescent="0.25">
      <c r="A119" s="97" t="str">
        <f>'Data Vlaue (Cr)'!C114</f>
        <v>KFINTECH</v>
      </c>
      <c r="B119" s="142">
        <f>VLOOKUP(A119,'Data Vlaue (Cr)'!C114:CW328,99,0)</f>
        <v>602</v>
      </c>
      <c r="C119" s="90">
        <f>VLOOKUP(A119,'Data Vlaue (Cr)'!C114:CY328,101,0)</f>
        <v>4</v>
      </c>
      <c r="D119" s="139">
        <f>VLOOKUP(A119,'Data Vlaue (Cr)'!C114:CZ328,102,0)</f>
        <v>7.4999999999999997E-3</v>
      </c>
      <c r="E119" s="91">
        <f>VLOOKUP($A119,'Data Vlaue (Cr)'!$C:$FB,75)</f>
        <v>268</v>
      </c>
      <c r="F119" s="91">
        <f>VLOOKUP($A119,'Data Vlaue (Cr)'!$C:$FB,77)</f>
        <v>2</v>
      </c>
      <c r="G119" s="92">
        <f>VLOOKUP(A119,'Data Vlaue (Cr)'!C114:CB328,78,0)</f>
        <v>8.6E-3</v>
      </c>
      <c r="H119" s="91">
        <f>VLOOKUP($A119,'Data Vlaue (Cr)'!$C:$FB,91)</f>
        <v>214</v>
      </c>
      <c r="I119" s="91">
        <f>VLOOKUP($A119,'Data Vlaue (Cr)'!$C:$FB,93)</f>
        <v>-1</v>
      </c>
      <c r="J119" s="92">
        <f>VLOOKUP($A119,'Data Vlaue (Cr)'!$C:$FB,94)</f>
        <v>-4.0000000000000001E-3</v>
      </c>
      <c r="K119" s="91">
        <f>VLOOKUP($A119,'Data Vlaue (Cr)'!$C:$FB,95)</f>
        <v>119</v>
      </c>
      <c r="L119" s="91">
        <f>VLOOKUP($A119,'Data Vlaue (Cr)'!$C:$FB,97)</f>
        <v>3</v>
      </c>
      <c r="M119" s="92">
        <f>VLOOKUP($A119,'Data Vlaue (Cr)'!$C:$FB,98)</f>
        <v>2.6200000000000001E-2</v>
      </c>
      <c r="N119" s="91">
        <f>VLOOKUP($A119,'Data Vlaue (Cr)'!$C:$FB,79)</f>
        <v>243</v>
      </c>
      <c r="O119" s="92">
        <f>VLOOKUP($A119,'Data Vlaue (Cr)'!$C:$FB,82)</f>
        <v>5.1999999999999998E-3</v>
      </c>
    </row>
    <row r="120" spans="1:15" x14ac:dyDescent="0.25">
      <c r="A120" s="97" t="str">
        <f>'Data Vlaue (Cr)'!C115</f>
        <v>KOTAKBANK</v>
      </c>
      <c r="B120" s="142">
        <f>VLOOKUP(A120,'Data Vlaue (Cr)'!C115:CW329,99,0)</f>
        <v>11483</v>
      </c>
      <c r="C120" s="90">
        <f>VLOOKUP(A120,'Data Vlaue (Cr)'!C115:CY329,101,0)</f>
        <v>302</v>
      </c>
      <c r="D120" s="139">
        <f>VLOOKUP(A120,'Data Vlaue (Cr)'!C115:CZ329,102,0)</f>
        <v>2.7E-2</v>
      </c>
      <c r="E120" s="91">
        <f>VLOOKUP($A120,'Data Vlaue (Cr)'!$C:$FB,75)</f>
        <v>7460</v>
      </c>
      <c r="F120" s="91">
        <f>VLOOKUP($A120,'Data Vlaue (Cr)'!$C:$FB,77)</f>
        <v>88</v>
      </c>
      <c r="G120" s="92">
        <f>VLOOKUP(A120,'Data Vlaue (Cr)'!C115:CB329,78,0)</f>
        <v>1.1900000000000001E-2</v>
      </c>
      <c r="H120" s="91">
        <f>VLOOKUP($A120,'Data Vlaue (Cr)'!$C:$FB,91)</f>
        <v>1926</v>
      </c>
      <c r="I120" s="91">
        <f>VLOOKUP($A120,'Data Vlaue (Cr)'!$C:$FB,93)</f>
        <v>34</v>
      </c>
      <c r="J120" s="92">
        <f>VLOOKUP($A120,'Data Vlaue (Cr)'!$C:$FB,94)</f>
        <v>1.8200000000000001E-2</v>
      </c>
      <c r="K120" s="91">
        <f>VLOOKUP($A120,'Data Vlaue (Cr)'!$C:$FB,95)</f>
        <v>2097</v>
      </c>
      <c r="L120" s="91">
        <f>VLOOKUP($A120,'Data Vlaue (Cr)'!$C:$FB,97)</f>
        <v>179</v>
      </c>
      <c r="M120" s="92">
        <f>VLOOKUP($A120,'Data Vlaue (Cr)'!$C:$FB,98)</f>
        <v>9.3600000000000003E-2</v>
      </c>
      <c r="N120" s="91">
        <f>VLOOKUP($A120,'Data Vlaue (Cr)'!$C:$FB,79)</f>
        <v>7015</v>
      </c>
      <c r="O120" s="92">
        <f>VLOOKUP($A120,'Data Vlaue (Cr)'!$C:$FB,82)</f>
        <v>2E-3</v>
      </c>
    </row>
    <row r="121" spans="1:15" x14ac:dyDescent="0.25">
      <c r="A121" s="97" t="str">
        <f>'Data Vlaue (Cr)'!C116</f>
        <v>KPITTECH</v>
      </c>
      <c r="B121" s="142">
        <f>VLOOKUP(A121,'Data Vlaue (Cr)'!C116:CW330,99,0)</f>
        <v>1225</v>
      </c>
      <c r="C121" s="90">
        <f>VLOOKUP(A121,'Data Vlaue (Cr)'!C116:CY330,101,0)</f>
        <v>-38</v>
      </c>
      <c r="D121" s="139">
        <f>VLOOKUP(A121,'Data Vlaue (Cr)'!C116:CZ330,102,0)</f>
        <v>-2.9899999999999999E-2</v>
      </c>
      <c r="E121" s="91">
        <f>VLOOKUP($A121,'Data Vlaue (Cr)'!$C:$FB,75)</f>
        <v>566</v>
      </c>
      <c r="F121" s="91">
        <f>VLOOKUP($A121,'Data Vlaue (Cr)'!$C:$FB,77)</f>
        <v>-33</v>
      </c>
      <c r="G121" s="92">
        <f>VLOOKUP(A121,'Data Vlaue (Cr)'!C116:CB330,78,0)</f>
        <v>-5.5800000000000002E-2</v>
      </c>
      <c r="H121" s="91">
        <f>VLOOKUP($A121,'Data Vlaue (Cr)'!$C:$FB,91)</f>
        <v>390</v>
      </c>
      <c r="I121" s="91">
        <f>VLOOKUP($A121,'Data Vlaue (Cr)'!$C:$FB,93)</f>
        <v>-7</v>
      </c>
      <c r="J121" s="92">
        <f>VLOOKUP($A121,'Data Vlaue (Cr)'!$C:$FB,94)</f>
        <v>-1.7500000000000002E-2</v>
      </c>
      <c r="K121" s="91">
        <f>VLOOKUP($A121,'Data Vlaue (Cr)'!$C:$FB,95)</f>
        <v>269</v>
      </c>
      <c r="L121" s="91">
        <f>VLOOKUP($A121,'Data Vlaue (Cr)'!$C:$FB,97)</f>
        <v>3</v>
      </c>
      <c r="M121" s="92">
        <f>VLOOKUP($A121,'Data Vlaue (Cr)'!$C:$FB,98)</f>
        <v>0.01</v>
      </c>
      <c r="N121" s="91">
        <f>VLOOKUP($A121,'Data Vlaue (Cr)'!$C:$FB,79)</f>
        <v>499</v>
      </c>
      <c r="O121" s="92">
        <f>VLOOKUP($A121,'Data Vlaue (Cr)'!$C:$FB,82)</f>
        <v>-7.5999999999999998E-2</v>
      </c>
    </row>
    <row r="122" spans="1:15" x14ac:dyDescent="0.25">
      <c r="A122" s="97" t="str">
        <f>'Data Vlaue (Cr)'!C117</f>
        <v>LAURUSLABS</v>
      </c>
      <c r="B122" s="142">
        <f>VLOOKUP(A122,'Data Vlaue (Cr)'!C117:CW331,99,0)</f>
        <v>4273</v>
      </c>
      <c r="C122" s="90">
        <f>VLOOKUP(A122,'Data Vlaue (Cr)'!C117:CY331,101,0)</f>
        <v>120</v>
      </c>
      <c r="D122" s="139">
        <f>VLOOKUP(A122,'Data Vlaue (Cr)'!C117:CZ331,102,0)</f>
        <v>2.8799999999999999E-2</v>
      </c>
      <c r="E122" s="91">
        <f>VLOOKUP($A122,'Data Vlaue (Cr)'!$C:$FB,75)</f>
        <v>2167</v>
      </c>
      <c r="F122" s="91">
        <f>VLOOKUP($A122,'Data Vlaue (Cr)'!$C:$FB,77)</f>
        <v>72</v>
      </c>
      <c r="G122" s="92">
        <f>VLOOKUP(A122,'Data Vlaue (Cr)'!C117:CB331,78,0)</f>
        <v>3.44E-2</v>
      </c>
      <c r="H122" s="91">
        <f>VLOOKUP($A122,'Data Vlaue (Cr)'!$C:$FB,91)</f>
        <v>1369</v>
      </c>
      <c r="I122" s="91">
        <f>VLOOKUP($A122,'Data Vlaue (Cr)'!$C:$FB,93)</f>
        <v>37</v>
      </c>
      <c r="J122" s="92">
        <f>VLOOKUP($A122,'Data Vlaue (Cr)'!$C:$FB,94)</f>
        <v>2.7400000000000001E-2</v>
      </c>
      <c r="K122" s="91">
        <f>VLOOKUP($A122,'Data Vlaue (Cr)'!$C:$FB,95)</f>
        <v>737</v>
      </c>
      <c r="L122" s="91">
        <f>VLOOKUP($A122,'Data Vlaue (Cr)'!$C:$FB,97)</f>
        <v>11</v>
      </c>
      <c r="M122" s="92">
        <f>VLOOKUP($A122,'Data Vlaue (Cr)'!$C:$FB,98)</f>
        <v>1.54E-2</v>
      </c>
      <c r="N122" s="91">
        <f>VLOOKUP($A122,'Data Vlaue (Cr)'!$C:$FB,79)</f>
        <v>1970</v>
      </c>
      <c r="O122" s="92">
        <f>VLOOKUP($A122,'Data Vlaue (Cr)'!$C:$FB,82)</f>
        <v>2.6499999999999999E-2</v>
      </c>
    </row>
    <row r="123" spans="1:15" x14ac:dyDescent="0.25">
      <c r="A123" s="97" t="str">
        <f>'Data Vlaue (Cr)'!C118</f>
        <v>LICHSGFIN</v>
      </c>
      <c r="B123" s="142">
        <f>VLOOKUP(A123,'Data Vlaue (Cr)'!C118:CW332,99,0)</f>
        <v>2794</v>
      </c>
      <c r="C123" s="90">
        <f>VLOOKUP(A123,'Data Vlaue (Cr)'!C118:CY332,101,0)</f>
        <v>44</v>
      </c>
      <c r="D123" s="139">
        <f>VLOOKUP(A123,'Data Vlaue (Cr)'!C118:CZ332,102,0)</f>
        <v>1.61E-2</v>
      </c>
      <c r="E123" s="91">
        <f>VLOOKUP($A123,'Data Vlaue (Cr)'!$C:$FB,75)</f>
        <v>1835</v>
      </c>
      <c r="F123" s="91">
        <f>VLOOKUP($A123,'Data Vlaue (Cr)'!$C:$FB,77)</f>
        <v>25</v>
      </c>
      <c r="G123" s="92">
        <f>VLOOKUP(A123,'Data Vlaue (Cr)'!C118:CB332,78,0)</f>
        <v>1.37E-2</v>
      </c>
      <c r="H123" s="91">
        <f>VLOOKUP($A123,'Data Vlaue (Cr)'!$C:$FB,91)</f>
        <v>560</v>
      </c>
      <c r="I123" s="91">
        <f>VLOOKUP($A123,'Data Vlaue (Cr)'!$C:$FB,93)</f>
        <v>19</v>
      </c>
      <c r="J123" s="92">
        <f>VLOOKUP($A123,'Data Vlaue (Cr)'!$C:$FB,94)</f>
        <v>3.5499999999999997E-2</v>
      </c>
      <c r="K123" s="91">
        <f>VLOOKUP($A123,'Data Vlaue (Cr)'!$C:$FB,95)</f>
        <v>398</v>
      </c>
      <c r="L123" s="91">
        <f>VLOOKUP($A123,'Data Vlaue (Cr)'!$C:$FB,97)</f>
        <v>0</v>
      </c>
      <c r="M123" s="92">
        <f>VLOOKUP($A123,'Data Vlaue (Cr)'!$C:$FB,98)</f>
        <v>5.9999999999999995E-4</v>
      </c>
      <c r="N123" s="91">
        <f>VLOOKUP($A123,'Data Vlaue (Cr)'!$C:$FB,79)</f>
        <v>1722</v>
      </c>
      <c r="O123" s="92">
        <f>VLOOKUP($A123,'Data Vlaue (Cr)'!$C:$FB,82)</f>
        <v>2.0999999999999999E-3</v>
      </c>
    </row>
    <row r="124" spans="1:15" x14ac:dyDescent="0.25">
      <c r="A124" s="97" t="str">
        <f>'Data Vlaue (Cr)'!C119</f>
        <v>LICI</v>
      </c>
      <c r="B124" s="142">
        <f>VLOOKUP(A124,'Data Vlaue (Cr)'!C119:CW333,99,0)</f>
        <v>1420</v>
      </c>
      <c r="C124" s="90">
        <f>VLOOKUP(A124,'Data Vlaue (Cr)'!C119:CY333,101,0)</f>
        <v>46</v>
      </c>
      <c r="D124" s="139">
        <f>VLOOKUP(A124,'Data Vlaue (Cr)'!C119:CZ333,102,0)</f>
        <v>3.3599999999999998E-2</v>
      </c>
      <c r="E124" s="91">
        <f>VLOOKUP($A124,'Data Vlaue (Cr)'!$C:$FB,75)</f>
        <v>748</v>
      </c>
      <c r="F124" s="91">
        <f>VLOOKUP($A124,'Data Vlaue (Cr)'!$C:$FB,77)</f>
        <v>19</v>
      </c>
      <c r="G124" s="92">
        <f>VLOOKUP(A124,'Data Vlaue (Cr)'!C119:CB333,78,0)</f>
        <v>2.5499999999999998E-2</v>
      </c>
      <c r="H124" s="91">
        <f>VLOOKUP($A124,'Data Vlaue (Cr)'!$C:$FB,91)</f>
        <v>466</v>
      </c>
      <c r="I124" s="91">
        <f>VLOOKUP($A124,'Data Vlaue (Cr)'!$C:$FB,93)</f>
        <v>14</v>
      </c>
      <c r="J124" s="92">
        <f>VLOOKUP($A124,'Data Vlaue (Cr)'!$C:$FB,94)</f>
        <v>3.1800000000000002E-2</v>
      </c>
      <c r="K124" s="91">
        <f>VLOOKUP($A124,'Data Vlaue (Cr)'!$C:$FB,95)</f>
        <v>206</v>
      </c>
      <c r="L124" s="91">
        <f>VLOOKUP($A124,'Data Vlaue (Cr)'!$C:$FB,97)</f>
        <v>13</v>
      </c>
      <c r="M124" s="92">
        <f>VLOOKUP($A124,'Data Vlaue (Cr)'!$C:$FB,98)</f>
        <v>6.8699999999999997E-2</v>
      </c>
      <c r="N124" s="91">
        <f>VLOOKUP($A124,'Data Vlaue (Cr)'!$C:$FB,79)</f>
        <v>671</v>
      </c>
      <c r="O124" s="92">
        <f>VLOOKUP($A124,'Data Vlaue (Cr)'!$C:$FB,82)</f>
        <v>3.8999999999999998E-3</v>
      </c>
    </row>
    <row r="125" spans="1:15" x14ac:dyDescent="0.25">
      <c r="A125" s="97" t="str">
        <f>'Data Vlaue (Cr)'!C120</f>
        <v>LODHA</v>
      </c>
      <c r="B125" s="142">
        <f>VLOOKUP(A125,'Data Vlaue (Cr)'!C120:CW334,99,0)</f>
        <v>2000</v>
      </c>
      <c r="C125" s="90">
        <f>VLOOKUP(A125,'Data Vlaue (Cr)'!C120:CY334,101,0)</f>
        <v>-176</v>
      </c>
      <c r="D125" s="139">
        <f>VLOOKUP(A125,'Data Vlaue (Cr)'!C120:CZ334,102,0)</f>
        <v>-8.0699999999999994E-2</v>
      </c>
      <c r="E125" s="91">
        <f>VLOOKUP($A125,'Data Vlaue (Cr)'!$C:$FB,75)</f>
        <v>1392</v>
      </c>
      <c r="F125" s="91">
        <f>VLOOKUP($A125,'Data Vlaue (Cr)'!$C:$FB,77)</f>
        <v>-82</v>
      </c>
      <c r="G125" s="92">
        <f>VLOOKUP(A125,'Data Vlaue (Cr)'!C120:CB334,78,0)</f>
        <v>-5.5800000000000002E-2</v>
      </c>
      <c r="H125" s="91">
        <f>VLOOKUP($A125,'Data Vlaue (Cr)'!$C:$FB,91)</f>
        <v>364</v>
      </c>
      <c r="I125" s="91">
        <f>VLOOKUP($A125,'Data Vlaue (Cr)'!$C:$FB,93)</f>
        <v>-76</v>
      </c>
      <c r="J125" s="92">
        <f>VLOOKUP($A125,'Data Vlaue (Cr)'!$C:$FB,94)</f>
        <v>-0.1736</v>
      </c>
      <c r="K125" s="91">
        <f>VLOOKUP($A125,'Data Vlaue (Cr)'!$C:$FB,95)</f>
        <v>244</v>
      </c>
      <c r="L125" s="91">
        <f>VLOOKUP($A125,'Data Vlaue (Cr)'!$C:$FB,97)</f>
        <v>-17</v>
      </c>
      <c r="M125" s="92">
        <f>VLOOKUP($A125,'Data Vlaue (Cr)'!$C:$FB,98)</f>
        <v>-6.4799999999999996E-2</v>
      </c>
      <c r="N125" s="91">
        <f>VLOOKUP($A125,'Data Vlaue (Cr)'!$C:$FB,79)</f>
        <v>1335</v>
      </c>
      <c r="O125" s="92">
        <f>VLOOKUP($A125,'Data Vlaue (Cr)'!$C:$FB,82)</f>
        <v>-6.0999999999999999E-2</v>
      </c>
    </row>
    <row r="126" spans="1:15" x14ac:dyDescent="0.25">
      <c r="A126" s="97" t="str">
        <f>'Data Vlaue (Cr)'!C121</f>
        <v>LT</v>
      </c>
      <c r="B126" s="142">
        <f>VLOOKUP(A126,'Data Vlaue (Cr)'!C121:CW335,99,0)</f>
        <v>11009</v>
      </c>
      <c r="C126" s="90">
        <f>VLOOKUP(A126,'Data Vlaue (Cr)'!C121:CY335,101,0)</f>
        <v>222</v>
      </c>
      <c r="D126" s="139">
        <f>VLOOKUP(A126,'Data Vlaue (Cr)'!C121:CZ335,102,0)</f>
        <v>2.06E-2</v>
      </c>
      <c r="E126" s="91">
        <f>VLOOKUP($A126,'Data Vlaue (Cr)'!$C:$FB,75)</f>
        <v>6108</v>
      </c>
      <c r="F126" s="91">
        <f>VLOOKUP($A126,'Data Vlaue (Cr)'!$C:$FB,77)</f>
        <v>23</v>
      </c>
      <c r="G126" s="92">
        <f>VLOOKUP(A126,'Data Vlaue (Cr)'!C121:CB335,78,0)</f>
        <v>3.7000000000000002E-3</v>
      </c>
      <c r="H126" s="91">
        <f>VLOOKUP($A126,'Data Vlaue (Cr)'!$C:$FB,91)</f>
        <v>3020</v>
      </c>
      <c r="I126" s="91">
        <f>VLOOKUP($A126,'Data Vlaue (Cr)'!$C:$FB,93)</f>
        <v>-17</v>
      </c>
      <c r="J126" s="92">
        <f>VLOOKUP($A126,'Data Vlaue (Cr)'!$C:$FB,94)</f>
        <v>-5.7000000000000002E-3</v>
      </c>
      <c r="K126" s="91">
        <f>VLOOKUP($A126,'Data Vlaue (Cr)'!$C:$FB,95)</f>
        <v>1881</v>
      </c>
      <c r="L126" s="91">
        <f>VLOOKUP($A126,'Data Vlaue (Cr)'!$C:$FB,97)</f>
        <v>217</v>
      </c>
      <c r="M126" s="92">
        <f>VLOOKUP($A126,'Data Vlaue (Cr)'!$C:$FB,98)</f>
        <v>0.13039999999999999</v>
      </c>
      <c r="N126" s="91">
        <f>VLOOKUP($A126,'Data Vlaue (Cr)'!$C:$FB,79)</f>
        <v>5786</v>
      </c>
      <c r="O126" s="92">
        <f>VLOOKUP($A126,'Data Vlaue (Cr)'!$C:$FB,82)</f>
        <v>-2.5999999999999999E-3</v>
      </c>
    </row>
    <row r="127" spans="1:15" x14ac:dyDescent="0.25">
      <c r="A127" s="97" t="str">
        <f>'Data Vlaue (Cr)'!C122</f>
        <v>LTF</v>
      </c>
      <c r="B127" s="142">
        <f>VLOOKUP(A127,'Data Vlaue (Cr)'!C122:CW336,99,0)</f>
        <v>3269</v>
      </c>
      <c r="C127" s="90">
        <f>VLOOKUP(A127,'Data Vlaue (Cr)'!C122:CY336,101,0)</f>
        <v>90</v>
      </c>
      <c r="D127" s="139">
        <f>VLOOKUP(A127,'Data Vlaue (Cr)'!C122:CZ336,102,0)</f>
        <v>2.8299999999999999E-2</v>
      </c>
      <c r="E127" s="91">
        <f>VLOOKUP($A127,'Data Vlaue (Cr)'!$C:$FB,75)</f>
        <v>1340</v>
      </c>
      <c r="F127" s="91">
        <f>VLOOKUP($A127,'Data Vlaue (Cr)'!$C:$FB,77)</f>
        <v>-17</v>
      </c>
      <c r="G127" s="92">
        <f>VLOOKUP(A127,'Data Vlaue (Cr)'!C122:CB336,78,0)</f>
        <v>-1.2699999999999999E-2</v>
      </c>
      <c r="H127" s="91">
        <f>VLOOKUP($A127,'Data Vlaue (Cr)'!$C:$FB,91)</f>
        <v>971</v>
      </c>
      <c r="I127" s="91">
        <f>VLOOKUP($A127,'Data Vlaue (Cr)'!$C:$FB,93)</f>
        <v>57</v>
      </c>
      <c r="J127" s="92">
        <f>VLOOKUP($A127,'Data Vlaue (Cr)'!$C:$FB,94)</f>
        <v>6.2E-2</v>
      </c>
      <c r="K127" s="91">
        <f>VLOOKUP($A127,'Data Vlaue (Cr)'!$C:$FB,95)</f>
        <v>958</v>
      </c>
      <c r="L127" s="91">
        <f>VLOOKUP($A127,'Data Vlaue (Cr)'!$C:$FB,97)</f>
        <v>51</v>
      </c>
      <c r="M127" s="92">
        <f>VLOOKUP($A127,'Data Vlaue (Cr)'!$C:$FB,98)</f>
        <v>5.5800000000000002E-2</v>
      </c>
      <c r="N127" s="91">
        <f>VLOOKUP($A127,'Data Vlaue (Cr)'!$C:$FB,79)</f>
        <v>1235</v>
      </c>
      <c r="O127" s="92">
        <f>VLOOKUP($A127,'Data Vlaue (Cr)'!$C:$FB,82)</f>
        <v>-3.3700000000000001E-2</v>
      </c>
    </row>
    <row r="128" spans="1:15" x14ac:dyDescent="0.25">
      <c r="A128" s="97" t="str">
        <f>'Data Vlaue (Cr)'!C123</f>
        <v>LTIM</v>
      </c>
      <c r="B128" s="142">
        <f>VLOOKUP(A128,'Data Vlaue (Cr)'!C123:CW337,99,0)</f>
        <v>3046</v>
      </c>
      <c r="C128" s="90">
        <f>VLOOKUP(A128,'Data Vlaue (Cr)'!C123:CY337,101,0)</f>
        <v>287</v>
      </c>
      <c r="D128" s="139">
        <f>VLOOKUP(A128,'Data Vlaue (Cr)'!C123:CZ337,102,0)</f>
        <v>0.1042</v>
      </c>
      <c r="E128" s="91">
        <f>VLOOKUP($A128,'Data Vlaue (Cr)'!$C:$FB,75)</f>
        <v>1768</v>
      </c>
      <c r="F128" s="91">
        <f>VLOOKUP($A128,'Data Vlaue (Cr)'!$C:$FB,77)</f>
        <v>-43</v>
      </c>
      <c r="G128" s="92">
        <f>VLOOKUP(A128,'Data Vlaue (Cr)'!C123:CB337,78,0)</f>
        <v>-2.3800000000000002E-2</v>
      </c>
      <c r="H128" s="91">
        <f>VLOOKUP($A128,'Data Vlaue (Cr)'!$C:$FB,91)</f>
        <v>772</v>
      </c>
      <c r="I128" s="91">
        <f>VLOOKUP($A128,'Data Vlaue (Cr)'!$C:$FB,93)</f>
        <v>226</v>
      </c>
      <c r="J128" s="92">
        <f>VLOOKUP($A128,'Data Vlaue (Cr)'!$C:$FB,94)</f>
        <v>0.41320000000000001</v>
      </c>
      <c r="K128" s="91">
        <f>VLOOKUP($A128,'Data Vlaue (Cr)'!$C:$FB,95)</f>
        <v>506</v>
      </c>
      <c r="L128" s="91">
        <f>VLOOKUP($A128,'Data Vlaue (Cr)'!$C:$FB,97)</f>
        <v>105</v>
      </c>
      <c r="M128" s="92">
        <f>VLOOKUP($A128,'Data Vlaue (Cr)'!$C:$FB,98)</f>
        <v>0.26169999999999999</v>
      </c>
      <c r="N128" s="91">
        <f>VLOOKUP($A128,'Data Vlaue (Cr)'!$C:$FB,79)</f>
        <v>1635</v>
      </c>
      <c r="O128" s="92">
        <f>VLOOKUP($A128,'Data Vlaue (Cr)'!$C:$FB,82)</f>
        <v>-3.95E-2</v>
      </c>
    </row>
    <row r="129" spans="1:15" x14ac:dyDescent="0.25">
      <c r="A129" s="97" t="str">
        <f>'Data Vlaue (Cr)'!C124</f>
        <v>LUPIN</v>
      </c>
      <c r="B129" s="142">
        <f>VLOOKUP(A129,'Data Vlaue (Cr)'!C124:CW338,99,0)</f>
        <v>3423</v>
      </c>
      <c r="C129" s="90">
        <f>VLOOKUP(A129,'Data Vlaue (Cr)'!C124:CY338,101,0)</f>
        <v>5</v>
      </c>
      <c r="D129" s="139">
        <f>VLOOKUP(A129,'Data Vlaue (Cr)'!C124:CZ338,102,0)</f>
        <v>1.5E-3</v>
      </c>
      <c r="E129" s="91">
        <f>VLOOKUP($A129,'Data Vlaue (Cr)'!$C:$FB,75)</f>
        <v>2229</v>
      </c>
      <c r="F129" s="91">
        <f>VLOOKUP($A129,'Data Vlaue (Cr)'!$C:$FB,77)</f>
        <v>11</v>
      </c>
      <c r="G129" s="92">
        <f>VLOOKUP(A129,'Data Vlaue (Cr)'!C124:CB338,78,0)</f>
        <v>4.8999999999999998E-3</v>
      </c>
      <c r="H129" s="91">
        <f>VLOOKUP($A129,'Data Vlaue (Cr)'!$C:$FB,91)</f>
        <v>737</v>
      </c>
      <c r="I129" s="91">
        <f>VLOOKUP($A129,'Data Vlaue (Cr)'!$C:$FB,93)</f>
        <v>0</v>
      </c>
      <c r="J129" s="92">
        <f>VLOOKUP($A129,'Data Vlaue (Cr)'!$C:$FB,94)</f>
        <v>-1E-4</v>
      </c>
      <c r="K129" s="91">
        <f>VLOOKUP($A129,'Data Vlaue (Cr)'!$C:$FB,95)</f>
        <v>457</v>
      </c>
      <c r="L129" s="91">
        <f>VLOOKUP($A129,'Data Vlaue (Cr)'!$C:$FB,97)</f>
        <v>-6</v>
      </c>
      <c r="M129" s="92">
        <f>VLOOKUP($A129,'Data Vlaue (Cr)'!$C:$FB,98)</f>
        <v>-1.21E-2</v>
      </c>
      <c r="N129" s="91">
        <f>VLOOKUP($A129,'Data Vlaue (Cr)'!$C:$FB,79)</f>
        <v>2178</v>
      </c>
      <c r="O129" s="92">
        <f>VLOOKUP($A129,'Data Vlaue (Cr)'!$C:$FB,82)</f>
        <v>1E-3</v>
      </c>
    </row>
    <row r="130" spans="1:15" x14ac:dyDescent="0.25">
      <c r="A130" s="97" t="str">
        <f>'Data Vlaue (Cr)'!C125</f>
        <v>M&amp;M</v>
      </c>
      <c r="B130" s="142">
        <f>VLOOKUP(A130,'Data Vlaue (Cr)'!C125:CW339,99,0)</f>
        <v>10228</v>
      </c>
      <c r="C130" s="90">
        <f>VLOOKUP(A130,'Data Vlaue (Cr)'!C125:CY339,101,0)</f>
        <v>-123</v>
      </c>
      <c r="D130" s="139">
        <f>VLOOKUP(A130,'Data Vlaue (Cr)'!C125:CZ339,102,0)</f>
        <v>-1.1900000000000001E-2</v>
      </c>
      <c r="E130" s="91">
        <f>VLOOKUP($A130,'Data Vlaue (Cr)'!$C:$FB,75)</f>
        <v>7018</v>
      </c>
      <c r="F130" s="91">
        <f>VLOOKUP($A130,'Data Vlaue (Cr)'!$C:$FB,77)</f>
        <v>-48</v>
      </c>
      <c r="G130" s="92">
        <f>VLOOKUP(A130,'Data Vlaue (Cr)'!C125:CB339,78,0)</f>
        <v>-6.7999999999999996E-3</v>
      </c>
      <c r="H130" s="91">
        <f>VLOOKUP($A130,'Data Vlaue (Cr)'!$C:$FB,91)</f>
        <v>2110</v>
      </c>
      <c r="I130" s="91">
        <f>VLOOKUP($A130,'Data Vlaue (Cr)'!$C:$FB,93)</f>
        <v>-146</v>
      </c>
      <c r="J130" s="92">
        <f>VLOOKUP($A130,'Data Vlaue (Cr)'!$C:$FB,94)</f>
        <v>-6.4799999999999996E-2</v>
      </c>
      <c r="K130" s="91">
        <f>VLOOKUP($A130,'Data Vlaue (Cr)'!$C:$FB,95)</f>
        <v>1100</v>
      </c>
      <c r="L130" s="91">
        <f>VLOOKUP($A130,'Data Vlaue (Cr)'!$C:$FB,97)</f>
        <v>71</v>
      </c>
      <c r="M130" s="92">
        <f>VLOOKUP($A130,'Data Vlaue (Cr)'!$C:$FB,98)</f>
        <v>6.8900000000000003E-2</v>
      </c>
      <c r="N130" s="91">
        <f>VLOOKUP($A130,'Data Vlaue (Cr)'!$C:$FB,79)</f>
        <v>6758</v>
      </c>
      <c r="O130" s="92">
        <f>VLOOKUP($A130,'Data Vlaue (Cr)'!$C:$FB,82)</f>
        <v>-1.4200000000000001E-2</v>
      </c>
    </row>
    <row r="131" spans="1:15" x14ac:dyDescent="0.25">
      <c r="A131" s="97" t="str">
        <f>'Data Vlaue (Cr)'!C126</f>
        <v>MANAPPURAM</v>
      </c>
      <c r="B131" s="142">
        <f>VLOOKUP(A131,'Data Vlaue (Cr)'!C126:CW340,99,0)</f>
        <v>1579</v>
      </c>
      <c r="C131" s="90">
        <f>VLOOKUP(A131,'Data Vlaue (Cr)'!C126:CY340,101,0)</f>
        <v>49</v>
      </c>
      <c r="D131" s="139">
        <f>VLOOKUP(A131,'Data Vlaue (Cr)'!C126:CZ340,102,0)</f>
        <v>3.2099999999999997E-2</v>
      </c>
      <c r="E131" s="91">
        <f>VLOOKUP($A131,'Data Vlaue (Cr)'!$C:$FB,75)</f>
        <v>803</v>
      </c>
      <c r="F131" s="91">
        <f>VLOOKUP($A131,'Data Vlaue (Cr)'!$C:$FB,77)</f>
        <v>-10</v>
      </c>
      <c r="G131" s="92">
        <f>VLOOKUP(A131,'Data Vlaue (Cr)'!C126:CB340,78,0)</f>
        <v>-1.2200000000000001E-2</v>
      </c>
      <c r="H131" s="91">
        <f>VLOOKUP($A131,'Data Vlaue (Cr)'!$C:$FB,91)</f>
        <v>521</v>
      </c>
      <c r="I131" s="91">
        <f>VLOOKUP($A131,'Data Vlaue (Cr)'!$C:$FB,93)</f>
        <v>60</v>
      </c>
      <c r="J131" s="92">
        <f>VLOOKUP($A131,'Data Vlaue (Cr)'!$C:$FB,94)</f>
        <v>0.1298</v>
      </c>
      <c r="K131" s="91">
        <f>VLOOKUP($A131,'Data Vlaue (Cr)'!$C:$FB,95)</f>
        <v>255</v>
      </c>
      <c r="L131" s="91">
        <f>VLOOKUP($A131,'Data Vlaue (Cr)'!$C:$FB,97)</f>
        <v>-1</v>
      </c>
      <c r="M131" s="92">
        <f>VLOOKUP($A131,'Data Vlaue (Cr)'!$C:$FB,98)</f>
        <v>-3.3999999999999998E-3</v>
      </c>
      <c r="N131" s="91">
        <f>VLOOKUP($A131,'Data Vlaue (Cr)'!$C:$FB,79)</f>
        <v>749</v>
      </c>
      <c r="O131" s="92">
        <f>VLOOKUP($A131,'Data Vlaue (Cr)'!$C:$FB,82)</f>
        <v>-2.2700000000000001E-2</v>
      </c>
    </row>
    <row r="132" spans="1:15" x14ac:dyDescent="0.25">
      <c r="A132" s="97" t="str">
        <f>'Data Vlaue (Cr)'!C127</f>
        <v>MANKIND</v>
      </c>
      <c r="B132" s="142">
        <f>VLOOKUP(A132,'Data Vlaue (Cr)'!C127:CW341,99,0)</f>
        <v>766</v>
      </c>
      <c r="C132" s="90">
        <f>VLOOKUP(A132,'Data Vlaue (Cr)'!C127:CY341,101,0)</f>
        <v>-6</v>
      </c>
      <c r="D132" s="139">
        <f>VLOOKUP(A132,'Data Vlaue (Cr)'!C127:CZ341,102,0)</f>
        <v>-8.0000000000000002E-3</v>
      </c>
      <c r="E132" s="91">
        <f>VLOOKUP($A132,'Data Vlaue (Cr)'!$C:$FB,75)</f>
        <v>417</v>
      </c>
      <c r="F132" s="91">
        <f>VLOOKUP($A132,'Data Vlaue (Cr)'!$C:$FB,77)</f>
        <v>0</v>
      </c>
      <c r="G132" s="92">
        <f>VLOOKUP(A132,'Data Vlaue (Cr)'!C127:CB341,78,0)</f>
        <v>1.1000000000000001E-3</v>
      </c>
      <c r="H132" s="91">
        <f>VLOOKUP($A132,'Data Vlaue (Cr)'!$C:$FB,91)</f>
        <v>243</v>
      </c>
      <c r="I132" s="91">
        <f>VLOOKUP($A132,'Data Vlaue (Cr)'!$C:$FB,93)</f>
        <v>-7</v>
      </c>
      <c r="J132" s="92">
        <f>VLOOKUP($A132,'Data Vlaue (Cr)'!$C:$FB,94)</f>
        <v>-2.6200000000000001E-2</v>
      </c>
      <c r="K132" s="91">
        <f>VLOOKUP($A132,'Data Vlaue (Cr)'!$C:$FB,95)</f>
        <v>105</v>
      </c>
      <c r="L132" s="91">
        <f>VLOOKUP($A132,'Data Vlaue (Cr)'!$C:$FB,97)</f>
        <v>0</v>
      </c>
      <c r="M132" s="92">
        <f>VLOOKUP($A132,'Data Vlaue (Cr)'!$C:$FB,98)</f>
        <v>-1.1000000000000001E-3</v>
      </c>
      <c r="N132" s="91">
        <f>VLOOKUP($A132,'Data Vlaue (Cr)'!$C:$FB,79)</f>
        <v>395</v>
      </c>
      <c r="O132" s="92">
        <f>VLOOKUP($A132,'Data Vlaue (Cr)'!$C:$FB,82)</f>
        <v>-1.6999999999999999E-3</v>
      </c>
    </row>
    <row r="133" spans="1:15" x14ac:dyDescent="0.25">
      <c r="A133" s="97" t="str">
        <f>'Data Vlaue (Cr)'!C128</f>
        <v>MARICO</v>
      </c>
      <c r="B133" s="142">
        <f>VLOOKUP(A133,'Data Vlaue (Cr)'!C128:CW342,99,0)</f>
        <v>2447</v>
      </c>
      <c r="C133" s="90">
        <f>VLOOKUP(A133,'Data Vlaue (Cr)'!C128:CY342,101,0)</f>
        <v>-15</v>
      </c>
      <c r="D133" s="139">
        <f>VLOOKUP(A133,'Data Vlaue (Cr)'!C128:CZ342,102,0)</f>
        <v>-6.3E-3</v>
      </c>
      <c r="E133" s="91">
        <f>VLOOKUP($A133,'Data Vlaue (Cr)'!$C:$FB,75)</f>
        <v>2004</v>
      </c>
      <c r="F133" s="91">
        <f>VLOOKUP($A133,'Data Vlaue (Cr)'!$C:$FB,77)</f>
        <v>-10</v>
      </c>
      <c r="G133" s="92">
        <f>VLOOKUP(A133,'Data Vlaue (Cr)'!C128:CB342,78,0)</f>
        <v>-5.0000000000000001E-3</v>
      </c>
      <c r="H133" s="91">
        <f>VLOOKUP($A133,'Data Vlaue (Cr)'!$C:$FB,91)</f>
        <v>271</v>
      </c>
      <c r="I133" s="91">
        <f>VLOOKUP($A133,'Data Vlaue (Cr)'!$C:$FB,93)</f>
        <v>-11</v>
      </c>
      <c r="J133" s="92">
        <f>VLOOKUP($A133,'Data Vlaue (Cr)'!$C:$FB,94)</f>
        <v>-3.7699999999999997E-2</v>
      </c>
      <c r="K133" s="91">
        <f>VLOOKUP($A133,'Data Vlaue (Cr)'!$C:$FB,95)</f>
        <v>172</v>
      </c>
      <c r="L133" s="91">
        <f>VLOOKUP($A133,'Data Vlaue (Cr)'!$C:$FB,97)</f>
        <v>5</v>
      </c>
      <c r="M133" s="92">
        <f>VLOOKUP($A133,'Data Vlaue (Cr)'!$C:$FB,98)</f>
        <v>3.1300000000000001E-2</v>
      </c>
      <c r="N133" s="91">
        <f>VLOOKUP($A133,'Data Vlaue (Cr)'!$C:$FB,79)</f>
        <v>1989</v>
      </c>
      <c r="O133" s="92">
        <f>VLOOKUP($A133,'Data Vlaue (Cr)'!$C:$FB,82)</f>
        <v>-5.7999999999999996E-3</v>
      </c>
    </row>
    <row r="134" spans="1:15" x14ac:dyDescent="0.25">
      <c r="A134" s="97" t="str">
        <f>'Data Vlaue (Cr)'!C129</f>
        <v>MARUTI</v>
      </c>
      <c r="B134" s="142">
        <f>VLOOKUP(A134,'Data Vlaue (Cr)'!C129:CW343,99,0)</f>
        <v>12527</v>
      </c>
      <c r="C134" s="90">
        <f>VLOOKUP(A134,'Data Vlaue (Cr)'!C129:CY343,101,0)</f>
        <v>-146</v>
      </c>
      <c r="D134" s="139">
        <f>VLOOKUP(A134,'Data Vlaue (Cr)'!C129:CZ343,102,0)</f>
        <v>-1.15E-2</v>
      </c>
      <c r="E134" s="91">
        <f>VLOOKUP($A134,'Data Vlaue (Cr)'!$C:$FB,75)</f>
        <v>4613</v>
      </c>
      <c r="F134" s="91">
        <f>VLOOKUP($A134,'Data Vlaue (Cr)'!$C:$FB,77)</f>
        <v>-10</v>
      </c>
      <c r="G134" s="92">
        <f>VLOOKUP(A134,'Data Vlaue (Cr)'!C129:CB343,78,0)</f>
        <v>-2.0999999999999999E-3</v>
      </c>
      <c r="H134" s="91">
        <f>VLOOKUP($A134,'Data Vlaue (Cr)'!$C:$FB,91)</f>
        <v>5001</v>
      </c>
      <c r="I134" s="91">
        <f>VLOOKUP($A134,'Data Vlaue (Cr)'!$C:$FB,93)</f>
        <v>-201</v>
      </c>
      <c r="J134" s="92">
        <f>VLOOKUP($A134,'Data Vlaue (Cr)'!$C:$FB,94)</f>
        <v>-3.8699999999999998E-2</v>
      </c>
      <c r="K134" s="91">
        <f>VLOOKUP($A134,'Data Vlaue (Cr)'!$C:$FB,95)</f>
        <v>2913</v>
      </c>
      <c r="L134" s="91">
        <f>VLOOKUP($A134,'Data Vlaue (Cr)'!$C:$FB,97)</f>
        <v>66</v>
      </c>
      <c r="M134" s="92">
        <f>VLOOKUP($A134,'Data Vlaue (Cr)'!$C:$FB,98)</f>
        <v>2.3099999999999999E-2</v>
      </c>
      <c r="N134" s="91">
        <f>VLOOKUP($A134,'Data Vlaue (Cr)'!$C:$FB,79)</f>
        <v>4357</v>
      </c>
      <c r="O134" s="92">
        <f>VLOOKUP($A134,'Data Vlaue (Cr)'!$C:$FB,82)</f>
        <v>-1.1599999999999999E-2</v>
      </c>
    </row>
    <row r="135" spans="1:15" x14ac:dyDescent="0.25">
      <c r="A135" s="97" t="str">
        <f>'Data Vlaue (Cr)'!C130</f>
        <v>MAXHEALTH</v>
      </c>
      <c r="B135" s="142">
        <f>VLOOKUP(A135,'Data Vlaue (Cr)'!C130:CW344,99,0)</f>
        <v>2771</v>
      </c>
      <c r="C135" s="90">
        <f>VLOOKUP(A135,'Data Vlaue (Cr)'!C130:CY344,101,0)</f>
        <v>31</v>
      </c>
      <c r="D135" s="139">
        <f>VLOOKUP(A135,'Data Vlaue (Cr)'!C130:CZ344,102,0)</f>
        <v>1.1299999999999999E-2</v>
      </c>
      <c r="E135" s="91">
        <f>VLOOKUP($A135,'Data Vlaue (Cr)'!$C:$FB,75)</f>
        <v>1940</v>
      </c>
      <c r="F135" s="91">
        <f>VLOOKUP($A135,'Data Vlaue (Cr)'!$C:$FB,77)</f>
        <v>-6</v>
      </c>
      <c r="G135" s="92">
        <f>VLOOKUP(A135,'Data Vlaue (Cr)'!C130:CB344,78,0)</f>
        <v>-3.0999999999999999E-3</v>
      </c>
      <c r="H135" s="91">
        <f>VLOOKUP($A135,'Data Vlaue (Cr)'!$C:$FB,91)</f>
        <v>496</v>
      </c>
      <c r="I135" s="91">
        <f>VLOOKUP($A135,'Data Vlaue (Cr)'!$C:$FB,93)</f>
        <v>28</v>
      </c>
      <c r="J135" s="92">
        <f>VLOOKUP($A135,'Data Vlaue (Cr)'!$C:$FB,94)</f>
        <v>5.9900000000000002E-2</v>
      </c>
      <c r="K135" s="91">
        <f>VLOOKUP($A135,'Data Vlaue (Cr)'!$C:$FB,95)</f>
        <v>335</v>
      </c>
      <c r="L135" s="91">
        <f>VLOOKUP($A135,'Data Vlaue (Cr)'!$C:$FB,97)</f>
        <v>9</v>
      </c>
      <c r="M135" s="92">
        <f>VLOOKUP($A135,'Data Vlaue (Cr)'!$C:$FB,98)</f>
        <v>2.7300000000000001E-2</v>
      </c>
      <c r="N135" s="91">
        <f>VLOOKUP($A135,'Data Vlaue (Cr)'!$C:$FB,79)</f>
        <v>1888</v>
      </c>
      <c r="O135" s="92">
        <f>VLOOKUP($A135,'Data Vlaue (Cr)'!$C:$FB,82)</f>
        <v>-5.1999999999999998E-3</v>
      </c>
    </row>
    <row r="136" spans="1:15" x14ac:dyDescent="0.25">
      <c r="A136" s="97" t="str">
        <f>'Data Vlaue (Cr)'!C131</f>
        <v>MAZDOCK</v>
      </c>
      <c r="B136" s="142">
        <f>VLOOKUP(A136,'Data Vlaue (Cr)'!C131:CW345,99,0)</f>
        <v>2302</v>
      </c>
      <c r="C136" s="90">
        <f>VLOOKUP(A136,'Data Vlaue (Cr)'!C131:CY345,101,0)</f>
        <v>17</v>
      </c>
      <c r="D136" s="139">
        <f>VLOOKUP(A136,'Data Vlaue (Cr)'!C131:CZ345,102,0)</f>
        <v>7.4999999999999997E-3</v>
      </c>
      <c r="E136" s="91">
        <f>VLOOKUP($A136,'Data Vlaue (Cr)'!$C:$FB,75)</f>
        <v>1060</v>
      </c>
      <c r="F136" s="91">
        <f>VLOOKUP($A136,'Data Vlaue (Cr)'!$C:$FB,77)</f>
        <v>7</v>
      </c>
      <c r="G136" s="92">
        <f>VLOOKUP(A136,'Data Vlaue (Cr)'!C131:CB345,78,0)</f>
        <v>6.7000000000000002E-3</v>
      </c>
      <c r="H136" s="91">
        <f>VLOOKUP($A136,'Data Vlaue (Cr)'!$C:$FB,91)</f>
        <v>839</v>
      </c>
      <c r="I136" s="91">
        <f>VLOOKUP($A136,'Data Vlaue (Cr)'!$C:$FB,93)</f>
        <v>5</v>
      </c>
      <c r="J136" s="92">
        <f>VLOOKUP($A136,'Data Vlaue (Cr)'!$C:$FB,94)</f>
        <v>6.6E-3</v>
      </c>
      <c r="K136" s="91">
        <f>VLOOKUP($A136,'Data Vlaue (Cr)'!$C:$FB,95)</f>
        <v>403</v>
      </c>
      <c r="L136" s="91">
        <f>VLOOKUP($A136,'Data Vlaue (Cr)'!$C:$FB,97)</f>
        <v>5</v>
      </c>
      <c r="M136" s="92">
        <f>VLOOKUP($A136,'Data Vlaue (Cr)'!$C:$FB,98)</f>
        <v>1.15E-2</v>
      </c>
      <c r="N136" s="91">
        <f>VLOOKUP($A136,'Data Vlaue (Cr)'!$C:$FB,79)</f>
        <v>967</v>
      </c>
      <c r="O136" s="92">
        <f>VLOOKUP($A136,'Data Vlaue (Cr)'!$C:$FB,82)</f>
        <v>-7.7999999999999996E-3</v>
      </c>
    </row>
    <row r="137" spans="1:15" x14ac:dyDescent="0.25">
      <c r="A137" s="97" t="str">
        <f>'Data Vlaue (Cr)'!C132</f>
        <v>MCX</v>
      </c>
      <c r="B137" s="142">
        <f>VLOOKUP(A137,'Data Vlaue (Cr)'!C132:CW346,99,0)</f>
        <v>8315</v>
      </c>
      <c r="C137" s="90">
        <f>VLOOKUP(A137,'Data Vlaue (Cr)'!C132:CY346,101,0)</f>
        <v>73</v>
      </c>
      <c r="D137" s="139">
        <f>VLOOKUP(A137,'Data Vlaue (Cr)'!C132:CZ346,102,0)</f>
        <v>8.8999999999999999E-3</v>
      </c>
      <c r="E137" s="91">
        <f>VLOOKUP($A137,'Data Vlaue (Cr)'!$C:$FB,75)</f>
        <v>2713</v>
      </c>
      <c r="F137" s="91">
        <f>VLOOKUP($A137,'Data Vlaue (Cr)'!$C:$FB,77)</f>
        <v>-36</v>
      </c>
      <c r="G137" s="92">
        <f>VLOOKUP(A137,'Data Vlaue (Cr)'!C132:CB346,78,0)</f>
        <v>-1.32E-2</v>
      </c>
      <c r="H137" s="91">
        <f>VLOOKUP($A137,'Data Vlaue (Cr)'!$C:$FB,91)</f>
        <v>2996</v>
      </c>
      <c r="I137" s="91">
        <f>VLOOKUP($A137,'Data Vlaue (Cr)'!$C:$FB,93)</f>
        <v>270</v>
      </c>
      <c r="J137" s="92">
        <f>VLOOKUP($A137,'Data Vlaue (Cr)'!$C:$FB,94)</f>
        <v>9.9199999999999997E-2</v>
      </c>
      <c r="K137" s="91">
        <f>VLOOKUP($A137,'Data Vlaue (Cr)'!$C:$FB,95)</f>
        <v>2606</v>
      </c>
      <c r="L137" s="91">
        <f>VLOOKUP($A137,'Data Vlaue (Cr)'!$C:$FB,97)</f>
        <v>-161</v>
      </c>
      <c r="M137" s="92">
        <f>VLOOKUP($A137,'Data Vlaue (Cr)'!$C:$FB,98)</f>
        <v>-5.8099999999999999E-2</v>
      </c>
      <c r="N137" s="91">
        <f>VLOOKUP($A137,'Data Vlaue (Cr)'!$C:$FB,79)</f>
        <v>2512</v>
      </c>
      <c r="O137" s="92">
        <f>VLOOKUP($A137,'Data Vlaue (Cr)'!$C:$FB,82)</f>
        <v>-2.9100000000000001E-2</v>
      </c>
    </row>
    <row r="138" spans="1:15" x14ac:dyDescent="0.25">
      <c r="A138" s="97" t="str">
        <f>'Data Vlaue (Cr)'!C133</f>
        <v>MFSL</v>
      </c>
      <c r="B138" s="142">
        <f>VLOOKUP(A138,'Data Vlaue (Cr)'!C133:CW347,99,0)</f>
        <v>1427</v>
      </c>
      <c r="C138" s="90">
        <f>VLOOKUP(A138,'Data Vlaue (Cr)'!C133:CY347,101,0)</f>
        <v>161</v>
      </c>
      <c r="D138" s="139">
        <f>VLOOKUP(A138,'Data Vlaue (Cr)'!C133:CZ347,102,0)</f>
        <v>0.12720000000000001</v>
      </c>
      <c r="E138" s="91">
        <f>VLOOKUP($A138,'Data Vlaue (Cr)'!$C:$FB,75)</f>
        <v>925</v>
      </c>
      <c r="F138" s="91">
        <f>VLOOKUP($A138,'Data Vlaue (Cr)'!$C:$FB,77)</f>
        <v>-23</v>
      </c>
      <c r="G138" s="92">
        <f>VLOOKUP(A138,'Data Vlaue (Cr)'!C133:CB347,78,0)</f>
        <v>-2.3900000000000001E-2</v>
      </c>
      <c r="H138" s="91">
        <f>VLOOKUP($A138,'Data Vlaue (Cr)'!$C:$FB,91)</f>
        <v>328</v>
      </c>
      <c r="I138" s="91">
        <f>VLOOKUP($A138,'Data Vlaue (Cr)'!$C:$FB,93)</f>
        <v>131</v>
      </c>
      <c r="J138" s="92">
        <f>VLOOKUP($A138,'Data Vlaue (Cr)'!$C:$FB,94)</f>
        <v>0.66790000000000005</v>
      </c>
      <c r="K138" s="91">
        <f>VLOOKUP($A138,'Data Vlaue (Cr)'!$C:$FB,95)</f>
        <v>174</v>
      </c>
      <c r="L138" s="91">
        <f>VLOOKUP($A138,'Data Vlaue (Cr)'!$C:$FB,97)</f>
        <v>52</v>
      </c>
      <c r="M138" s="92">
        <f>VLOOKUP($A138,'Data Vlaue (Cr)'!$C:$FB,98)</f>
        <v>0.4289</v>
      </c>
      <c r="N138" s="91">
        <f>VLOOKUP($A138,'Data Vlaue (Cr)'!$C:$FB,79)</f>
        <v>900</v>
      </c>
      <c r="O138" s="92">
        <f>VLOOKUP($A138,'Data Vlaue (Cr)'!$C:$FB,82)</f>
        <v>-3.6600000000000001E-2</v>
      </c>
    </row>
    <row r="139" spans="1:15" x14ac:dyDescent="0.25">
      <c r="A139" s="97" t="str">
        <f>'Data Vlaue (Cr)'!C134</f>
        <v>MIDCPNIFTY</v>
      </c>
      <c r="B139" s="142">
        <f>VLOOKUP(A139,'Data Vlaue (Cr)'!C134:CW348,99,0)</f>
        <v>25842</v>
      </c>
      <c r="C139" s="90">
        <f>VLOOKUP(A139,'Data Vlaue (Cr)'!C134:CY348,101,0)</f>
        <v>1729</v>
      </c>
      <c r="D139" s="139">
        <f>VLOOKUP(A139,'Data Vlaue (Cr)'!C134:CZ348,102,0)</f>
        <v>7.17E-2</v>
      </c>
      <c r="E139" s="91">
        <f>VLOOKUP($A139,'Data Vlaue (Cr)'!$C:$FB,75)</f>
        <v>3809</v>
      </c>
      <c r="F139" s="91">
        <f>VLOOKUP($A139,'Data Vlaue (Cr)'!$C:$FB,77)</f>
        <v>131</v>
      </c>
      <c r="G139" s="92">
        <f>VLOOKUP(A139,'Data Vlaue (Cr)'!C134:CB348,78,0)</f>
        <v>3.5700000000000003E-2</v>
      </c>
      <c r="H139" s="91">
        <f>VLOOKUP($A139,'Data Vlaue (Cr)'!$C:$FB,91)</f>
        <v>9393</v>
      </c>
      <c r="I139" s="91">
        <f>VLOOKUP($A139,'Data Vlaue (Cr)'!$C:$FB,93)</f>
        <v>1</v>
      </c>
      <c r="J139" s="92">
        <f>VLOOKUP($A139,'Data Vlaue (Cr)'!$C:$FB,94)</f>
        <v>1E-4</v>
      </c>
      <c r="K139" s="91">
        <f>VLOOKUP($A139,'Data Vlaue (Cr)'!$C:$FB,95)</f>
        <v>12640</v>
      </c>
      <c r="L139" s="91">
        <f>VLOOKUP($A139,'Data Vlaue (Cr)'!$C:$FB,97)</f>
        <v>1597</v>
      </c>
      <c r="M139" s="92">
        <f>VLOOKUP($A139,'Data Vlaue (Cr)'!$C:$FB,98)</f>
        <v>0.14460000000000001</v>
      </c>
      <c r="N139" s="91">
        <f>VLOOKUP($A139,'Data Vlaue (Cr)'!$C:$FB,79)</f>
        <v>3646</v>
      </c>
      <c r="O139" s="92">
        <f>VLOOKUP($A139,'Data Vlaue (Cr)'!$C:$FB,82)</f>
        <v>2.9700000000000001E-2</v>
      </c>
    </row>
    <row r="140" spans="1:15" x14ac:dyDescent="0.25">
      <c r="A140" s="97" t="str">
        <f>'Data Vlaue (Cr)'!C135</f>
        <v>MOTHERSON</v>
      </c>
      <c r="B140" s="142">
        <f>VLOOKUP(A140,'Data Vlaue (Cr)'!C135:CW349,99,0)</f>
        <v>2911</v>
      </c>
      <c r="C140" s="90">
        <f>VLOOKUP(A140,'Data Vlaue (Cr)'!C135:CY349,101,0)</f>
        <v>32</v>
      </c>
      <c r="D140" s="139">
        <f>VLOOKUP(A140,'Data Vlaue (Cr)'!C135:CZ349,102,0)</f>
        <v>1.0999999999999999E-2</v>
      </c>
      <c r="E140" s="91">
        <f>VLOOKUP($A140,'Data Vlaue (Cr)'!$C:$FB,75)</f>
        <v>1828</v>
      </c>
      <c r="F140" s="91">
        <f>VLOOKUP($A140,'Data Vlaue (Cr)'!$C:$FB,77)</f>
        <v>14</v>
      </c>
      <c r="G140" s="92">
        <f>VLOOKUP(A140,'Data Vlaue (Cr)'!C135:CB349,78,0)</f>
        <v>7.9000000000000008E-3</v>
      </c>
      <c r="H140" s="91">
        <f>VLOOKUP($A140,'Data Vlaue (Cr)'!$C:$FB,91)</f>
        <v>689</v>
      </c>
      <c r="I140" s="91">
        <f>VLOOKUP($A140,'Data Vlaue (Cr)'!$C:$FB,93)</f>
        <v>-28</v>
      </c>
      <c r="J140" s="92">
        <f>VLOOKUP($A140,'Data Vlaue (Cr)'!$C:$FB,94)</f>
        <v>-3.9100000000000003E-2</v>
      </c>
      <c r="K140" s="91">
        <f>VLOOKUP($A140,'Data Vlaue (Cr)'!$C:$FB,95)</f>
        <v>394</v>
      </c>
      <c r="L140" s="91">
        <f>VLOOKUP($A140,'Data Vlaue (Cr)'!$C:$FB,97)</f>
        <v>45</v>
      </c>
      <c r="M140" s="92">
        <f>VLOOKUP($A140,'Data Vlaue (Cr)'!$C:$FB,98)</f>
        <v>0.13009999999999999</v>
      </c>
      <c r="N140" s="91">
        <f>VLOOKUP($A140,'Data Vlaue (Cr)'!$C:$FB,79)</f>
        <v>1731</v>
      </c>
      <c r="O140" s="92">
        <f>VLOOKUP($A140,'Data Vlaue (Cr)'!$C:$FB,82)</f>
        <v>3.2000000000000002E-3</v>
      </c>
    </row>
    <row r="141" spans="1:15" x14ac:dyDescent="0.25">
      <c r="A141" s="97" t="str">
        <f>'Data Vlaue (Cr)'!C136</f>
        <v>MPHASIS</v>
      </c>
      <c r="B141" s="142">
        <f>VLOOKUP(A141,'Data Vlaue (Cr)'!C136:CW350,99,0)</f>
        <v>1661</v>
      </c>
      <c r="C141" s="90">
        <f>VLOOKUP(A141,'Data Vlaue (Cr)'!C136:CY350,101,0)</f>
        <v>-16</v>
      </c>
      <c r="D141" s="139">
        <f>VLOOKUP(A141,'Data Vlaue (Cr)'!C136:CZ350,102,0)</f>
        <v>-9.4000000000000004E-3</v>
      </c>
      <c r="E141" s="91">
        <f>VLOOKUP($A141,'Data Vlaue (Cr)'!$C:$FB,75)</f>
        <v>1120</v>
      </c>
      <c r="F141" s="91">
        <f>VLOOKUP($A141,'Data Vlaue (Cr)'!$C:$FB,77)</f>
        <v>-14</v>
      </c>
      <c r="G141" s="92">
        <f>VLOOKUP(A141,'Data Vlaue (Cr)'!C136:CB350,78,0)</f>
        <v>-1.26E-2</v>
      </c>
      <c r="H141" s="91">
        <f>VLOOKUP($A141,'Data Vlaue (Cr)'!$C:$FB,91)</f>
        <v>351</v>
      </c>
      <c r="I141" s="91">
        <f>VLOOKUP($A141,'Data Vlaue (Cr)'!$C:$FB,93)</f>
        <v>-8</v>
      </c>
      <c r="J141" s="92">
        <f>VLOOKUP($A141,'Data Vlaue (Cr)'!$C:$FB,94)</f>
        <v>-2.3099999999999999E-2</v>
      </c>
      <c r="K141" s="91">
        <f>VLOOKUP($A141,'Data Vlaue (Cr)'!$C:$FB,95)</f>
        <v>190</v>
      </c>
      <c r="L141" s="91">
        <f>VLOOKUP($A141,'Data Vlaue (Cr)'!$C:$FB,97)</f>
        <v>7</v>
      </c>
      <c r="M141" s="92">
        <f>VLOOKUP($A141,'Data Vlaue (Cr)'!$C:$FB,98)</f>
        <v>3.6900000000000002E-2</v>
      </c>
      <c r="N141" s="91">
        <f>VLOOKUP($A141,'Data Vlaue (Cr)'!$C:$FB,79)</f>
        <v>1097</v>
      </c>
      <c r="O141" s="92">
        <f>VLOOKUP($A141,'Data Vlaue (Cr)'!$C:$FB,82)</f>
        <v>-1.3899999999999999E-2</v>
      </c>
    </row>
    <row r="142" spans="1:15" x14ac:dyDescent="0.25">
      <c r="A142" s="97" t="str">
        <f>'Data Vlaue (Cr)'!C137</f>
        <v>MUTHOOTFIN</v>
      </c>
      <c r="B142" s="142">
        <f>VLOOKUP(A142,'Data Vlaue (Cr)'!C137:CW351,99,0)</f>
        <v>2295</v>
      </c>
      <c r="C142" s="90">
        <f>VLOOKUP(A142,'Data Vlaue (Cr)'!C137:CY351,101,0)</f>
        <v>103</v>
      </c>
      <c r="D142" s="139">
        <f>VLOOKUP(A142,'Data Vlaue (Cr)'!C137:CZ351,102,0)</f>
        <v>4.6899999999999997E-2</v>
      </c>
      <c r="E142" s="91">
        <f>VLOOKUP($A142,'Data Vlaue (Cr)'!$C:$FB,75)</f>
        <v>885</v>
      </c>
      <c r="F142" s="91">
        <f>VLOOKUP($A142,'Data Vlaue (Cr)'!$C:$FB,77)</f>
        <v>0</v>
      </c>
      <c r="G142" s="92">
        <f>VLOOKUP(A142,'Data Vlaue (Cr)'!C137:CB351,78,0)</f>
        <v>-2.0000000000000001E-4</v>
      </c>
      <c r="H142" s="91">
        <f>VLOOKUP($A142,'Data Vlaue (Cr)'!$C:$FB,91)</f>
        <v>827</v>
      </c>
      <c r="I142" s="91">
        <f>VLOOKUP($A142,'Data Vlaue (Cr)'!$C:$FB,93)</f>
        <v>59</v>
      </c>
      <c r="J142" s="92">
        <f>VLOOKUP($A142,'Data Vlaue (Cr)'!$C:$FB,94)</f>
        <v>7.6899999999999996E-2</v>
      </c>
      <c r="K142" s="91">
        <f>VLOOKUP($A142,'Data Vlaue (Cr)'!$C:$FB,95)</f>
        <v>583</v>
      </c>
      <c r="L142" s="91">
        <f>VLOOKUP($A142,'Data Vlaue (Cr)'!$C:$FB,97)</f>
        <v>44</v>
      </c>
      <c r="M142" s="92">
        <f>VLOOKUP($A142,'Data Vlaue (Cr)'!$C:$FB,98)</f>
        <v>8.1600000000000006E-2</v>
      </c>
      <c r="N142" s="91">
        <f>VLOOKUP($A142,'Data Vlaue (Cr)'!$C:$FB,79)</f>
        <v>829</v>
      </c>
      <c r="O142" s="92">
        <f>VLOOKUP($A142,'Data Vlaue (Cr)'!$C:$FB,82)</f>
        <v>-1.46E-2</v>
      </c>
    </row>
    <row r="143" spans="1:15" x14ac:dyDescent="0.25">
      <c r="A143" s="97" t="str">
        <f>'Data Vlaue (Cr)'!C138</f>
        <v>NATIONALUM</v>
      </c>
      <c r="B143" s="142">
        <f>VLOOKUP(A143,'Data Vlaue (Cr)'!C138:CW352,99,0)</f>
        <v>3243</v>
      </c>
      <c r="C143" s="90">
        <f>VLOOKUP(A143,'Data Vlaue (Cr)'!C138:CY352,101,0)</f>
        <v>6</v>
      </c>
      <c r="D143" s="139">
        <f>VLOOKUP(A143,'Data Vlaue (Cr)'!C138:CZ352,102,0)</f>
        <v>1.9E-3</v>
      </c>
      <c r="E143" s="91">
        <f>VLOOKUP($A143,'Data Vlaue (Cr)'!$C:$FB,75)</f>
        <v>1871</v>
      </c>
      <c r="F143" s="91">
        <f>VLOOKUP($A143,'Data Vlaue (Cr)'!$C:$FB,77)</f>
        <v>17</v>
      </c>
      <c r="G143" s="92">
        <f>VLOOKUP(A143,'Data Vlaue (Cr)'!C138:CB352,78,0)</f>
        <v>9.1999999999999998E-3</v>
      </c>
      <c r="H143" s="91">
        <f>VLOOKUP($A143,'Data Vlaue (Cr)'!$C:$FB,91)</f>
        <v>797</v>
      </c>
      <c r="I143" s="91">
        <f>VLOOKUP($A143,'Data Vlaue (Cr)'!$C:$FB,93)</f>
        <v>-18</v>
      </c>
      <c r="J143" s="92">
        <f>VLOOKUP($A143,'Data Vlaue (Cr)'!$C:$FB,94)</f>
        <v>-2.1999999999999999E-2</v>
      </c>
      <c r="K143" s="91">
        <f>VLOOKUP($A143,'Data Vlaue (Cr)'!$C:$FB,95)</f>
        <v>575</v>
      </c>
      <c r="L143" s="91">
        <f>VLOOKUP($A143,'Data Vlaue (Cr)'!$C:$FB,97)</f>
        <v>7</v>
      </c>
      <c r="M143" s="92">
        <f>VLOOKUP($A143,'Data Vlaue (Cr)'!$C:$FB,98)</f>
        <v>1.24E-2</v>
      </c>
      <c r="N143" s="91">
        <f>VLOOKUP($A143,'Data Vlaue (Cr)'!$C:$FB,79)</f>
        <v>1742</v>
      </c>
      <c r="O143" s="92">
        <f>VLOOKUP($A143,'Data Vlaue (Cr)'!$C:$FB,82)</f>
        <v>-2.7000000000000001E-3</v>
      </c>
    </row>
    <row r="144" spans="1:15" x14ac:dyDescent="0.25">
      <c r="A144" s="97" t="str">
        <f>'Data Vlaue (Cr)'!C139</f>
        <v>NAUKRI</v>
      </c>
      <c r="B144" s="142">
        <f>VLOOKUP(A144,'Data Vlaue (Cr)'!C139:CW353,99,0)</f>
        <v>1775</v>
      </c>
      <c r="C144" s="90">
        <f>VLOOKUP(A144,'Data Vlaue (Cr)'!C139:CY353,101,0)</f>
        <v>-65</v>
      </c>
      <c r="D144" s="139">
        <f>VLOOKUP(A144,'Data Vlaue (Cr)'!C139:CZ353,102,0)</f>
        <v>-3.5499999999999997E-2</v>
      </c>
      <c r="E144" s="91">
        <f>VLOOKUP($A144,'Data Vlaue (Cr)'!$C:$FB,75)</f>
        <v>1355</v>
      </c>
      <c r="F144" s="91">
        <f>VLOOKUP($A144,'Data Vlaue (Cr)'!$C:$FB,77)</f>
        <v>-21</v>
      </c>
      <c r="G144" s="92">
        <f>VLOOKUP(A144,'Data Vlaue (Cr)'!C139:CB353,78,0)</f>
        <v>-1.54E-2</v>
      </c>
      <c r="H144" s="91">
        <f>VLOOKUP($A144,'Data Vlaue (Cr)'!$C:$FB,91)</f>
        <v>263</v>
      </c>
      <c r="I144" s="91">
        <f>VLOOKUP($A144,'Data Vlaue (Cr)'!$C:$FB,93)</f>
        <v>-41</v>
      </c>
      <c r="J144" s="92">
        <f>VLOOKUP($A144,'Data Vlaue (Cr)'!$C:$FB,94)</f>
        <v>-0.1351</v>
      </c>
      <c r="K144" s="91">
        <f>VLOOKUP($A144,'Data Vlaue (Cr)'!$C:$FB,95)</f>
        <v>158</v>
      </c>
      <c r="L144" s="91">
        <f>VLOOKUP($A144,'Data Vlaue (Cr)'!$C:$FB,97)</f>
        <v>-3</v>
      </c>
      <c r="M144" s="92">
        <f>VLOOKUP($A144,'Data Vlaue (Cr)'!$C:$FB,98)</f>
        <v>-1.8599999999999998E-2</v>
      </c>
      <c r="N144" s="91">
        <f>VLOOKUP($A144,'Data Vlaue (Cr)'!$C:$FB,79)</f>
        <v>1334</v>
      </c>
      <c r="O144" s="92">
        <f>VLOOKUP($A144,'Data Vlaue (Cr)'!$C:$FB,82)</f>
        <v>-1.61E-2</v>
      </c>
    </row>
    <row r="145" spans="1:15" x14ac:dyDescent="0.25">
      <c r="A145" s="97" t="str">
        <f>'Data Vlaue (Cr)'!C140</f>
        <v>NBCC</v>
      </c>
      <c r="B145" s="142">
        <f>VLOOKUP(A145,'Data Vlaue (Cr)'!C140:CW354,99,0)</f>
        <v>1268</v>
      </c>
      <c r="C145" s="90">
        <f>VLOOKUP(A145,'Data Vlaue (Cr)'!C140:CY354,101,0)</f>
        <v>-20</v>
      </c>
      <c r="D145" s="139">
        <f>VLOOKUP(A145,'Data Vlaue (Cr)'!C140:CZ354,102,0)</f>
        <v>-1.5800000000000002E-2</v>
      </c>
      <c r="E145" s="91">
        <f>VLOOKUP($A145,'Data Vlaue (Cr)'!$C:$FB,75)</f>
        <v>694</v>
      </c>
      <c r="F145" s="91">
        <f>VLOOKUP($A145,'Data Vlaue (Cr)'!$C:$FB,77)</f>
        <v>-11</v>
      </c>
      <c r="G145" s="92">
        <f>VLOOKUP(A145,'Data Vlaue (Cr)'!C140:CB354,78,0)</f>
        <v>-1.55E-2</v>
      </c>
      <c r="H145" s="91">
        <f>VLOOKUP($A145,'Data Vlaue (Cr)'!$C:$FB,91)</f>
        <v>377</v>
      </c>
      <c r="I145" s="91">
        <f>VLOOKUP($A145,'Data Vlaue (Cr)'!$C:$FB,93)</f>
        <v>-12</v>
      </c>
      <c r="J145" s="92">
        <f>VLOOKUP($A145,'Data Vlaue (Cr)'!$C:$FB,94)</f>
        <v>-3.1600000000000003E-2</v>
      </c>
      <c r="K145" s="91">
        <f>VLOOKUP($A145,'Data Vlaue (Cr)'!$C:$FB,95)</f>
        <v>197</v>
      </c>
      <c r="L145" s="91">
        <f>VLOOKUP($A145,'Data Vlaue (Cr)'!$C:$FB,97)</f>
        <v>3</v>
      </c>
      <c r="M145" s="92">
        <f>VLOOKUP($A145,'Data Vlaue (Cr)'!$C:$FB,98)</f>
        <v>1.5100000000000001E-2</v>
      </c>
      <c r="N145" s="91">
        <f>VLOOKUP($A145,'Data Vlaue (Cr)'!$C:$FB,79)</f>
        <v>644</v>
      </c>
      <c r="O145" s="92">
        <f>VLOOKUP($A145,'Data Vlaue (Cr)'!$C:$FB,82)</f>
        <v>-2.35E-2</v>
      </c>
    </row>
    <row r="146" spans="1:15" x14ac:dyDescent="0.25">
      <c r="A146" s="97" t="str">
        <f>'Data Vlaue (Cr)'!C141</f>
        <v>NCC</v>
      </c>
      <c r="B146" s="142">
        <f>VLOOKUP(A146,'Data Vlaue (Cr)'!C141:CW355,99,0)</f>
        <v>666</v>
      </c>
      <c r="C146" s="90">
        <f>VLOOKUP(A146,'Data Vlaue (Cr)'!C141:CY355,101,0)</f>
        <v>0</v>
      </c>
      <c r="D146" s="139">
        <f>VLOOKUP(A146,'Data Vlaue (Cr)'!C141:CZ355,102,0)</f>
        <v>-2.0000000000000001E-4</v>
      </c>
      <c r="E146" s="91">
        <f>VLOOKUP($A146,'Data Vlaue (Cr)'!$C:$FB,75)</f>
        <v>401</v>
      </c>
      <c r="F146" s="91">
        <f>VLOOKUP($A146,'Data Vlaue (Cr)'!$C:$FB,77)</f>
        <v>2</v>
      </c>
      <c r="G146" s="92">
        <f>VLOOKUP(A146,'Data Vlaue (Cr)'!C141:CB355,78,0)</f>
        <v>3.8E-3</v>
      </c>
      <c r="H146" s="91">
        <f>VLOOKUP($A146,'Data Vlaue (Cr)'!$C:$FB,91)</f>
        <v>178</v>
      </c>
      <c r="I146" s="91">
        <f>VLOOKUP($A146,'Data Vlaue (Cr)'!$C:$FB,93)</f>
        <v>1</v>
      </c>
      <c r="J146" s="92">
        <f>VLOOKUP($A146,'Data Vlaue (Cr)'!$C:$FB,94)</f>
        <v>5.1000000000000004E-3</v>
      </c>
      <c r="K146" s="91">
        <f>VLOOKUP($A146,'Data Vlaue (Cr)'!$C:$FB,95)</f>
        <v>87</v>
      </c>
      <c r="L146" s="91">
        <f>VLOOKUP($A146,'Data Vlaue (Cr)'!$C:$FB,97)</f>
        <v>-3</v>
      </c>
      <c r="M146" s="92">
        <f>VLOOKUP($A146,'Data Vlaue (Cr)'!$C:$FB,98)</f>
        <v>-2.8500000000000001E-2</v>
      </c>
      <c r="N146" s="91">
        <f>VLOOKUP($A146,'Data Vlaue (Cr)'!$C:$FB,79)</f>
        <v>372</v>
      </c>
      <c r="O146" s="92">
        <f>VLOOKUP($A146,'Data Vlaue (Cr)'!$C:$FB,82)</f>
        <v>-6.1000000000000004E-3</v>
      </c>
    </row>
    <row r="147" spans="1:15" x14ac:dyDescent="0.25">
      <c r="A147" s="97" t="str">
        <f>'Data Vlaue (Cr)'!C142</f>
        <v>NESTLEIND</v>
      </c>
      <c r="B147" s="142">
        <f>VLOOKUP(A147,'Data Vlaue (Cr)'!C142:CW356,99,0)</f>
        <v>4928</v>
      </c>
      <c r="C147" s="90">
        <f>VLOOKUP(A147,'Data Vlaue (Cr)'!C142:CY356,101,0)</f>
        <v>1214</v>
      </c>
      <c r="D147" s="139">
        <f>VLOOKUP(A147,'Data Vlaue (Cr)'!C142:CZ356,102,0)</f>
        <v>0.32679999999999998</v>
      </c>
      <c r="E147" s="91">
        <f>VLOOKUP($A147,'Data Vlaue (Cr)'!$C:$FB,75)</f>
        <v>2605</v>
      </c>
      <c r="F147" s="91">
        <f>VLOOKUP($A147,'Data Vlaue (Cr)'!$C:$FB,77)</f>
        <v>40</v>
      </c>
      <c r="G147" s="92">
        <f>VLOOKUP(A147,'Data Vlaue (Cr)'!C142:CB356,78,0)</f>
        <v>1.5699999999999999E-2</v>
      </c>
      <c r="H147" s="91">
        <f>VLOOKUP($A147,'Data Vlaue (Cr)'!$C:$FB,91)</f>
        <v>1151</v>
      </c>
      <c r="I147" s="91">
        <f>VLOOKUP($A147,'Data Vlaue (Cr)'!$C:$FB,93)</f>
        <v>498</v>
      </c>
      <c r="J147" s="92">
        <f>VLOOKUP($A147,'Data Vlaue (Cr)'!$C:$FB,94)</f>
        <v>0.76419999999999999</v>
      </c>
      <c r="K147" s="91">
        <f>VLOOKUP($A147,'Data Vlaue (Cr)'!$C:$FB,95)</f>
        <v>1173</v>
      </c>
      <c r="L147" s="91">
        <f>VLOOKUP($A147,'Data Vlaue (Cr)'!$C:$FB,97)</f>
        <v>675</v>
      </c>
      <c r="M147" s="92">
        <f>VLOOKUP($A147,'Data Vlaue (Cr)'!$C:$FB,98)</f>
        <v>1.3559000000000001</v>
      </c>
      <c r="N147" s="91">
        <f>VLOOKUP($A147,'Data Vlaue (Cr)'!$C:$FB,79)</f>
        <v>2350</v>
      </c>
      <c r="O147" s="92">
        <f>VLOOKUP($A147,'Data Vlaue (Cr)'!$C:$FB,82)</f>
        <v>-1E-3</v>
      </c>
    </row>
    <row r="148" spans="1:15" x14ac:dyDescent="0.25">
      <c r="A148" s="97" t="str">
        <f>'Data Vlaue (Cr)'!C143</f>
        <v>NHPC</v>
      </c>
      <c r="B148" s="142">
        <f>VLOOKUP(A148,'Data Vlaue (Cr)'!C143:CW357,99,0)</f>
        <v>663</v>
      </c>
      <c r="C148" s="90">
        <f>VLOOKUP(A148,'Data Vlaue (Cr)'!C143:CY357,101,0)</f>
        <v>6</v>
      </c>
      <c r="D148" s="139">
        <f>VLOOKUP(A148,'Data Vlaue (Cr)'!C143:CZ357,102,0)</f>
        <v>9.7999999999999997E-3</v>
      </c>
      <c r="E148" s="91">
        <f>VLOOKUP($A148,'Data Vlaue (Cr)'!$C:$FB,75)</f>
        <v>409</v>
      </c>
      <c r="F148" s="91">
        <f>VLOOKUP($A148,'Data Vlaue (Cr)'!$C:$FB,77)</f>
        <v>5</v>
      </c>
      <c r="G148" s="92">
        <f>VLOOKUP(A148,'Data Vlaue (Cr)'!C143:CB357,78,0)</f>
        <v>1.1599999999999999E-2</v>
      </c>
      <c r="H148" s="91">
        <f>VLOOKUP($A148,'Data Vlaue (Cr)'!$C:$FB,91)</f>
        <v>171</v>
      </c>
      <c r="I148" s="91">
        <f>VLOOKUP($A148,'Data Vlaue (Cr)'!$C:$FB,93)</f>
        <v>2</v>
      </c>
      <c r="J148" s="92">
        <f>VLOOKUP($A148,'Data Vlaue (Cr)'!$C:$FB,94)</f>
        <v>1.3899999999999999E-2</v>
      </c>
      <c r="K148" s="91">
        <f>VLOOKUP($A148,'Data Vlaue (Cr)'!$C:$FB,95)</f>
        <v>83</v>
      </c>
      <c r="L148" s="91">
        <f>VLOOKUP($A148,'Data Vlaue (Cr)'!$C:$FB,97)</f>
        <v>-1</v>
      </c>
      <c r="M148" s="92">
        <f>VLOOKUP($A148,'Data Vlaue (Cr)'!$C:$FB,98)</f>
        <v>-7.4000000000000003E-3</v>
      </c>
      <c r="N148" s="91">
        <f>VLOOKUP($A148,'Data Vlaue (Cr)'!$C:$FB,79)</f>
        <v>382</v>
      </c>
      <c r="O148" s="92">
        <f>VLOOKUP($A148,'Data Vlaue (Cr)'!$C:$FB,82)</f>
        <v>4.0000000000000001E-3</v>
      </c>
    </row>
    <row r="149" spans="1:15" x14ac:dyDescent="0.25">
      <c r="A149" s="97" t="str">
        <f>'Data Vlaue (Cr)'!C144</f>
        <v>NIFTY</v>
      </c>
      <c r="B149" s="142">
        <f>VLOOKUP(A149,'Data Vlaue (Cr)'!C144:CW358,99,0)</f>
        <v>1346105</v>
      </c>
      <c r="C149" s="90">
        <f>VLOOKUP(A149,'Data Vlaue (Cr)'!C144:CY358,101,0)</f>
        <v>172010</v>
      </c>
      <c r="D149" s="139">
        <f>VLOOKUP(A149,'Data Vlaue (Cr)'!C144:CZ358,102,0)</f>
        <v>0.14649999999999999</v>
      </c>
      <c r="E149" s="91">
        <f>VLOOKUP($A149,'Data Vlaue (Cr)'!$C:$FB,75)</f>
        <v>52189</v>
      </c>
      <c r="F149" s="91">
        <f>VLOOKUP($A149,'Data Vlaue (Cr)'!$C:$FB,77)</f>
        <v>343</v>
      </c>
      <c r="G149" s="92">
        <f>VLOOKUP(A149,'Data Vlaue (Cr)'!C144:CB358,78,0)</f>
        <v>6.6E-3</v>
      </c>
      <c r="H149" s="91">
        <f>VLOOKUP($A149,'Data Vlaue (Cr)'!$C:$FB,91)</f>
        <v>543004</v>
      </c>
      <c r="I149" s="91">
        <f>VLOOKUP($A149,'Data Vlaue (Cr)'!$C:$FB,93)</f>
        <v>35766</v>
      </c>
      <c r="J149" s="92">
        <f>VLOOKUP($A149,'Data Vlaue (Cr)'!$C:$FB,94)</f>
        <v>7.0499999999999993E-2</v>
      </c>
      <c r="K149" s="91">
        <f>VLOOKUP($A149,'Data Vlaue (Cr)'!$C:$FB,95)</f>
        <v>750912</v>
      </c>
      <c r="L149" s="91">
        <f>VLOOKUP($A149,'Data Vlaue (Cr)'!$C:$FB,97)</f>
        <v>135902</v>
      </c>
      <c r="M149" s="92">
        <f>VLOOKUP($A149,'Data Vlaue (Cr)'!$C:$FB,98)</f>
        <v>0.221</v>
      </c>
      <c r="N149" s="91">
        <f>VLOOKUP($A149,'Data Vlaue (Cr)'!$C:$FB,79)</f>
        <v>45557</v>
      </c>
      <c r="O149" s="92">
        <f>VLOOKUP($A149,'Data Vlaue (Cr)'!$C:$FB,82)</f>
        <v>-9.7000000000000003E-3</v>
      </c>
    </row>
    <row r="150" spans="1:15" x14ac:dyDescent="0.25">
      <c r="A150" s="97" t="str">
        <f>'Data Vlaue (Cr)'!C145</f>
        <v>NIFTYNXT50</v>
      </c>
      <c r="B150" s="142">
        <f>VLOOKUP(A150,'Data Vlaue (Cr)'!C145:CW359,99,0)</f>
        <v>267</v>
      </c>
      <c r="C150" s="90">
        <f>VLOOKUP(A150,'Data Vlaue (Cr)'!C145:CY359,101,0)</f>
        <v>13</v>
      </c>
      <c r="D150" s="139">
        <f>VLOOKUP(A150,'Data Vlaue (Cr)'!C145:CZ359,102,0)</f>
        <v>4.9200000000000001E-2</v>
      </c>
      <c r="E150" s="91">
        <f>VLOOKUP($A150,'Data Vlaue (Cr)'!$C:$FB,75)</f>
        <v>166</v>
      </c>
      <c r="F150" s="91">
        <f>VLOOKUP($A150,'Data Vlaue (Cr)'!$C:$FB,77)</f>
        <v>6</v>
      </c>
      <c r="G150" s="92">
        <f>VLOOKUP(A150,'Data Vlaue (Cr)'!C145:CB359,78,0)</f>
        <v>3.9300000000000002E-2</v>
      </c>
      <c r="H150" s="91">
        <f>VLOOKUP($A150,'Data Vlaue (Cr)'!$C:$FB,91)</f>
        <v>54</v>
      </c>
      <c r="I150" s="91">
        <f>VLOOKUP($A150,'Data Vlaue (Cr)'!$C:$FB,93)</f>
        <v>4</v>
      </c>
      <c r="J150" s="92">
        <f>VLOOKUP($A150,'Data Vlaue (Cr)'!$C:$FB,94)</f>
        <v>7.2700000000000001E-2</v>
      </c>
      <c r="K150" s="91">
        <f>VLOOKUP($A150,'Data Vlaue (Cr)'!$C:$FB,95)</f>
        <v>47</v>
      </c>
      <c r="L150" s="91">
        <f>VLOOKUP($A150,'Data Vlaue (Cr)'!$C:$FB,97)</f>
        <v>3</v>
      </c>
      <c r="M150" s="92">
        <f>VLOOKUP($A150,'Data Vlaue (Cr)'!$C:$FB,98)</f>
        <v>5.8099999999999999E-2</v>
      </c>
      <c r="N150" s="91">
        <f>VLOOKUP($A150,'Data Vlaue (Cr)'!$C:$FB,79)</f>
        <v>138</v>
      </c>
      <c r="O150" s="92">
        <f>VLOOKUP($A150,'Data Vlaue (Cr)'!$C:$FB,82)</f>
        <v>2.7099999999999999E-2</v>
      </c>
    </row>
    <row r="151" spans="1:15" x14ac:dyDescent="0.25">
      <c r="A151" s="97" t="str">
        <f>'Data Vlaue (Cr)'!C146</f>
        <v>NMDC</v>
      </c>
      <c r="B151" s="142">
        <f>VLOOKUP(A151,'Data Vlaue (Cr)'!C146:CW360,99,0)</f>
        <v>4164</v>
      </c>
      <c r="C151" s="90">
        <f>VLOOKUP(A151,'Data Vlaue (Cr)'!C146:CY360,101,0)</f>
        <v>117</v>
      </c>
      <c r="D151" s="139">
        <f>VLOOKUP(A151,'Data Vlaue (Cr)'!C146:CZ360,102,0)</f>
        <v>2.8899999999999999E-2</v>
      </c>
      <c r="E151" s="91">
        <f>VLOOKUP($A151,'Data Vlaue (Cr)'!$C:$FB,75)</f>
        <v>2267</v>
      </c>
      <c r="F151" s="91">
        <f>VLOOKUP($A151,'Data Vlaue (Cr)'!$C:$FB,77)</f>
        <v>26</v>
      </c>
      <c r="G151" s="92">
        <f>VLOOKUP(A151,'Data Vlaue (Cr)'!C146:CB360,78,0)</f>
        <v>1.18E-2</v>
      </c>
      <c r="H151" s="91">
        <f>VLOOKUP($A151,'Data Vlaue (Cr)'!$C:$FB,91)</f>
        <v>1233</v>
      </c>
      <c r="I151" s="91">
        <f>VLOOKUP($A151,'Data Vlaue (Cr)'!$C:$FB,93)</f>
        <v>72</v>
      </c>
      <c r="J151" s="92">
        <f>VLOOKUP($A151,'Data Vlaue (Cr)'!$C:$FB,94)</f>
        <v>6.1699999999999998E-2</v>
      </c>
      <c r="K151" s="91">
        <f>VLOOKUP($A151,'Data Vlaue (Cr)'!$C:$FB,95)</f>
        <v>664</v>
      </c>
      <c r="L151" s="91">
        <f>VLOOKUP($A151,'Data Vlaue (Cr)'!$C:$FB,97)</f>
        <v>19</v>
      </c>
      <c r="M151" s="92">
        <f>VLOOKUP($A151,'Data Vlaue (Cr)'!$C:$FB,98)</f>
        <v>2.93E-2</v>
      </c>
      <c r="N151" s="91">
        <f>VLOOKUP($A151,'Data Vlaue (Cr)'!$C:$FB,79)</f>
        <v>2042</v>
      </c>
      <c r="O151" s="92">
        <f>VLOOKUP($A151,'Data Vlaue (Cr)'!$C:$FB,82)</f>
        <v>-2.3E-3</v>
      </c>
    </row>
    <row r="152" spans="1:15" x14ac:dyDescent="0.25">
      <c r="A152" s="97" t="str">
        <f>'Data Vlaue (Cr)'!C147</f>
        <v>NTPC</v>
      </c>
      <c r="B152" s="142">
        <f>VLOOKUP(A152,'Data Vlaue (Cr)'!C147:CW361,99,0)</f>
        <v>5522</v>
      </c>
      <c r="C152" s="90">
        <f>VLOOKUP(A152,'Data Vlaue (Cr)'!C147:CY361,101,0)</f>
        <v>6</v>
      </c>
      <c r="D152" s="139">
        <f>VLOOKUP(A152,'Data Vlaue (Cr)'!C147:CZ361,102,0)</f>
        <v>1.1000000000000001E-3</v>
      </c>
      <c r="E152" s="91">
        <f>VLOOKUP($A152,'Data Vlaue (Cr)'!$C:$FB,75)</f>
        <v>3371</v>
      </c>
      <c r="F152" s="91">
        <f>VLOOKUP($A152,'Data Vlaue (Cr)'!$C:$FB,77)</f>
        <v>5</v>
      </c>
      <c r="G152" s="92">
        <f>VLOOKUP(A152,'Data Vlaue (Cr)'!C147:CB361,78,0)</f>
        <v>1.5E-3</v>
      </c>
      <c r="H152" s="91">
        <f>VLOOKUP($A152,'Data Vlaue (Cr)'!$C:$FB,91)</f>
        <v>1521</v>
      </c>
      <c r="I152" s="91">
        <f>VLOOKUP($A152,'Data Vlaue (Cr)'!$C:$FB,93)</f>
        <v>-33</v>
      </c>
      <c r="J152" s="92">
        <f>VLOOKUP($A152,'Data Vlaue (Cr)'!$C:$FB,94)</f>
        <v>-2.1399999999999999E-2</v>
      </c>
      <c r="K152" s="91">
        <f>VLOOKUP($A152,'Data Vlaue (Cr)'!$C:$FB,95)</f>
        <v>630</v>
      </c>
      <c r="L152" s="91">
        <f>VLOOKUP($A152,'Data Vlaue (Cr)'!$C:$FB,97)</f>
        <v>34</v>
      </c>
      <c r="M152" s="92">
        <f>VLOOKUP($A152,'Data Vlaue (Cr)'!$C:$FB,98)</f>
        <v>5.7299999999999997E-2</v>
      </c>
      <c r="N152" s="91">
        <f>VLOOKUP($A152,'Data Vlaue (Cr)'!$C:$FB,79)</f>
        <v>3144</v>
      </c>
      <c r="O152" s="92">
        <f>VLOOKUP($A152,'Data Vlaue (Cr)'!$C:$FB,82)</f>
        <v>-2.7000000000000001E-3</v>
      </c>
    </row>
    <row r="153" spans="1:15" x14ac:dyDescent="0.25">
      <c r="A153" s="97" t="str">
        <f>'Data Vlaue (Cr)'!C148</f>
        <v>NUVAMA</v>
      </c>
      <c r="B153" s="142">
        <f>VLOOKUP(A153,'Data Vlaue (Cr)'!C148:CW362,99,0)</f>
        <v>614</v>
      </c>
      <c r="C153" s="90">
        <f>VLOOKUP(A153,'Data Vlaue (Cr)'!C148:CY362,101,0)</f>
        <v>-20</v>
      </c>
      <c r="D153" s="139">
        <f>VLOOKUP(A153,'Data Vlaue (Cr)'!C148:CZ362,102,0)</f>
        <v>-3.1099999999999999E-2</v>
      </c>
      <c r="E153" s="91">
        <f>VLOOKUP($A153,'Data Vlaue (Cr)'!$C:$FB,75)</f>
        <v>265</v>
      </c>
      <c r="F153" s="91">
        <f>VLOOKUP($A153,'Data Vlaue (Cr)'!$C:$FB,77)</f>
        <v>-4</v>
      </c>
      <c r="G153" s="92">
        <f>VLOOKUP(A153,'Data Vlaue (Cr)'!C148:CB362,78,0)</f>
        <v>-1.5100000000000001E-2</v>
      </c>
      <c r="H153" s="91">
        <f>VLOOKUP($A153,'Data Vlaue (Cr)'!$C:$FB,91)</f>
        <v>190</v>
      </c>
      <c r="I153" s="91">
        <f>VLOOKUP($A153,'Data Vlaue (Cr)'!$C:$FB,93)</f>
        <v>-3</v>
      </c>
      <c r="J153" s="92">
        <f>VLOOKUP($A153,'Data Vlaue (Cr)'!$C:$FB,94)</f>
        <v>-1.44E-2</v>
      </c>
      <c r="K153" s="91">
        <f>VLOOKUP($A153,'Data Vlaue (Cr)'!$C:$FB,95)</f>
        <v>159</v>
      </c>
      <c r="L153" s="91">
        <f>VLOOKUP($A153,'Data Vlaue (Cr)'!$C:$FB,97)</f>
        <v>-13</v>
      </c>
      <c r="M153" s="92">
        <f>VLOOKUP($A153,'Data Vlaue (Cr)'!$C:$FB,98)</f>
        <v>-7.4999999999999997E-2</v>
      </c>
      <c r="N153" s="91">
        <f>VLOOKUP($A153,'Data Vlaue (Cr)'!$C:$FB,79)</f>
        <v>247</v>
      </c>
      <c r="O153" s="92">
        <f>VLOOKUP($A153,'Data Vlaue (Cr)'!$C:$FB,82)</f>
        <v>-1.8800000000000001E-2</v>
      </c>
    </row>
    <row r="154" spans="1:15" x14ac:dyDescent="0.25">
      <c r="A154" s="97" t="str">
        <f>'Data Vlaue (Cr)'!C149</f>
        <v>NYKAA</v>
      </c>
      <c r="B154" s="142">
        <f>VLOOKUP(A154,'Data Vlaue (Cr)'!C149:CW363,99,0)</f>
        <v>2537</v>
      </c>
      <c r="C154" s="90">
        <f>VLOOKUP(A154,'Data Vlaue (Cr)'!C149:CY363,101,0)</f>
        <v>105</v>
      </c>
      <c r="D154" s="139">
        <f>VLOOKUP(A154,'Data Vlaue (Cr)'!C149:CZ363,102,0)</f>
        <v>4.3400000000000001E-2</v>
      </c>
      <c r="E154" s="91">
        <f>VLOOKUP($A154,'Data Vlaue (Cr)'!$C:$FB,75)</f>
        <v>1878</v>
      </c>
      <c r="F154" s="91">
        <f>VLOOKUP($A154,'Data Vlaue (Cr)'!$C:$FB,77)</f>
        <v>113</v>
      </c>
      <c r="G154" s="92">
        <f>VLOOKUP(A154,'Data Vlaue (Cr)'!C149:CB363,78,0)</f>
        <v>6.3899999999999998E-2</v>
      </c>
      <c r="H154" s="91">
        <f>VLOOKUP($A154,'Data Vlaue (Cr)'!$C:$FB,91)</f>
        <v>382</v>
      </c>
      <c r="I154" s="91">
        <f>VLOOKUP($A154,'Data Vlaue (Cr)'!$C:$FB,93)</f>
        <v>-17</v>
      </c>
      <c r="J154" s="92">
        <f>VLOOKUP($A154,'Data Vlaue (Cr)'!$C:$FB,94)</f>
        <v>-4.36E-2</v>
      </c>
      <c r="K154" s="91">
        <f>VLOOKUP($A154,'Data Vlaue (Cr)'!$C:$FB,95)</f>
        <v>276</v>
      </c>
      <c r="L154" s="91">
        <f>VLOOKUP($A154,'Data Vlaue (Cr)'!$C:$FB,97)</f>
        <v>10</v>
      </c>
      <c r="M154" s="92">
        <f>VLOOKUP($A154,'Data Vlaue (Cr)'!$C:$FB,98)</f>
        <v>3.7999999999999999E-2</v>
      </c>
      <c r="N154" s="91">
        <f>VLOOKUP($A154,'Data Vlaue (Cr)'!$C:$FB,79)</f>
        <v>1690</v>
      </c>
      <c r="O154" s="92">
        <f>VLOOKUP($A154,'Data Vlaue (Cr)'!$C:$FB,82)</f>
        <v>6.4000000000000003E-3</v>
      </c>
    </row>
    <row r="155" spans="1:15" x14ac:dyDescent="0.25">
      <c r="A155" s="97" t="str">
        <f>'Data Vlaue (Cr)'!C150</f>
        <v>OBEROIRLTY</v>
      </c>
      <c r="B155" s="142">
        <f>VLOOKUP(A155,'Data Vlaue (Cr)'!C150:CW364,99,0)</f>
        <v>1556</v>
      </c>
      <c r="C155" s="90">
        <f>VLOOKUP(A155,'Data Vlaue (Cr)'!C150:CY364,101,0)</f>
        <v>176</v>
      </c>
      <c r="D155" s="139">
        <f>VLOOKUP(A155,'Data Vlaue (Cr)'!C150:CZ364,102,0)</f>
        <v>0.12720000000000001</v>
      </c>
      <c r="E155" s="91">
        <f>VLOOKUP($A155,'Data Vlaue (Cr)'!$C:$FB,75)</f>
        <v>800</v>
      </c>
      <c r="F155" s="91">
        <f>VLOOKUP($A155,'Data Vlaue (Cr)'!$C:$FB,77)</f>
        <v>-59</v>
      </c>
      <c r="G155" s="92">
        <f>VLOOKUP(A155,'Data Vlaue (Cr)'!C150:CB364,78,0)</f>
        <v>-6.8900000000000003E-2</v>
      </c>
      <c r="H155" s="91">
        <f>VLOOKUP($A155,'Data Vlaue (Cr)'!$C:$FB,91)</f>
        <v>443</v>
      </c>
      <c r="I155" s="91">
        <f>VLOOKUP($A155,'Data Vlaue (Cr)'!$C:$FB,93)</f>
        <v>113</v>
      </c>
      <c r="J155" s="92">
        <f>VLOOKUP($A155,'Data Vlaue (Cr)'!$C:$FB,94)</f>
        <v>0.34100000000000003</v>
      </c>
      <c r="K155" s="91">
        <f>VLOOKUP($A155,'Data Vlaue (Cr)'!$C:$FB,95)</f>
        <v>312</v>
      </c>
      <c r="L155" s="91">
        <f>VLOOKUP($A155,'Data Vlaue (Cr)'!$C:$FB,97)</f>
        <v>122</v>
      </c>
      <c r="M155" s="92">
        <f>VLOOKUP($A155,'Data Vlaue (Cr)'!$C:$FB,98)</f>
        <v>0.64159999999999995</v>
      </c>
      <c r="N155" s="91">
        <f>VLOOKUP($A155,'Data Vlaue (Cr)'!$C:$FB,79)</f>
        <v>772</v>
      </c>
      <c r="O155" s="92">
        <f>VLOOKUP($A155,'Data Vlaue (Cr)'!$C:$FB,82)</f>
        <v>-7.7700000000000005E-2</v>
      </c>
    </row>
    <row r="156" spans="1:15" x14ac:dyDescent="0.25">
      <c r="A156" s="97" t="str">
        <f>'Data Vlaue (Cr)'!C151</f>
        <v>OFSS</v>
      </c>
      <c r="B156" s="142">
        <f>VLOOKUP(A156,'Data Vlaue (Cr)'!C151:CW365,99,0)</f>
        <v>2140</v>
      </c>
      <c r="C156" s="90">
        <f>VLOOKUP(A156,'Data Vlaue (Cr)'!C151:CY365,101,0)</f>
        <v>88</v>
      </c>
      <c r="D156" s="139">
        <f>VLOOKUP(A156,'Data Vlaue (Cr)'!C151:CZ365,102,0)</f>
        <v>4.3099999999999999E-2</v>
      </c>
      <c r="E156" s="91">
        <f>VLOOKUP($A156,'Data Vlaue (Cr)'!$C:$FB,75)</f>
        <v>1073</v>
      </c>
      <c r="F156" s="91">
        <f>VLOOKUP($A156,'Data Vlaue (Cr)'!$C:$FB,77)</f>
        <v>39</v>
      </c>
      <c r="G156" s="92">
        <f>VLOOKUP(A156,'Data Vlaue (Cr)'!C151:CB365,78,0)</f>
        <v>3.8100000000000002E-2</v>
      </c>
      <c r="H156" s="91">
        <f>VLOOKUP($A156,'Data Vlaue (Cr)'!$C:$FB,91)</f>
        <v>694</v>
      </c>
      <c r="I156" s="91">
        <f>VLOOKUP($A156,'Data Vlaue (Cr)'!$C:$FB,93)</f>
        <v>31</v>
      </c>
      <c r="J156" s="92">
        <f>VLOOKUP($A156,'Data Vlaue (Cr)'!$C:$FB,94)</f>
        <v>4.6399999999999997E-2</v>
      </c>
      <c r="K156" s="91">
        <f>VLOOKUP($A156,'Data Vlaue (Cr)'!$C:$FB,95)</f>
        <v>373</v>
      </c>
      <c r="L156" s="91">
        <f>VLOOKUP($A156,'Data Vlaue (Cr)'!$C:$FB,97)</f>
        <v>18</v>
      </c>
      <c r="M156" s="92">
        <f>VLOOKUP($A156,'Data Vlaue (Cr)'!$C:$FB,98)</f>
        <v>5.1900000000000002E-2</v>
      </c>
      <c r="N156" s="91">
        <f>VLOOKUP($A156,'Data Vlaue (Cr)'!$C:$FB,79)</f>
        <v>1001</v>
      </c>
      <c r="O156" s="92">
        <f>VLOOKUP($A156,'Data Vlaue (Cr)'!$C:$FB,82)</f>
        <v>2.86E-2</v>
      </c>
    </row>
    <row r="157" spans="1:15" x14ac:dyDescent="0.25">
      <c r="A157" s="97" t="str">
        <f>'Data Vlaue (Cr)'!C152</f>
        <v>OIL</v>
      </c>
      <c r="B157" s="142">
        <f>VLOOKUP(A157,'Data Vlaue (Cr)'!C152:CW366,99,0)</f>
        <v>854</v>
      </c>
      <c r="C157" s="90">
        <f>VLOOKUP(A157,'Data Vlaue (Cr)'!C152:CY366,101,0)</f>
        <v>15</v>
      </c>
      <c r="D157" s="139">
        <f>VLOOKUP(A157,'Data Vlaue (Cr)'!C152:CZ366,102,0)</f>
        <v>1.8100000000000002E-2</v>
      </c>
      <c r="E157" s="91">
        <f>VLOOKUP($A157,'Data Vlaue (Cr)'!$C:$FB,75)</f>
        <v>450</v>
      </c>
      <c r="F157" s="91">
        <f>VLOOKUP($A157,'Data Vlaue (Cr)'!$C:$FB,77)</f>
        <v>7</v>
      </c>
      <c r="G157" s="92">
        <f>VLOOKUP(A157,'Data Vlaue (Cr)'!C152:CB366,78,0)</f>
        <v>1.6199999999999999E-2</v>
      </c>
      <c r="H157" s="91">
        <f>VLOOKUP($A157,'Data Vlaue (Cr)'!$C:$FB,91)</f>
        <v>263</v>
      </c>
      <c r="I157" s="91">
        <f>VLOOKUP($A157,'Data Vlaue (Cr)'!$C:$FB,93)</f>
        <v>6</v>
      </c>
      <c r="J157" s="92">
        <f>VLOOKUP($A157,'Data Vlaue (Cr)'!$C:$FB,94)</f>
        <v>2.41E-2</v>
      </c>
      <c r="K157" s="91">
        <f>VLOOKUP($A157,'Data Vlaue (Cr)'!$C:$FB,95)</f>
        <v>141</v>
      </c>
      <c r="L157" s="91">
        <f>VLOOKUP($A157,'Data Vlaue (Cr)'!$C:$FB,97)</f>
        <v>2</v>
      </c>
      <c r="M157" s="92">
        <f>VLOOKUP($A157,'Data Vlaue (Cr)'!$C:$FB,98)</f>
        <v>1.2999999999999999E-2</v>
      </c>
      <c r="N157" s="91">
        <f>VLOOKUP($A157,'Data Vlaue (Cr)'!$C:$FB,79)</f>
        <v>422</v>
      </c>
      <c r="O157" s="92">
        <f>VLOOKUP($A157,'Data Vlaue (Cr)'!$C:$FB,82)</f>
        <v>7.7999999999999996E-3</v>
      </c>
    </row>
    <row r="158" spans="1:15" x14ac:dyDescent="0.25">
      <c r="A158" s="97" t="str">
        <f>'Data Vlaue (Cr)'!C153</f>
        <v>ONGC</v>
      </c>
      <c r="B158" s="142">
        <f>VLOOKUP(A158,'Data Vlaue (Cr)'!C153:CW367,99,0)</f>
        <v>4379</v>
      </c>
      <c r="C158" s="90">
        <f>VLOOKUP(A158,'Data Vlaue (Cr)'!C153:CY367,101,0)</f>
        <v>36</v>
      </c>
      <c r="D158" s="139">
        <f>VLOOKUP(A158,'Data Vlaue (Cr)'!C153:CZ367,102,0)</f>
        <v>8.2000000000000007E-3</v>
      </c>
      <c r="E158" s="91">
        <f>VLOOKUP($A158,'Data Vlaue (Cr)'!$C:$FB,75)</f>
        <v>2423</v>
      </c>
      <c r="F158" s="91">
        <f>VLOOKUP($A158,'Data Vlaue (Cr)'!$C:$FB,77)</f>
        <v>13</v>
      </c>
      <c r="G158" s="92">
        <f>VLOOKUP(A158,'Data Vlaue (Cr)'!C153:CB367,78,0)</f>
        <v>5.3E-3</v>
      </c>
      <c r="H158" s="91">
        <f>VLOOKUP($A158,'Data Vlaue (Cr)'!$C:$FB,91)</f>
        <v>1385</v>
      </c>
      <c r="I158" s="91">
        <f>VLOOKUP($A158,'Data Vlaue (Cr)'!$C:$FB,93)</f>
        <v>4</v>
      </c>
      <c r="J158" s="92">
        <f>VLOOKUP($A158,'Data Vlaue (Cr)'!$C:$FB,94)</f>
        <v>2.8E-3</v>
      </c>
      <c r="K158" s="91">
        <f>VLOOKUP($A158,'Data Vlaue (Cr)'!$C:$FB,95)</f>
        <v>572</v>
      </c>
      <c r="L158" s="91">
        <f>VLOOKUP($A158,'Data Vlaue (Cr)'!$C:$FB,97)</f>
        <v>19</v>
      </c>
      <c r="M158" s="92">
        <f>VLOOKUP($A158,'Data Vlaue (Cr)'!$C:$FB,98)</f>
        <v>3.4099999999999998E-2</v>
      </c>
      <c r="N158" s="91">
        <f>VLOOKUP($A158,'Data Vlaue (Cr)'!$C:$FB,79)</f>
        <v>2328</v>
      </c>
      <c r="O158" s="92">
        <f>VLOOKUP($A158,'Data Vlaue (Cr)'!$C:$FB,82)</f>
        <v>2.0000000000000001E-4</v>
      </c>
    </row>
    <row r="159" spans="1:15" x14ac:dyDescent="0.25">
      <c r="A159" s="97" t="str">
        <f>'Data Vlaue (Cr)'!C154</f>
        <v>PAGEIND</v>
      </c>
      <c r="B159" s="142">
        <f>VLOOKUP(A159,'Data Vlaue (Cr)'!C154:CW368,99,0)</f>
        <v>1698</v>
      </c>
      <c r="C159" s="90">
        <f>VLOOKUP(A159,'Data Vlaue (Cr)'!C154:CY368,101,0)</f>
        <v>59</v>
      </c>
      <c r="D159" s="139">
        <f>VLOOKUP(A159,'Data Vlaue (Cr)'!C154:CZ368,102,0)</f>
        <v>3.5999999999999997E-2</v>
      </c>
      <c r="E159" s="91">
        <f>VLOOKUP($A159,'Data Vlaue (Cr)'!$C:$FB,75)</f>
        <v>998</v>
      </c>
      <c r="F159" s="91">
        <f>VLOOKUP($A159,'Data Vlaue (Cr)'!$C:$FB,77)</f>
        <v>-12</v>
      </c>
      <c r="G159" s="92">
        <f>VLOOKUP(A159,'Data Vlaue (Cr)'!C154:CB368,78,0)</f>
        <v>-1.21E-2</v>
      </c>
      <c r="H159" s="91">
        <f>VLOOKUP($A159,'Data Vlaue (Cr)'!$C:$FB,91)</f>
        <v>493</v>
      </c>
      <c r="I159" s="91">
        <f>VLOOKUP($A159,'Data Vlaue (Cr)'!$C:$FB,93)</f>
        <v>18</v>
      </c>
      <c r="J159" s="92">
        <f>VLOOKUP($A159,'Data Vlaue (Cr)'!$C:$FB,94)</f>
        <v>3.8800000000000001E-2</v>
      </c>
      <c r="K159" s="91">
        <f>VLOOKUP($A159,'Data Vlaue (Cr)'!$C:$FB,95)</f>
        <v>208</v>
      </c>
      <c r="L159" s="91">
        <f>VLOOKUP($A159,'Data Vlaue (Cr)'!$C:$FB,97)</f>
        <v>53</v>
      </c>
      <c r="M159" s="92">
        <f>VLOOKUP($A159,'Data Vlaue (Cr)'!$C:$FB,98)</f>
        <v>0.34089999999999998</v>
      </c>
      <c r="N159" s="91">
        <f>VLOOKUP($A159,'Data Vlaue (Cr)'!$C:$FB,79)</f>
        <v>891</v>
      </c>
      <c r="O159" s="92">
        <f>VLOOKUP($A159,'Data Vlaue (Cr)'!$C:$FB,82)</f>
        <v>-2.87E-2</v>
      </c>
    </row>
    <row r="160" spans="1:15" x14ac:dyDescent="0.25">
      <c r="A160" s="97" t="str">
        <f>'Data Vlaue (Cr)'!C155</f>
        <v>PATANJALI</v>
      </c>
      <c r="B160" s="142">
        <f>VLOOKUP(A160,'Data Vlaue (Cr)'!C155:CW369,99,0)</f>
        <v>2508</v>
      </c>
      <c r="C160" s="90">
        <f>VLOOKUP(A160,'Data Vlaue (Cr)'!C155:CY369,101,0)</f>
        <v>-5</v>
      </c>
      <c r="D160" s="139">
        <f>VLOOKUP(A160,'Data Vlaue (Cr)'!C155:CZ369,102,0)</f>
        <v>-2.0999999999999999E-3</v>
      </c>
      <c r="E160" s="91">
        <f>VLOOKUP($A160,'Data Vlaue (Cr)'!$C:$FB,75)</f>
        <v>1941</v>
      </c>
      <c r="F160" s="91">
        <f>VLOOKUP($A160,'Data Vlaue (Cr)'!$C:$FB,77)</f>
        <v>-4</v>
      </c>
      <c r="G160" s="92">
        <f>VLOOKUP(A160,'Data Vlaue (Cr)'!C155:CB369,78,0)</f>
        <v>-2.2000000000000001E-3</v>
      </c>
      <c r="H160" s="91">
        <f>VLOOKUP($A160,'Data Vlaue (Cr)'!$C:$FB,91)</f>
        <v>399</v>
      </c>
      <c r="I160" s="91">
        <f>VLOOKUP($A160,'Data Vlaue (Cr)'!$C:$FB,93)</f>
        <v>1</v>
      </c>
      <c r="J160" s="92">
        <f>VLOOKUP($A160,'Data Vlaue (Cr)'!$C:$FB,94)</f>
        <v>2E-3</v>
      </c>
      <c r="K160" s="91">
        <f>VLOOKUP($A160,'Data Vlaue (Cr)'!$C:$FB,95)</f>
        <v>167</v>
      </c>
      <c r="L160" s="91">
        <f>VLOOKUP($A160,'Data Vlaue (Cr)'!$C:$FB,97)</f>
        <v>-2</v>
      </c>
      <c r="M160" s="92">
        <f>VLOOKUP($A160,'Data Vlaue (Cr)'!$C:$FB,98)</f>
        <v>-1.0699999999999999E-2</v>
      </c>
      <c r="N160" s="91">
        <f>VLOOKUP($A160,'Data Vlaue (Cr)'!$C:$FB,79)</f>
        <v>1919</v>
      </c>
      <c r="O160" s="92">
        <f>VLOOKUP($A160,'Data Vlaue (Cr)'!$C:$FB,82)</f>
        <v>-4.0000000000000001E-3</v>
      </c>
    </row>
    <row r="161" spans="1:15" x14ac:dyDescent="0.25">
      <c r="A161" s="97" t="str">
        <f>'Data Vlaue (Cr)'!C156</f>
        <v>PAYTM</v>
      </c>
      <c r="B161" s="142">
        <f>VLOOKUP(A161,'Data Vlaue (Cr)'!C156:CW370,99,0)</f>
        <v>4764</v>
      </c>
      <c r="C161" s="90">
        <f>VLOOKUP(A161,'Data Vlaue (Cr)'!C156:CY370,101,0)</f>
        <v>-57</v>
      </c>
      <c r="D161" s="139">
        <f>VLOOKUP(A161,'Data Vlaue (Cr)'!C156:CZ370,102,0)</f>
        <v>-1.18E-2</v>
      </c>
      <c r="E161" s="91">
        <f>VLOOKUP($A161,'Data Vlaue (Cr)'!$C:$FB,75)</f>
        <v>3105</v>
      </c>
      <c r="F161" s="91">
        <f>VLOOKUP($A161,'Data Vlaue (Cr)'!$C:$FB,77)</f>
        <v>-127</v>
      </c>
      <c r="G161" s="92">
        <f>VLOOKUP(A161,'Data Vlaue (Cr)'!C156:CB370,78,0)</f>
        <v>-3.9199999999999999E-2</v>
      </c>
      <c r="H161" s="91">
        <f>VLOOKUP($A161,'Data Vlaue (Cr)'!$C:$FB,91)</f>
        <v>929</v>
      </c>
      <c r="I161" s="91">
        <f>VLOOKUP($A161,'Data Vlaue (Cr)'!$C:$FB,93)</f>
        <v>13</v>
      </c>
      <c r="J161" s="92">
        <f>VLOOKUP($A161,'Data Vlaue (Cr)'!$C:$FB,94)</f>
        <v>1.47E-2</v>
      </c>
      <c r="K161" s="91">
        <f>VLOOKUP($A161,'Data Vlaue (Cr)'!$C:$FB,95)</f>
        <v>730</v>
      </c>
      <c r="L161" s="91">
        <f>VLOOKUP($A161,'Data Vlaue (Cr)'!$C:$FB,97)</f>
        <v>56</v>
      </c>
      <c r="M161" s="92">
        <f>VLOOKUP($A161,'Data Vlaue (Cr)'!$C:$FB,98)</f>
        <v>8.3599999999999994E-2</v>
      </c>
      <c r="N161" s="91">
        <f>VLOOKUP($A161,'Data Vlaue (Cr)'!$C:$FB,79)</f>
        <v>3016</v>
      </c>
      <c r="O161" s="92">
        <f>VLOOKUP($A161,'Data Vlaue (Cr)'!$C:$FB,82)</f>
        <v>-4.6399999999999997E-2</v>
      </c>
    </row>
    <row r="162" spans="1:15" x14ac:dyDescent="0.25">
      <c r="A162" s="97" t="str">
        <f>'Data Vlaue (Cr)'!C157</f>
        <v>PERSISTENT</v>
      </c>
      <c r="B162" s="142">
        <f>VLOOKUP(A162,'Data Vlaue (Cr)'!C157:CW371,99,0)</f>
        <v>3842</v>
      </c>
      <c r="C162" s="90">
        <f>VLOOKUP(A162,'Data Vlaue (Cr)'!C157:CY371,101,0)</f>
        <v>-169</v>
      </c>
      <c r="D162" s="139">
        <f>VLOOKUP(A162,'Data Vlaue (Cr)'!C157:CZ371,102,0)</f>
        <v>-4.2200000000000001E-2</v>
      </c>
      <c r="E162" s="91">
        <f>VLOOKUP($A162,'Data Vlaue (Cr)'!$C:$FB,75)</f>
        <v>1881</v>
      </c>
      <c r="F162" s="91">
        <f>VLOOKUP($A162,'Data Vlaue (Cr)'!$C:$FB,77)</f>
        <v>-39</v>
      </c>
      <c r="G162" s="92">
        <f>VLOOKUP(A162,'Data Vlaue (Cr)'!C157:CB371,78,0)</f>
        <v>-2.01E-2</v>
      </c>
      <c r="H162" s="91">
        <f>VLOOKUP($A162,'Data Vlaue (Cr)'!$C:$FB,91)</f>
        <v>852</v>
      </c>
      <c r="I162" s="91">
        <f>VLOOKUP($A162,'Data Vlaue (Cr)'!$C:$FB,93)</f>
        <v>-134</v>
      </c>
      <c r="J162" s="92">
        <f>VLOOKUP($A162,'Data Vlaue (Cr)'!$C:$FB,94)</f>
        <v>-0.1361</v>
      </c>
      <c r="K162" s="91">
        <f>VLOOKUP($A162,'Data Vlaue (Cr)'!$C:$FB,95)</f>
        <v>1109</v>
      </c>
      <c r="L162" s="91">
        <f>VLOOKUP($A162,'Data Vlaue (Cr)'!$C:$FB,97)</f>
        <v>4</v>
      </c>
      <c r="M162" s="92">
        <f>VLOOKUP($A162,'Data Vlaue (Cr)'!$C:$FB,98)</f>
        <v>3.3E-3</v>
      </c>
      <c r="N162" s="91">
        <f>VLOOKUP($A162,'Data Vlaue (Cr)'!$C:$FB,79)</f>
        <v>1811</v>
      </c>
      <c r="O162" s="92">
        <f>VLOOKUP($A162,'Data Vlaue (Cr)'!$C:$FB,82)</f>
        <v>-2.7400000000000001E-2</v>
      </c>
    </row>
    <row r="163" spans="1:15" x14ac:dyDescent="0.25">
      <c r="A163" s="97" t="str">
        <f>'Data Vlaue (Cr)'!C158</f>
        <v>PETRONET</v>
      </c>
      <c r="B163" s="142">
        <f>VLOOKUP(A163,'Data Vlaue (Cr)'!C158:CW372,99,0)</f>
        <v>2172</v>
      </c>
      <c r="C163" s="90">
        <f>VLOOKUP(A163,'Data Vlaue (Cr)'!C158:CY372,101,0)</f>
        <v>41</v>
      </c>
      <c r="D163" s="139">
        <f>VLOOKUP(A163,'Data Vlaue (Cr)'!C158:CZ372,102,0)</f>
        <v>1.9300000000000001E-2</v>
      </c>
      <c r="E163" s="91">
        <f>VLOOKUP($A163,'Data Vlaue (Cr)'!$C:$FB,75)</f>
        <v>1274</v>
      </c>
      <c r="F163" s="91">
        <f>VLOOKUP($A163,'Data Vlaue (Cr)'!$C:$FB,77)</f>
        <v>44</v>
      </c>
      <c r="G163" s="92">
        <f>VLOOKUP(A163,'Data Vlaue (Cr)'!C158:CB372,78,0)</f>
        <v>3.5700000000000003E-2</v>
      </c>
      <c r="H163" s="91">
        <f>VLOOKUP($A163,'Data Vlaue (Cr)'!$C:$FB,91)</f>
        <v>454</v>
      </c>
      <c r="I163" s="91">
        <f>VLOOKUP($A163,'Data Vlaue (Cr)'!$C:$FB,93)</f>
        <v>-6</v>
      </c>
      <c r="J163" s="92">
        <f>VLOOKUP($A163,'Data Vlaue (Cr)'!$C:$FB,94)</f>
        <v>-1.2500000000000001E-2</v>
      </c>
      <c r="K163" s="91">
        <f>VLOOKUP($A163,'Data Vlaue (Cr)'!$C:$FB,95)</f>
        <v>444</v>
      </c>
      <c r="L163" s="91">
        <f>VLOOKUP($A163,'Data Vlaue (Cr)'!$C:$FB,97)</f>
        <v>3</v>
      </c>
      <c r="M163" s="92">
        <f>VLOOKUP($A163,'Data Vlaue (Cr)'!$C:$FB,98)</f>
        <v>6.6E-3</v>
      </c>
      <c r="N163" s="91">
        <f>VLOOKUP($A163,'Data Vlaue (Cr)'!$C:$FB,79)</f>
        <v>1145</v>
      </c>
      <c r="O163" s="92">
        <f>VLOOKUP($A163,'Data Vlaue (Cr)'!$C:$FB,82)</f>
        <v>-2.4799999999999999E-2</v>
      </c>
    </row>
    <row r="164" spans="1:15" x14ac:dyDescent="0.25">
      <c r="A164" s="97" t="str">
        <f>'Data Vlaue (Cr)'!C159</f>
        <v>PFC</v>
      </c>
      <c r="B164" s="142">
        <f>VLOOKUP(A164,'Data Vlaue (Cr)'!C159:CW373,99,0)</f>
        <v>4195</v>
      </c>
      <c r="C164" s="90">
        <f>VLOOKUP(A164,'Data Vlaue (Cr)'!C159:CY373,101,0)</f>
        <v>175</v>
      </c>
      <c r="D164" s="139">
        <f>VLOOKUP(A164,'Data Vlaue (Cr)'!C159:CZ373,102,0)</f>
        <v>4.3700000000000003E-2</v>
      </c>
      <c r="E164" s="91">
        <f>VLOOKUP($A164,'Data Vlaue (Cr)'!$C:$FB,75)</f>
        <v>2323</v>
      </c>
      <c r="F164" s="91">
        <f>VLOOKUP($A164,'Data Vlaue (Cr)'!$C:$FB,77)</f>
        <v>49</v>
      </c>
      <c r="G164" s="92">
        <f>VLOOKUP(A164,'Data Vlaue (Cr)'!C159:CB373,78,0)</f>
        <v>2.1399999999999999E-2</v>
      </c>
      <c r="H164" s="91">
        <f>VLOOKUP($A164,'Data Vlaue (Cr)'!$C:$FB,91)</f>
        <v>1067</v>
      </c>
      <c r="I164" s="91">
        <f>VLOOKUP($A164,'Data Vlaue (Cr)'!$C:$FB,93)</f>
        <v>90</v>
      </c>
      <c r="J164" s="92">
        <f>VLOOKUP($A164,'Data Vlaue (Cr)'!$C:$FB,94)</f>
        <v>9.2600000000000002E-2</v>
      </c>
      <c r="K164" s="91">
        <f>VLOOKUP($A164,'Data Vlaue (Cr)'!$C:$FB,95)</f>
        <v>804</v>
      </c>
      <c r="L164" s="91">
        <f>VLOOKUP($A164,'Data Vlaue (Cr)'!$C:$FB,97)</f>
        <v>36</v>
      </c>
      <c r="M164" s="92">
        <f>VLOOKUP($A164,'Data Vlaue (Cr)'!$C:$FB,98)</f>
        <v>4.7300000000000002E-2</v>
      </c>
      <c r="N164" s="91">
        <f>VLOOKUP($A164,'Data Vlaue (Cr)'!$C:$FB,79)</f>
        <v>2021</v>
      </c>
      <c r="O164" s="92">
        <f>VLOOKUP($A164,'Data Vlaue (Cr)'!$C:$FB,82)</f>
        <v>-2.3E-3</v>
      </c>
    </row>
    <row r="165" spans="1:15" x14ac:dyDescent="0.25">
      <c r="A165" s="97" t="str">
        <f>'Data Vlaue (Cr)'!C160</f>
        <v>PGEL</v>
      </c>
      <c r="B165" s="142">
        <f>VLOOKUP(A165,'Data Vlaue (Cr)'!C160:CW374,99,0)</f>
        <v>1216</v>
      </c>
      <c r="C165" s="90">
        <f>VLOOKUP(A165,'Data Vlaue (Cr)'!C160:CY374,101,0)</f>
        <v>-12</v>
      </c>
      <c r="D165" s="139">
        <f>VLOOKUP(A165,'Data Vlaue (Cr)'!C160:CZ374,102,0)</f>
        <v>-0.01</v>
      </c>
      <c r="E165" s="91">
        <f>VLOOKUP($A165,'Data Vlaue (Cr)'!$C:$FB,75)</f>
        <v>533</v>
      </c>
      <c r="F165" s="91">
        <f>VLOOKUP($A165,'Data Vlaue (Cr)'!$C:$FB,77)</f>
        <v>-13</v>
      </c>
      <c r="G165" s="92">
        <f>VLOOKUP(A165,'Data Vlaue (Cr)'!C160:CB374,78,0)</f>
        <v>-2.4E-2</v>
      </c>
      <c r="H165" s="91">
        <f>VLOOKUP($A165,'Data Vlaue (Cr)'!$C:$FB,91)</f>
        <v>397</v>
      </c>
      <c r="I165" s="91">
        <f>VLOOKUP($A165,'Data Vlaue (Cr)'!$C:$FB,93)</f>
        <v>-2</v>
      </c>
      <c r="J165" s="92">
        <f>VLOOKUP($A165,'Data Vlaue (Cr)'!$C:$FB,94)</f>
        <v>-4.0000000000000001E-3</v>
      </c>
      <c r="K165" s="91">
        <f>VLOOKUP($A165,'Data Vlaue (Cr)'!$C:$FB,95)</f>
        <v>287</v>
      </c>
      <c r="L165" s="91">
        <f>VLOOKUP($A165,'Data Vlaue (Cr)'!$C:$FB,97)</f>
        <v>2</v>
      </c>
      <c r="M165" s="92">
        <f>VLOOKUP($A165,'Data Vlaue (Cr)'!$C:$FB,98)</f>
        <v>8.3999999999999995E-3</v>
      </c>
      <c r="N165" s="91">
        <f>VLOOKUP($A165,'Data Vlaue (Cr)'!$C:$FB,79)</f>
        <v>501</v>
      </c>
      <c r="O165" s="92">
        <f>VLOOKUP($A165,'Data Vlaue (Cr)'!$C:$FB,82)</f>
        <v>-2.9399999999999999E-2</v>
      </c>
    </row>
    <row r="166" spans="1:15" x14ac:dyDescent="0.25">
      <c r="A166" s="97" t="str">
        <f>'Data Vlaue (Cr)'!C161</f>
        <v>PHOENIXLTD</v>
      </c>
      <c r="B166" s="142">
        <f>VLOOKUP(A166,'Data Vlaue (Cr)'!C161:CW375,99,0)</f>
        <v>1183</v>
      </c>
      <c r="C166" s="90">
        <f>VLOOKUP(A166,'Data Vlaue (Cr)'!C161:CY375,101,0)</f>
        <v>173</v>
      </c>
      <c r="D166" s="139">
        <f>VLOOKUP(A166,'Data Vlaue (Cr)'!C161:CZ375,102,0)</f>
        <v>0.1714</v>
      </c>
      <c r="E166" s="91">
        <f>VLOOKUP($A166,'Data Vlaue (Cr)'!$C:$FB,75)</f>
        <v>724</v>
      </c>
      <c r="F166" s="91">
        <f>VLOOKUP($A166,'Data Vlaue (Cr)'!$C:$FB,77)</f>
        <v>56</v>
      </c>
      <c r="G166" s="92">
        <f>VLOOKUP(A166,'Data Vlaue (Cr)'!C161:CB375,78,0)</f>
        <v>8.4500000000000006E-2</v>
      </c>
      <c r="H166" s="91">
        <f>VLOOKUP($A166,'Data Vlaue (Cr)'!$C:$FB,91)</f>
        <v>264</v>
      </c>
      <c r="I166" s="91">
        <f>VLOOKUP($A166,'Data Vlaue (Cr)'!$C:$FB,93)</f>
        <v>71</v>
      </c>
      <c r="J166" s="92">
        <f>VLOOKUP($A166,'Data Vlaue (Cr)'!$C:$FB,94)</f>
        <v>0.36509999999999998</v>
      </c>
      <c r="K166" s="91">
        <f>VLOOKUP($A166,'Data Vlaue (Cr)'!$C:$FB,95)</f>
        <v>195</v>
      </c>
      <c r="L166" s="91">
        <f>VLOOKUP($A166,'Data Vlaue (Cr)'!$C:$FB,97)</f>
        <v>46</v>
      </c>
      <c r="M166" s="92">
        <f>VLOOKUP($A166,'Data Vlaue (Cr)'!$C:$FB,98)</f>
        <v>0.30990000000000001</v>
      </c>
      <c r="N166" s="91">
        <f>VLOOKUP($A166,'Data Vlaue (Cr)'!$C:$FB,79)</f>
        <v>706</v>
      </c>
      <c r="O166" s="92">
        <f>VLOOKUP($A166,'Data Vlaue (Cr)'!$C:$FB,82)</f>
        <v>8.3900000000000002E-2</v>
      </c>
    </row>
    <row r="167" spans="1:15" x14ac:dyDescent="0.25">
      <c r="A167" s="97" t="str">
        <f>'Data Vlaue (Cr)'!C162</f>
        <v>PIDILITIND</v>
      </c>
      <c r="B167" s="142">
        <f>VLOOKUP(A167,'Data Vlaue (Cr)'!C162:CW376,99,0)</f>
        <v>1836</v>
      </c>
      <c r="C167" s="90">
        <f>VLOOKUP(A167,'Data Vlaue (Cr)'!C162:CY376,101,0)</f>
        <v>12</v>
      </c>
      <c r="D167" s="139">
        <f>VLOOKUP(A167,'Data Vlaue (Cr)'!C162:CZ376,102,0)</f>
        <v>6.3E-3</v>
      </c>
      <c r="E167" s="91">
        <f>VLOOKUP($A167,'Data Vlaue (Cr)'!$C:$FB,75)</f>
        <v>1467</v>
      </c>
      <c r="F167" s="91">
        <f>VLOOKUP($A167,'Data Vlaue (Cr)'!$C:$FB,77)</f>
        <v>-18</v>
      </c>
      <c r="G167" s="92">
        <f>VLOOKUP(A167,'Data Vlaue (Cr)'!C162:CB376,78,0)</f>
        <v>-1.21E-2</v>
      </c>
      <c r="H167" s="91">
        <f>VLOOKUP($A167,'Data Vlaue (Cr)'!$C:$FB,91)</f>
        <v>224</v>
      </c>
      <c r="I167" s="91">
        <f>VLOOKUP($A167,'Data Vlaue (Cr)'!$C:$FB,93)</f>
        <v>14</v>
      </c>
      <c r="J167" s="92">
        <f>VLOOKUP($A167,'Data Vlaue (Cr)'!$C:$FB,94)</f>
        <v>6.7699999999999996E-2</v>
      </c>
      <c r="K167" s="91">
        <f>VLOOKUP($A167,'Data Vlaue (Cr)'!$C:$FB,95)</f>
        <v>145</v>
      </c>
      <c r="L167" s="91">
        <f>VLOOKUP($A167,'Data Vlaue (Cr)'!$C:$FB,97)</f>
        <v>15</v>
      </c>
      <c r="M167" s="92">
        <f>VLOOKUP($A167,'Data Vlaue (Cr)'!$C:$FB,98)</f>
        <v>0.1182</v>
      </c>
      <c r="N167" s="91">
        <f>VLOOKUP($A167,'Data Vlaue (Cr)'!$C:$FB,79)</f>
        <v>1446</v>
      </c>
      <c r="O167" s="92">
        <f>VLOOKUP($A167,'Data Vlaue (Cr)'!$C:$FB,82)</f>
        <v>-1.3599999999999999E-2</v>
      </c>
    </row>
    <row r="168" spans="1:15" x14ac:dyDescent="0.25">
      <c r="A168" s="97" t="str">
        <f>'Data Vlaue (Cr)'!C163</f>
        <v>PIIND</v>
      </c>
      <c r="B168" s="142">
        <f>VLOOKUP(A168,'Data Vlaue (Cr)'!C163:CW377,99,0)</f>
        <v>958</v>
      </c>
      <c r="C168" s="90">
        <f>VLOOKUP(A168,'Data Vlaue (Cr)'!C163:CY377,101,0)</f>
        <v>14</v>
      </c>
      <c r="D168" s="139">
        <f>VLOOKUP(A168,'Data Vlaue (Cr)'!C163:CZ377,102,0)</f>
        <v>1.5299999999999999E-2</v>
      </c>
      <c r="E168" s="91">
        <f>VLOOKUP($A168,'Data Vlaue (Cr)'!$C:$FB,75)</f>
        <v>663</v>
      </c>
      <c r="F168" s="91">
        <f>VLOOKUP($A168,'Data Vlaue (Cr)'!$C:$FB,77)</f>
        <v>4</v>
      </c>
      <c r="G168" s="92">
        <f>VLOOKUP(A168,'Data Vlaue (Cr)'!C163:CB377,78,0)</f>
        <v>6.7999999999999996E-3</v>
      </c>
      <c r="H168" s="91">
        <f>VLOOKUP($A168,'Data Vlaue (Cr)'!$C:$FB,91)</f>
        <v>187</v>
      </c>
      <c r="I168" s="91">
        <f>VLOOKUP($A168,'Data Vlaue (Cr)'!$C:$FB,93)</f>
        <v>10</v>
      </c>
      <c r="J168" s="92">
        <f>VLOOKUP($A168,'Data Vlaue (Cr)'!$C:$FB,94)</f>
        <v>5.5899999999999998E-2</v>
      </c>
      <c r="K168" s="91">
        <f>VLOOKUP($A168,'Data Vlaue (Cr)'!$C:$FB,95)</f>
        <v>108</v>
      </c>
      <c r="L168" s="91">
        <f>VLOOKUP($A168,'Data Vlaue (Cr)'!$C:$FB,97)</f>
        <v>0</v>
      </c>
      <c r="M168" s="92">
        <f>VLOOKUP($A168,'Data Vlaue (Cr)'!$C:$FB,98)</f>
        <v>5.9999999999999995E-4</v>
      </c>
      <c r="N168" s="91">
        <f>VLOOKUP($A168,'Data Vlaue (Cr)'!$C:$FB,79)</f>
        <v>644</v>
      </c>
      <c r="O168" s="92">
        <f>VLOOKUP($A168,'Data Vlaue (Cr)'!$C:$FB,82)</f>
        <v>4.4000000000000003E-3</v>
      </c>
    </row>
    <row r="169" spans="1:15" x14ac:dyDescent="0.25">
      <c r="A169" s="97" t="str">
        <f>'Data Vlaue (Cr)'!C164</f>
        <v>PNB</v>
      </c>
      <c r="B169" s="142">
        <f>VLOOKUP(A169,'Data Vlaue (Cr)'!C164:CW378,99,0)</f>
        <v>5583</v>
      </c>
      <c r="C169" s="90">
        <f>VLOOKUP(A169,'Data Vlaue (Cr)'!C164:CY378,101,0)</f>
        <v>6</v>
      </c>
      <c r="D169" s="139">
        <f>VLOOKUP(A169,'Data Vlaue (Cr)'!C164:CZ378,102,0)</f>
        <v>1.1000000000000001E-3</v>
      </c>
      <c r="E169" s="91">
        <f>VLOOKUP($A169,'Data Vlaue (Cr)'!$C:$FB,75)</f>
        <v>2899</v>
      </c>
      <c r="F169" s="91">
        <f>VLOOKUP($A169,'Data Vlaue (Cr)'!$C:$FB,77)</f>
        <v>-101</v>
      </c>
      <c r="G169" s="92">
        <f>VLOOKUP(A169,'Data Vlaue (Cr)'!C164:CB378,78,0)</f>
        <v>-3.3700000000000001E-2</v>
      </c>
      <c r="H169" s="91">
        <f>VLOOKUP($A169,'Data Vlaue (Cr)'!$C:$FB,91)</f>
        <v>1488</v>
      </c>
      <c r="I169" s="91">
        <f>VLOOKUP($A169,'Data Vlaue (Cr)'!$C:$FB,93)</f>
        <v>62</v>
      </c>
      <c r="J169" s="92">
        <f>VLOOKUP($A169,'Data Vlaue (Cr)'!$C:$FB,94)</f>
        <v>4.3400000000000001E-2</v>
      </c>
      <c r="K169" s="91">
        <f>VLOOKUP($A169,'Data Vlaue (Cr)'!$C:$FB,95)</f>
        <v>1196</v>
      </c>
      <c r="L169" s="91">
        <f>VLOOKUP($A169,'Data Vlaue (Cr)'!$C:$FB,97)</f>
        <v>46</v>
      </c>
      <c r="M169" s="92">
        <f>VLOOKUP($A169,'Data Vlaue (Cr)'!$C:$FB,98)</f>
        <v>3.9699999999999999E-2</v>
      </c>
      <c r="N169" s="91">
        <f>VLOOKUP($A169,'Data Vlaue (Cr)'!$C:$FB,79)</f>
        <v>2613</v>
      </c>
      <c r="O169" s="92">
        <f>VLOOKUP($A169,'Data Vlaue (Cr)'!$C:$FB,82)</f>
        <v>-4.9000000000000002E-2</v>
      </c>
    </row>
    <row r="170" spans="1:15" x14ac:dyDescent="0.25">
      <c r="A170" s="97" t="str">
        <f>'Data Vlaue (Cr)'!C165</f>
        <v>PNBHOUSING</v>
      </c>
      <c r="B170" s="142">
        <f>VLOOKUP(A170,'Data Vlaue (Cr)'!C165:CW379,99,0)</f>
        <v>1991</v>
      </c>
      <c r="C170" s="90">
        <f>VLOOKUP(A170,'Data Vlaue (Cr)'!C165:CY379,101,0)</f>
        <v>13</v>
      </c>
      <c r="D170" s="139">
        <f>VLOOKUP(A170,'Data Vlaue (Cr)'!C165:CZ379,102,0)</f>
        <v>6.4999999999999997E-3</v>
      </c>
      <c r="E170" s="91">
        <f>VLOOKUP($A170,'Data Vlaue (Cr)'!$C:$FB,75)</f>
        <v>1277</v>
      </c>
      <c r="F170" s="91">
        <f>VLOOKUP($A170,'Data Vlaue (Cr)'!$C:$FB,77)</f>
        <v>-4</v>
      </c>
      <c r="G170" s="92">
        <f>VLOOKUP(A170,'Data Vlaue (Cr)'!C165:CB379,78,0)</f>
        <v>-3.0999999999999999E-3</v>
      </c>
      <c r="H170" s="91">
        <f>VLOOKUP($A170,'Data Vlaue (Cr)'!$C:$FB,91)</f>
        <v>417</v>
      </c>
      <c r="I170" s="91">
        <f>VLOOKUP($A170,'Data Vlaue (Cr)'!$C:$FB,93)</f>
        <v>10</v>
      </c>
      <c r="J170" s="92">
        <f>VLOOKUP($A170,'Data Vlaue (Cr)'!$C:$FB,94)</f>
        <v>2.5700000000000001E-2</v>
      </c>
      <c r="K170" s="91">
        <f>VLOOKUP($A170,'Data Vlaue (Cr)'!$C:$FB,95)</f>
        <v>297</v>
      </c>
      <c r="L170" s="91">
        <f>VLOOKUP($A170,'Data Vlaue (Cr)'!$C:$FB,97)</f>
        <v>6</v>
      </c>
      <c r="M170" s="92">
        <f>VLOOKUP($A170,'Data Vlaue (Cr)'!$C:$FB,98)</f>
        <v>2.1700000000000001E-2</v>
      </c>
      <c r="N170" s="91">
        <f>VLOOKUP($A170,'Data Vlaue (Cr)'!$C:$FB,79)</f>
        <v>1217</v>
      </c>
      <c r="O170" s="92">
        <f>VLOOKUP($A170,'Data Vlaue (Cr)'!$C:$FB,82)</f>
        <v>-1.4800000000000001E-2</v>
      </c>
    </row>
    <row r="171" spans="1:15" x14ac:dyDescent="0.25">
      <c r="A171" s="97" t="str">
        <f>'Data Vlaue (Cr)'!C166</f>
        <v>POLICYBZR</v>
      </c>
      <c r="B171" s="142">
        <f>VLOOKUP(A171,'Data Vlaue (Cr)'!C166:CW380,99,0)</f>
        <v>1625</v>
      </c>
      <c r="C171" s="90">
        <f>VLOOKUP(A171,'Data Vlaue (Cr)'!C166:CY380,101,0)</f>
        <v>20</v>
      </c>
      <c r="D171" s="139">
        <f>VLOOKUP(A171,'Data Vlaue (Cr)'!C166:CZ380,102,0)</f>
        <v>1.2500000000000001E-2</v>
      </c>
      <c r="E171" s="91">
        <f>VLOOKUP($A171,'Data Vlaue (Cr)'!$C:$FB,75)</f>
        <v>1240</v>
      </c>
      <c r="F171" s="91">
        <f>VLOOKUP($A171,'Data Vlaue (Cr)'!$C:$FB,77)</f>
        <v>35</v>
      </c>
      <c r="G171" s="92">
        <f>VLOOKUP(A171,'Data Vlaue (Cr)'!C166:CB380,78,0)</f>
        <v>2.9100000000000001E-2</v>
      </c>
      <c r="H171" s="91">
        <f>VLOOKUP($A171,'Data Vlaue (Cr)'!$C:$FB,91)</f>
        <v>228</v>
      </c>
      <c r="I171" s="91">
        <f>VLOOKUP($A171,'Data Vlaue (Cr)'!$C:$FB,93)</f>
        <v>-14</v>
      </c>
      <c r="J171" s="92">
        <f>VLOOKUP($A171,'Data Vlaue (Cr)'!$C:$FB,94)</f>
        <v>-5.9299999999999999E-2</v>
      </c>
      <c r="K171" s="91">
        <f>VLOOKUP($A171,'Data Vlaue (Cr)'!$C:$FB,95)</f>
        <v>156</v>
      </c>
      <c r="L171" s="91">
        <f>VLOOKUP($A171,'Data Vlaue (Cr)'!$C:$FB,97)</f>
        <v>-1</v>
      </c>
      <c r="M171" s="92">
        <f>VLOOKUP($A171,'Data Vlaue (Cr)'!$C:$FB,98)</f>
        <v>-4.1999999999999997E-3</v>
      </c>
      <c r="N171" s="91">
        <f>VLOOKUP($A171,'Data Vlaue (Cr)'!$C:$FB,79)</f>
        <v>1215</v>
      </c>
      <c r="O171" s="92">
        <f>VLOOKUP($A171,'Data Vlaue (Cr)'!$C:$FB,82)</f>
        <v>2.23E-2</v>
      </c>
    </row>
    <row r="172" spans="1:15" x14ac:dyDescent="0.25">
      <c r="A172" s="97" t="str">
        <f>'Data Vlaue (Cr)'!C167</f>
        <v>POLYCAB</v>
      </c>
      <c r="B172" s="142">
        <f>VLOOKUP(A172,'Data Vlaue (Cr)'!C167:CW381,99,0)</f>
        <v>2649</v>
      </c>
      <c r="C172" s="90">
        <f>VLOOKUP(A172,'Data Vlaue (Cr)'!C167:CY381,101,0)</f>
        <v>141</v>
      </c>
      <c r="D172" s="139">
        <f>VLOOKUP(A172,'Data Vlaue (Cr)'!C167:CZ381,102,0)</f>
        <v>5.6300000000000003E-2</v>
      </c>
      <c r="E172" s="91">
        <f>VLOOKUP($A172,'Data Vlaue (Cr)'!$C:$FB,75)</f>
        <v>1407</v>
      </c>
      <c r="F172" s="91">
        <f>VLOOKUP($A172,'Data Vlaue (Cr)'!$C:$FB,77)</f>
        <v>59</v>
      </c>
      <c r="G172" s="92">
        <f>VLOOKUP(A172,'Data Vlaue (Cr)'!C167:CB381,78,0)</f>
        <v>4.3799999999999999E-2</v>
      </c>
      <c r="H172" s="91">
        <f>VLOOKUP($A172,'Data Vlaue (Cr)'!$C:$FB,91)</f>
        <v>829</v>
      </c>
      <c r="I172" s="91">
        <f>VLOOKUP($A172,'Data Vlaue (Cr)'!$C:$FB,93)</f>
        <v>71</v>
      </c>
      <c r="J172" s="92">
        <f>VLOOKUP($A172,'Data Vlaue (Cr)'!$C:$FB,94)</f>
        <v>9.3399999999999997E-2</v>
      </c>
      <c r="K172" s="91">
        <f>VLOOKUP($A172,'Data Vlaue (Cr)'!$C:$FB,95)</f>
        <v>413</v>
      </c>
      <c r="L172" s="91">
        <f>VLOOKUP($A172,'Data Vlaue (Cr)'!$C:$FB,97)</f>
        <v>11</v>
      </c>
      <c r="M172" s="92">
        <f>VLOOKUP($A172,'Data Vlaue (Cr)'!$C:$FB,98)</f>
        <v>2.8400000000000002E-2</v>
      </c>
      <c r="N172" s="91">
        <f>VLOOKUP($A172,'Data Vlaue (Cr)'!$C:$FB,79)</f>
        <v>1365</v>
      </c>
      <c r="O172" s="92">
        <f>VLOOKUP($A172,'Data Vlaue (Cr)'!$C:$FB,82)</f>
        <v>4.2000000000000003E-2</v>
      </c>
    </row>
    <row r="173" spans="1:15" x14ac:dyDescent="0.25">
      <c r="A173" s="97" t="str">
        <f>'Data Vlaue (Cr)'!C168</f>
        <v>POWERGRID</v>
      </c>
      <c r="B173" s="142">
        <f>VLOOKUP(A173,'Data Vlaue (Cr)'!C168:CW382,99,0)</f>
        <v>3444</v>
      </c>
      <c r="C173" s="90">
        <f>VLOOKUP(A173,'Data Vlaue (Cr)'!C168:CY382,101,0)</f>
        <v>-1</v>
      </c>
      <c r="D173" s="139">
        <f>VLOOKUP(A173,'Data Vlaue (Cr)'!C168:CZ382,102,0)</f>
        <v>-4.0000000000000002E-4</v>
      </c>
      <c r="E173" s="91">
        <f>VLOOKUP($A173,'Data Vlaue (Cr)'!$C:$FB,75)</f>
        <v>2140</v>
      </c>
      <c r="F173" s="91">
        <f>VLOOKUP($A173,'Data Vlaue (Cr)'!$C:$FB,77)</f>
        <v>16</v>
      </c>
      <c r="G173" s="92">
        <f>VLOOKUP(A173,'Data Vlaue (Cr)'!C168:CB382,78,0)</f>
        <v>7.6E-3</v>
      </c>
      <c r="H173" s="91">
        <f>VLOOKUP($A173,'Data Vlaue (Cr)'!$C:$FB,91)</f>
        <v>864</v>
      </c>
      <c r="I173" s="91">
        <f>VLOOKUP($A173,'Data Vlaue (Cr)'!$C:$FB,93)</f>
        <v>-10</v>
      </c>
      <c r="J173" s="92">
        <f>VLOOKUP($A173,'Data Vlaue (Cr)'!$C:$FB,94)</f>
        <v>-1.12E-2</v>
      </c>
      <c r="K173" s="91">
        <f>VLOOKUP($A173,'Data Vlaue (Cr)'!$C:$FB,95)</f>
        <v>440</v>
      </c>
      <c r="L173" s="91">
        <f>VLOOKUP($A173,'Data Vlaue (Cr)'!$C:$FB,97)</f>
        <v>-8</v>
      </c>
      <c r="M173" s="92">
        <f>VLOOKUP($A173,'Data Vlaue (Cr)'!$C:$FB,98)</f>
        <v>-1.72E-2</v>
      </c>
      <c r="N173" s="91">
        <f>VLOOKUP($A173,'Data Vlaue (Cr)'!$C:$FB,79)</f>
        <v>2019</v>
      </c>
      <c r="O173" s="92">
        <f>VLOOKUP($A173,'Data Vlaue (Cr)'!$C:$FB,82)</f>
        <v>-2E-3</v>
      </c>
    </row>
    <row r="174" spans="1:15" x14ac:dyDescent="0.25">
      <c r="A174" s="97" t="str">
        <f>'Data Vlaue (Cr)'!C169</f>
        <v>POWERINDIA</v>
      </c>
      <c r="B174" s="142">
        <f>VLOOKUP(A174,'Data Vlaue (Cr)'!C169:CW383,99,0)</f>
        <v>310</v>
      </c>
      <c r="C174" s="90">
        <f>VLOOKUP(A174,'Data Vlaue (Cr)'!C169:CY383,101,0)</f>
        <v>25</v>
      </c>
      <c r="D174" s="139">
        <f>VLOOKUP(A174,'Data Vlaue (Cr)'!C169:CZ383,102,0)</f>
        <v>8.8599999999999998E-2</v>
      </c>
      <c r="E174" s="91">
        <f>VLOOKUP($A174,'Data Vlaue (Cr)'!$C:$FB,75)</f>
        <v>167</v>
      </c>
      <c r="F174" s="91">
        <f>VLOOKUP($A174,'Data Vlaue (Cr)'!$C:$FB,77)</f>
        <v>21</v>
      </c>
      <c r="G174" s="92">
        <f>VLOOKUP(A174,'Data Vlaue (Cr)'!C169:CB383,78,0)</f>
        <v>0.1474</v>
      </c>
      <c r="H174" s="91">
        <f>VLOOKUP($A174,'Data Vlaue (Cr)'!$C:$FB,91)</f>
        <v>116</v>
      </c>
      <c r="I174" s="91">
        <f>VLOOKUP($A174,'Data Vlaue (Cr)'!$C:$FB,93)</f>
        <v>3</v>
      </c>
      <c r="J174" s="92">
        <f>VLOOKUP($A174,'Data Vlaue (Cr)'!$C:$FB,94)</f>
        <v>2.2700000000000001E-2</v>
      </c>
      <c r="K174" s="91">
        <f>VLOOKUP($A174,'Data Vlaue (Cr)'!$C:$FB,95)</f>
        <v>27</v>
      </c>
      <c r="L174" s="91">
        <f>VLOOKUP($A174,'Data Vlaue (Cr)'!$C:$FB,97)</f>
        <v>1</v>
      </c>
      <c r="M174" s="92">
        <f>VLOOKUP($A174,'Data Vlaue (Cr)'!$C:$FB,98)</f>
        <v>4.7500000000000001E-2</v>
      </c>
      <c r="N174" s="91">
        <f>VLOOKUP($A174,'Data Vlaue (Cr)'!$C:$FB,79)</f>
        <v>163</v>
      </c>
      <c r="O174" s="92">
        <f>VLOOKUP($A174,'Data Vlaue (Cr)'!$C:$FB,82)</f>
        <v>0.1515</v>
      </c>
    </row>
    <row r="175" spans="1:15" x14ac:dyDescent="0.25">
      <c r="A175" s="97" t="str">
        <f>'Data Vlaue (Cr)'!C170</f>
        <v>PPLPHARMA</v>
      </c>
      <c r="B175" s="142">
        <f>VLOOKUP(A175,'Data Vlaue (Cr)'!C170:CW384,99,0)</f>
        <v>887</v>
      </c>
      <c r="C175" s="90">
        <f>VLOOKUP(A175,'Data Vlaue (Cr)'!C170:CY384,101,0)</f>
        <v>-5</v>
      </c>
      <c r="D175" s="139">
        <f>VLOOKUP(A175,'Data Vlaue (Cr)'!C170:CZ384,102,0)</f>
        <v>-6.1000000000000004E-3</v>
      </c>
      <c r="E175" s="91">
        <f>VLOOKUP($A175,'Data Vlaue (Cr)'!$C:$FB,75)</f>
        <v>436</v>
      </c>
      <c r="F175" s="91">
        <f>VLOOKUP($A175,'Data Vlaue (Cr)'!$C:$FB,77)</f>
        <v>-9</v>
      </c>
      <c r="G175" s="92">
        <f>VLOOKUP(A175,'Data Vlaue (Cr)'!C170:CB384,78,0)</f>
        <v>-2.0299999999999999E-2</v>
      </c>
      <c r="H175" s="91">
        <f>VLOOKUP($A175,'Data Vlaue (Cr)'!$C:$FB,91)</f>
        <v>291</v>
      </c>
      <c r="I175" s="91">
        <f>VLOOKUP($A175,'Data Vlaue (Cr)'!$C:$FB,93)</f>
        <v>4</v>
      </c>
      <c r="J175" s="92">
        <f>VLOOKUP($A175,'Data Vlaue (Cr)'!$C:$FB,94)</f>
        <v>1.2800000000000001E-2</v>
      </c>
      <c r="K175" s="91">
        <f>VLOOKUP($A175,'Data Vlaue (Cr)'!$C:$FB,95)</f>
        <v>160</v>
      </c>
      <c r="L175" s="91">
        <f>VLOOKUP($A175,'Data Vlaue (Cr)'!$C:$FB,97)</f>
        <v>0</v>
      </c>
      <c r="M175" s="92">
        <f>VLOOKUP($A175,'Data Vlaue (Cr)'!$C:$FB,98)</f>
        <v>-8.9999999999999998E-4</v>
      </c>
      <c r="N175" s="91">
        <f>VLOOKUP($A175,'Data Vlaue (Cr)'!$C:$FB,79)</f>
        <v>394</v>
      </c>
      <c r="O175" s="92">
        <f>VLOOKUP($A175,'Data Vlaue (Cr)'!$C:$FB,82)</f>
        <v>-4.0899999999999999E-2</v>
      </c>
    </row>
    <row r="176" spans="1:15" x14ac:dyDescent="0.25">
      <c r="A176" s="97" t="str">
        <f>'Data Vlaue (Cr)'!C171</f>
        <v>PRESTIGE</v>
      </c>
      <c r="B176" s="142">
        <f>VLOOKUP(A176,'Data Vlaue (Cr)'!C171:CW385,99,0)</f>
        <v>1429</v>
      </c>
      <c r="C176" s="90">
        <f>VLOOKUP(A176,'Data Vlaue (Cr)'!C171:CY385,101,0)</f>
        <v>6</v>
      </c>
      <c r="D176" s="139">
        <f>VLOOKUP(A176,'Data Vlaue (Cr)'!C171:CZ385,102,0)</f>
        <v>4.3E-3</v>
      </c>
      <c r="E176" s="91">
        <f>VLOOKUP($A176,'Data Vlaue (Cr)'!$C:$FB,75)</f>
        <v>792</v>
      </c>
      <c r="F176" s="91">
        <f>VLOOKUP($A176,'Data Vlaue (Cr)'!$C:$FB,77)</f>
        <v>15</v>
      </c>
      <c r="G176" s="92">
        <f>VLOOKUP(A176,'Data Vlaue (Cr)'!C171:CB385,78,0)</f>
        <v>1.9800000000000002E-2</v>
      </c>
      <c r="H176" s="91">
        <f>VLOOKUP($A176,'Data Vlaue (Cr)'!$C:$FB,91)</f>
        <v>362</v>
      </c>
      <c r="I176" s="91">
        <f>VLOOKUP($A176,'Data Vlaue (Cr)'!$C:$FB,93)</f>
        <v>-17</v>
      </c>
      <c r="J176" s="92">
        <f>VLOOKUP($A176,'Data Vlaue (Cr)'!$C:$FB,94)</f>
        <v>-4.5600000000000002E-2</v>
      </c>
      <c r="K176" s="91">
        <f>VLOOKUP($A176,'Data Vlaue (Cr)'!$C:$FB,95)</f>
        <v>274</v>
      </c>
      <c r="L176" s="91">
        <f>VLOOKUP($A176,'Data Vlaue (Cr)'!$C:$FB,97)</f>
        <v>8</v>
      </c>
      <c r="M176" s="92">
        <f>VLOOKUP($A176,'Data Vlaue (Cr)'!$C:$FB,98)</f>
        <v>3.0200000000000001E-2</v>
      </c>
      <c r="N176" s="91">
        <f>VLOOKUP($A176,'Data Vlaue (Cr)'!$C:$FB,79)</f>
        <v>769</v>
      </c>
      <c r="O176" s="92">
        <f>VLOOKUP($A176,'Data Vlaue (Cr)'!$C:$FB,82)</f>
        <v>1.6400000000000001E-2</v>
      </c>
    </row>
    <row r="177" spans="1:15" x14ac:dyDescent="0.25">
      <c r="A177" s="97" t="str">
        <f>'Data Vlaue (Cr)'!C172</f>
        <v>RBLBANK</v>
      </c>
      <c r="B177" s="142">
        <f>VLOOKUP(A177,'Data Vlaue (Cr)'!C172:CW386,99,0)</f>
        <v>3640</v>
      </c>
      <c r="C177" s="90">
        <f>VLOOKUP(A177,'Data Vlaue (Cr)'!C172:CY386,101,0)</f>
        <v>588</v>
      </c>
      <c r="D177" s="139">
        <f>VLOOKUP(A177,'Data Vlaue (Cr)'!C172:CZ386,102,0)</f>
        <v>0.19259999999999999</v>
      </c>
      <c r="E177" s="91">
        <f>VLOOKUP($A177,'Data Vlaue (Cr)'!$C:$FB,75)</f>
        <v>2532</v>
      </c>
      <c r="F177" s="91">
        <f>VLOOKUP($A177,'Data Vlaue (Cr)'!$C:$FB,77)</f>
        <v>367</v>
      </c>
      <c r="G177" s="92">
        <f>VLOOKUP(A177,'Data Vlaue (Cr)'!C172:CB386,78,0)</f>
        <v>0.16980000000000001</v>
      </c>
      <c r="H177" s="91">
        <f>VLOOKUP($A177,'Data Vlaue (Cr)'!$C:$FB,91)</f>
        <v>726</v>
      </c>
      <c r="I177" s="91">
        <f>VLOOKUP($A177,'Data Vlaue (Cr)'!$C:$FB,93)</f>
        <v>111</v>
      </c>
      <c r="J177" s="92">
        <f>VLOOKUP($A177,'Data Vlaue (Cr)'!$C:$FB,94)</f>
        <v>0.18049999999999999</v>
      </c>
      <c r="K177" s="91">
        <f>VLOOKUP($A177,'Data Vlaue (Cr)'!$C:$FB,95)</f>
        <v>382</v>
      </c>
      <c r="L177" s="91">
        <f>VLOOKUP($A177,'Data Vlaue (Cr)'!$C:$FB,97)</f>
        <v>109</v>
      </c>
      <c r="M177" s="92">
        <f>VLOOKUP($A177,'Data Vlaue (Cr)'!$C:$FB,98)</f>
        <v>0.4017</v>
      </c>
      <c r="N177" s="91">
        <f>VLOOKUP($A177,'Data Vlaue (Cr)'!$C:$FB,79)</f>
        <v>1836</v>
      </c>
      <c r="O177" s="92">
        <f>VLOOKUP($A177,'Data Vlaue (Cr)'!$C:$FB,82)</f>
        <v>-0.1106</v>
      </c>
    </row>
    <row r="178" spans="1:15" x14ac:dyDescent="0.25">
      <c r="A178" s="97" t="str">
        <f>'Data Vlaue (Cr)'!C173</f>
        <v>RECLTD</v>
      </c>
      <c r="B178" s="142">
        <f>VLOOKUP(A178,'Data Vlaue (Cr)'!C173:CW387,99,0)</f>
        <v>5471</v>
      </c>
      <c r="C178" s="90">
        <f>VLOOKUP(A178,'Data Vlaue (Cr)'!C173:CY387,101,0)</f>
        <v>27</v>
      </c>
      <c r="D178" s="139">
        <f>VLOOKUP(A178,'Data Vlaue (Cr)'!C173:CZ387,102,0)</f>
        <v>4.8999999999999998E-3</v>
      </c>
      <c r="E178" s="91">
        <f>VLOOKUP($A178,'Data Vlaue (Cr)'!$C:$FB,75)</f>
        <v>3516</v>
      </c>
      <c r="F178" s="91">
        <f>VLOOKUP($A178,'Data Vlaue (Cr)'!$C:$FB,77)</f>
        <v>33</v>
      </c>
      <c r="G178" s="92">
        <f>VLOOKUP(A178,'Data Vlaue (Cr)'!C173:CB387,78,0)</f>
        <v>9.4999999999999998E-3</v>
      </c>
      <c r="H178" s="91">
        <f>VLOOKUP($A178,'Data Vlaue (Cr)'!$C:$FB,91)</f>
        <v>1032</v>
      </c>
      <c r="I178" s="91">
        <f>VLOOKUP($A178,'Data Vlaue (Cr)'!$C:$FB,93)</f>
        <v>-8</v>
      </c>
      <c r="J178" s="92">
        <f>VLOOKUP($A178,'Data Vlaue (Cr)'!$C:$FB,94)</f>
        <v>-7.7000000000000002E-3</v>
      </c>
      <c r="K178" s="91">
        <f>VLOOKUP($A178,'Data Vlaue (Cr)'!$C:$FB,95)</f>
        <v>923</v>
      </c>
      <c r="L178" s="91">
        <f>VLOOKUP($A178,'Data Vlaue (Cr)'!$C:$FB,97)</f>
        <v>2</v>
      </c>
      <c r="M178" s="92">
        <f>VLOOKUP($A178,'Data Vlaue (Cr)'!$C:$FB,98)</f>
        <v>1.8E-3</v>
      </c>
      <c r="N178" s="91">
        <f>VLOOKUP($A178,'Data Vlaue (Cr)'!$C:$FB,79)</f>
        <v>2668</v>
      </c>
      <c r="O178" s="92">
        <f>VLOOKUP($A178,'Data Vlaue (Cr)'!$C:$FB,82)</f>
        <v>1.5E-3</v>
      </c>
    </row>
    <row r="179" spans="1:15" x14ac:dyDescent="0.25">
      <c r="A179" s="97" t="str">
        <f>'Data Vlaue (Cr)'!C174</f>
        <v>RELIANCE</v>
      </c>
      <c r="B179" s="142">
        <f>VLOOKUP(A179,'Data Vlaue (Cr)'!C174:CW388,99,0)</f>
        <v>32471</v>
      </c>
      <c r="C179" s="90">
        <f>VLOOKUP(A179,'Data Vlaue (Cr)'!C174:CY388,101,0)</f>
        <v>-349</v>
      </c>
      <c r="D179" s="139">
        <f>VLOOKUP(A179,'Data Vlaue (Cr)'!C174:CZ388,102,0)</f>
        <v>-1.06E-2</v>
      </c>
      <c r="E179" s="91">
        <f>VLOOKUP($A179,'Data Vlaue (Cr)'!$C:$FB,75)</f>
        <v>19336</v>
      </c>
      <c r="F179" s="91">
        <f>VLOOKUP($A179,'Data Vlaue (Cr)'!$C:$FB,77)</f>
        <v>31</v>
      </c>
      <c r="G179" s="92">
        <f>VLOOKUP(A179,'Data Vlaue (Cr)'!C174:CB388,78,0)</f>
        <v>1.6000000000000001E-3</v>
      </c>
      <c r="H179" s="91">
        <f>VLOOKUP($A179,'Data Vlaue (Cr)'!$C:$FB,91)</f>
        <v>7778</v>
      </c>
      <c r="I179" s="91">
        <f>VLOOKUP($A179,'Data Vlaue (Cr)'!$C:$FB,93)</f>
        <v>-348</v>
      </c>
      <c r="J179" s="92">
        <f>VLOOKUP($A179,'Data Vlaue (Cr)'!$C:$FB,94)</f>
        <v>-4.2799999999999998E-2</v>
      </c>
      <c r="K179" s="91">
        <f>VLOOKUP($A179,'Data Vlaue (Cr)'!$C:$FB,95)</f>
        <v>5358</v>
      </c>
      <c r="L179" s="91">
        <f>VLOOKUP($A179,'Data Vlaue (Cr)'!$C:$FB,97)</f>
        <v>-32</v>
      </c>
      <c r="M179" s="92">
        <f>VLOOKUP($A179,'Data Vlaue (Cr)'!$C:$FB,98)</f>
        <v>-5.8999999999999999E-3</v>
      </c>
      <c r="N179" s="91">
        <f>VLOOKUP($A179,'Data Vlaue (Cr)'!$C:$FB,79)</f>
        <v>17064</v>
      </c>
      <c r="O179" s="92">
        <f>VLOOKUP($A179,'Data Vlaue (Cr)'!$C:$FB,82)</f>
        <v>-1.21E-2</v>
      </c>
    </row>
    <row r="180" spans="1:15" x14ac:dyDescent="0.25">
      <c r="A180" s="97" t="str">
        <f>'Data Vlaue (Cr)'!C175</f>
        <v>RVNL</v>
      </c>
      <c r="B180" s="142">
        <f>VLOOKUP(A180,'Data Vlaue (Cr)'!C175:CW389,99,0)</f>
        <v>2357</v>
      </c>
      <c r="C180" s="90">
        <f>VLOOKUP(A180,'Data Vlaue (Cr)'!C175:CY389,101,0)</f>
        <v>24</v>
      </c>
      <c r="D180" s="139">
        <f>VLOOKUP(A180,'Data Vlaue (Cr)'!C175:CZ389,102,0)</f>
        <v>1.04E-2</v>
      </c>
      <c r="E180" s="91">
        <f>VLOOKUP($A180,'Data Vlaue (Cr)'!$C:$FB,75)</f>
        <v>1356</v>
      </c>
      <c r="F180" s="91">
        <f>VLOOKUP($A180,'Data Vlaue (Cr)'!$C:$FB,77)</f>
        <v>15</v>
      </c>
      <c r="G180" s="92">
        <f>VLOOKUP(A180,'Data Vlaue (Cr)'!C175:CB389,78,0)</f>
        <v>1.0999999999999999E-2</v>
      </c>
      <c r="H180" s="91">
        <f>VLOOKUP($A180,'Data Vlaue (Cr)'!$C:$FB,91)</f>
        <v>730</v>
      </c>
      <c r="I180" s="91">
        <f>VLOOKUP($A180,'Data Vlaue (Cr)'!$C:$FB,93)</f>
        <v>10</v>
      </c>
      <c r="J180" s="92">
        <f>VLOOKUP($A180,'Data Vlaue (Cr)'!$C:$FB,94)</f>
        <v>1.3599999999999999E-2</v>
      </c>
      <c r="K180" s="91">
        <f>VLOOKUP($A180,'Data Vlaue (Cr)'!$C:$FB,95)</f>
        <v>271</v>
      </c>
      <c r="L180" s="91">
        <f>VLOOKUP($A180,'Data Vlaue (Cr)'!$C:$FB,97)</f>
        <v>0</v>
      </c>
      <c r="M180" s="92">
        <f>VLOOKUP($A180,'Data Vlaue (Cr)'!$C:$FB,98)</f>
        <v>-1.5E-3</v>
      </c>
      <c r="N180" s="91">
        <f>VLOOKUP($A180,'Data Vlaue (Cr)'!$C:$FB,79)</f>
        <v>1073</v>
      </c>
      <c r="O180" s="92">
        <f>VLOOKUP($A180,'Data Vlaue (Cr)'!$C:$FB,82)</f>
        <v>-1.1599999999999999E-2</v>
      </c>
    </row>
    <row r="181" spans="1:15" x14ac:dyDescent="0.25">
      <c r="A181" s="97" t="str">
        <f>'Data Vlaue (Cr)'!C176</f>
        <v>SAIL</v>
      </c>
      <c r="B181" s="142">
        <f>VLOOKUP(A181,'Data Vlaue (Cr)'!C176:CW390,99,0)</f>
        <v>4023</v>
      </c>
      <c r="C181" s="90">
        <f>VLOOKUP(A181,'Data Vlaue (Cr)'!C176:CY390,101,0)</f>
        <v>-58</v>
      </c>
      <c r="D181" s="139">
        <f>VLOOKUP(A181,'Data Vlaue (Cr)'!C176:CZ390,102,0)</f>
        <v>-1.43E-2</v>
      </c>
      <c r="E181" s="91">
        <f>VLOOKUP($A181,'Data Vlaue (Cr)'!$C:$FB,75)</f>
        <v>2725</v>
      </c>
      <c r="F181" s="91">
        <f>VLOOKUP($A181,'Data Vlaue (Cr)'!$C:$FB,77)</f>
        <v>-28</v>
      </c>
      <c r="G181" s="92">
        <f>VLOOKUP(A181,'Data Vlaue (Cr)'!C176:CB390,78,0)</f>
        <v>-1.0200000000000001E-2</v>
      </c>
      <c r="H181" s="91">
        <f>VLOOKUP($A181,'Data Vlaue (Cr)'!$C:$FB,91)</f>
        <v>854</v>
      </c>
      <c r="I181" s="91">
        <f>VLOOKUP($A181,'Data Vlaue (Cr)'!$C:$FB,93)</f>
        <v>-31</v>
      </c>
      <c r="J181" s="92">
        <f>VLOOKUP($A181,'Data Vlaue (Cr)'!$C:$FB,94)</f>
        <v>-3.5099999999999999E-2</v>
      </c>
      <c r="K181" s="91">
        <f>VLOOKUP($A181,'Data Vlaue (Cr)'!$C:$FB,95)</f>
        <v>444</v>
      </c>
      <c r="L181" s="91">
        <f>VLOOKUP($A181,'Data Vlaue (Cr)'!$C:$FB,97)</f>
        <v>1</v>
      </c>
      <c r="M181" s="92">
        <f>VLOOKUP($A181,'Data Vlaue (Cr)'!$C:$FB,98)</f>
        <v>2E-3</v>
      </c>
      <c r="N181" s="91">
        <f>VLOOKUP($A181,'Data Vlaue (Cr)'!$C:$FB,79)</f>
        <v>2541</v>
      </c>
      <c r="O181" s="92">
        <f>VLOOKUP($A181,'Data Vlaue (Cr)'!$C:$FB,82)</f>
        <v>-1.6E-2</v>
      </c>
    </row>
    <row r="182" spans="1:15" x14ac:dyDescent="0.25">
      <c r="A182" s="97" t="str">
        <f>'Data Vlaue (Cr)'!C177</f>
        <v>SAMMAANCAP</v>
      </c>
      <c r="B182" s="142">
        <f>VLOOKUP(A182,'Data Vlaue (Cr)'!C177:CW391,99,0)</f>
        <v>2720</v>
      </c>
      <c r="C182" s="90">
        <f>VLOOKUP(A182,'Data Vlaue (Cr)'!C177:CY391,101,0)</f>
        <v>-41</v>
      </c>
      <c r="D182" s="139">
        <f>VLOOKUP(A182,'Data Vlaue (Cr)'!C177:CZ391,102,0)</f>
        <v>-1.47E-2</v>
      </c>
      <c r="E182" s="91">
        <f>VLOOKUP($A182,'Data Vlaue (Cr)'!$C:$FB,75)</f>
        <v>1777</v>
      </c>
      <c r="F182" s="91">
        <f>VLOOKUP($A182,'Data Vlaue (Cr)'!$C:$FB,77)</f>
        <v>-18</v>
      </c>
      <c r="G182" s="92">
        <f>VLOOKUP(A182,'Data Vlaue (Cr)'!C177:CB391,78,0)</f>
        <v>-9.9000000000000008E-3</v>
      </c>
      <c r="H182" s="91">
        <f>VLOOKUP($A182,'Data Vlaue (Cr)'!$C:$FB,91)</f>
        <v>462</v>
      </c>
      <c r="I182" s="91">
        <f>VLOOKUP($A182,'Data Vlaue (Cr)'!$C:$FB,93)</f>
        <v>-15</v>
      </c>
      <c r="J182" s="92">
        <f>VLOOKUP($A182,'Data Vlaue (Cr)'!$C:$FB,94)</f>
        <v>-3.1899999999999998E-2</v>
      </c>
      <c r="K182" s="91">
        <f>VLOOKUP($A182,'Data Vlaue (Cr)'!$C:$FB,95)</f>
        <v>481</v>
      </c>
      <c r="L182" s="91">
        <f>VLOOKUP($A182,'Data Vlaue (Cr)'!$C:$FB,97)</f>
        <v>-8</v>
      </c>
      <c r="M182" s="92">
        <f>VLOOKUP($A182,'Data Vlaue (Cr)'!$C:$FB,98)</f>
        <v>-1.5599999999999999E-2</v>
      </c>
      <c r="N182" s="91">
        <f>VLOOKUP($A182,'Data Vlaue (Cr)'!$C:$FB,79)</f>
        <v>1706</v>
      </c>
      <c r="O182" s="92">
        <f>VLOOKUP($A182,'Data Vlaue (Cr)'!$C:$FB,82)</f>
        <v>-9.9000000000000008E-3</v>
      </c>
    </row>
    <row r="183" spans="1:15" x14ac:dyDescent="0.25">
      <c r="A183" s="97" t="str">
        <f>'Data Vlaue (Cr)'!C178</f>
        <v>SBICARD</v>
      </c>
      <c r="B183" s="142">
        <f>VLOOKUP(A183,'Data Vlaue (Cr)'!C178:CW392,99,0)</f>
        <v>2785</v>
      </c>
      <c r="C183" s="90">
        <f>VLOOKUP(A183,'Data Vlaue (Cr)'!C178:CY392,101,0)</f>
        <v>21</v>
      </c>
      <c r="D183" s="139">
        <f>VLOOKUP(A183,'Data Vlaue (Cr)'!C178:CZ392,102,0)</f>
        <v>7.4999999999999997E-3</v>
      </c>
      <c r="E183" s="91">
        <f>VLOOKUP($A183,'Data Vlaue (Cr)'!$C:$FB,75)</f>
        <v>1895</v>
      </c>
      <c r="F183" s="91">
        <f>VLOOKUP($A183,'Data Vlaue (Cr)'!$C:$FB,77)</f>
        <v>49</v>
      </c>
      <c r="G183" s="92">
        <f>VLOOKUP(A183,'Data Vlaue (Cr)'!C178:CB392,78,0)</f>
        <v>2.6599999999999999E-2</v>
      </c>
      <c r="H183" s="91">
        <f>VLOOKUP($A183,'Data Vlaue (Cr)'!$C:$FB,91)</f>
        <v>522</v>
      </c>
      <c r="I183" s="91">
        <f>VLOOKUP($A183,'Data Vlaue (Cr)'!$C:$FB,93)</f>
        <v>-46</v>
      </c>
      <c r="J183" s="92">
        <f>VLOOKUP($A183,'Data Vlaue (Cr)'!$C:$FB,94)</f>
        <v>-8.1500000000000003E-2</v>
      </c>
      <c r="K183" s="91">
        <f>VLOOKUP($A183,'Data Vlaue (Cr)'!$C:$FB,95)</f>
        <v>367</v>
      </c>
      <c r="L183" s="91">
        <f>VLOOKUP($A183,'Data Vlaue (Cr)'!$C:$FB,97)</f>
        <v>18</v>
      </c>
      <c r="M183" s="92">
        <f>VLOOKUP($A183,'Data Vlaue (Cr)'!$C:$FB,98)</f>
        <v>5.1700000000000003E-2</v>
      </c>
      <c r="N183" s="91">
        <f>VLOOKUP($A183,'Data Vlaue (Cr)'!$C:$FB,79)</f>
        <v>1611</v>
      </c>
      <c r="O183" s="92">
        <f>VLOOKUP($A183,'Data Vlaue (Cr)'!$C:$FB,82)</f>
        <v>-5.1000000000000004E-3</v>
      </c>
    </row>
    <row r="184" spans="1:15" x14ac:dyDescent="0.25">
      <c r="A184" s="97" t="str">
        <f>'Data Vlaue (Cr)'!C179</f>
        <v>SBILIFE</v>
      </c>
      <c r="B184" s="142">
        <f>VLOOKUP(A184,'Data Vlaue (Cr)'!C179:CW393,99,0)</f>
        <v>1968</v>
      </c>
      <c r="C184" s="90">
        <f>VLOOKUP(A184,'Data Vlaue (Cr)'!C179:CY393,101,0)</f>
        <v>36</v>
      </c>
      <c r="D184" s="139">
        <f>VLOOKUP(A184,'Data Vlaue (Cr)'!C179:CZ393,102,0)</f>
        <v>1.8499999999999999E-2</v>
      </c>
      <c r="E184" s="91">
        <f>VLOOKUP($A184,'Data Vlaue (Cr)'!$C:$FB,75)</f>
        <v>1243</v>
      </c>
      <c r="F184" s="91">
        <f>VLOOKUP($A184,'Data Vlaue (Cr)'!$C:$FB,77)</f>
        <v>42</v>
      </c>
      <c r="G184" s="92">
        <f>VLOOKUP(A184,'Data Vlaue (Cr)'!C179:CB393,78,0)</f>
        <v>3.5200000000000002E-2</v>
      </c>
      <c r="H184" s="91">
        <f>VLOOKUP($A184,'Data Vlaue (Cr)'!$C:$FB,91)</f>
        <v>470</v>
      </c>
      <c r="I184" s="91">
        <f>VLOOKUP($A184,'Data Vlaue (Cr)'!$C:$FB,93)</f>
        <v>-1</v>
      </c>
      <c r="J184" s="92">
        <f>VLOOKUP($A184,'Data Vlaue (Cr)'!$C:$FB,94)</f>
        <v>-2.8E-3</v>
      </c>
      <c r="K184" s="91">
        <f>VLOOKUP($A184,'Data Vlaue (Cr)'!$C:$FB,95)</f>
        <v>254</v>
      </c>
      <c r="L184" s="91">
        <f>VLOOKUP($A184,'Data Vlaue (Cr)'!$C:$FB,97)</f>
        <v>-5</v>
      </c>
      <c r="M184" s="92">
        <f>VLOOKUP($A184,'Data Vlaue (Cr)'!$C:$FB,98)</f>
        <v>-2.0199999999999999E-2</v>
      </c>
      <c r="N184" s="91">
        <f>VLOOKUP($A184,'Data Vlaue (Cr)'!$C:$FB,79)</f>
        <v>1194</v>
      </c>
      <c r="O184" s="92">
        <f>VLOOKUP($A184,'Data Vlaue (Cr)'!$C:$FB,82)</f>
        <v>3.1800000000000002E-2</v>
      </c>
    </row>
    <row r="185" spans="1:15" x14ac:dyDescent="0.25">
      <c r="A185" s="97" t="str">
        <f>'Data Vlaue (Cr)'!C180</f>
        <v>SBIN</v>
      </c>
      <c r="B185" s="142">
        <f>VLOOKUP(A185,'Data Vlaue (Cr)'!C180:CW394,99,0)</f>
        <v>15715</v>
      </c>
      <c r="C185" s="90">
        <f>VLOOKUP(A185,'Data Vlaue (Cr)'!C180:CY394,101,0)</f>
        <v>164</v>
      </c>
      <c r="D185" s="139">
        <f>VLOOKUP(A185,'Data Vlaue (Cr)'!C180:CZ394,102,0)</f>
        <v>1.0500000000000001E-2</v>
      </c>
      <c r="E185" s="91">
        <f>VLOOKUP($A185,'Data Vlaue (Cr)'!$C:$FB,75)</f>
        <v>7895</v>
      </c>
      <c r="F185" s="91">
        <f>VLOOKUP($A185,'Data Vlaue (Cr)'!$C:$FB,77)</f>
        <v>-106</v>
      </c>
      <c r="G185" s="92">
        <f>VLOOKUP(A185,'Data Vlaue (Cr)'!C180:CB394,78,0)</f>
        <v>-1.3299999999999999E-2</v>
      </c>
      <c r="H185" s="91">
        <f>VLOOKUP($A185,'Data Vlaue (Cr)'!$C:$FB,91)</f>
        <v>4710</v>
      </c>
      <c r="I185" s="91">
        <f>VLOOKUP($A185,'Data Vlaue (Cr)'!$C:$FB,93)</f>
        <v>39</v>
      </c>
      <c r="J185" s="92">
        <f>VLOOKUP($A185,'Data Vlaue (Cr)'!$C:$FB,94)</f>
        <v>8.3999999999999995E-3</v>
      </c>
      <c r="K185" s="91">
        <f>VLOOKUP($A185,'Data Vlaue (Cr)'!$C:$FB,95)</f>
        <v>3110</v>
      </c>
      <c r="L185" s="91">
        <f>VLOOKUP($A185,'Data Vlaue (Cr)'!$C:$FB,97)</f>
        <v>231</v>
      </c>
      <c r="M185" s="92">
        <f>VLOOKUP($A185,'Data Vlaue (Cr)'!$C:$FB,98)</f>
        <v>8.0299999999999996E-2</v>
      </c>
      <c r="N185" s="91">
        <f>VLOOKUP($A185,'Data Vlaue (Cr)'!$C:$FB,79)</f>
        <v>7452</v>
      </c>
      <c r="O185" s="92">
        <f>VLOOKUP($A185,'Data Vlaue (Cr)'!$C:$FB,82)</f>
        <v>-2.0799999999999999E-2</v>
      </c>
    </row>
    <row r="186" spans="1:15" x14ac:dyDescent="0.25">
      <c r="A186" s="97" t="str">
        <f>'Data Vlaue (Cr)'!C181</f>
        <v>SHREECEM</v>
      </c>
      <c r="B186" s="142">
        <f>VLOOKUP(A186,'Data Vlaue (Cr)'!C181:CW395,99,0)</f>
        <v>836</v>
      </c>
      <c r="C186" s="90">
        <f>VLOOKUP(A186,'Data Vlaue (Cr)'!C181:CY395,101,0)</f>
        <v>6</v>
      </c>
      <c r="D186" s="139">
        <f>VLOOKUP(A186,'Data Vlaue (Cr)'!C181:CZ395,102,0)</f>
        <v>6.8999999999999999E-3</v>
      </c>
      <c r="E186" s="91">
        <f>VLOOKUP($A186,'Data Vlaue (Cr)'!$C:$FB,75)</f>
        <v>662</v>
      </c>
      <c r="F186" s="91">
        <f>VLOOKUP($A186,'Data Vlaue (Cr)'!$C:$FB,77)</f>
        <v>-1</v>
      </c>
      <c r="G186" s="92">
        <f>VLOOKUP(A186,'Data Vlaue (Cr)'!C181:CB395,78,0)</f>
        <v>-1.6000000000000001E-3</v>
      </c>
      <c r="H186" s="91">
        <f>VLOOKUP($A186,'Data Vlaue (Cr)'!$C:$FB,91)</f>
        <v>93</v>
      </c>
      <c r="I186" s="91">
        <f>VLOOKUP($A186,'Data Vlaue (Cr)'!$C:$FB,93)</f>
        <v>-4</v>
      </c>
      <c r="J186" s="92">
        <f>VLOOKUP($A186,'Data Vlaue (Cr)'!$C:$FB,94)</f>
        <v>-4.2700000000000002E-2</v>
      </c>
      <c r="K186" s="91">
        <f>VLOOKUP($A186,'Data Vlaue (Cr)'!$C:$FB,95)</f>
        <v>81</v>
      </c>
      <c r="L186" s="91">
        <f>VLOOKUP($A186,'Data Vlaue (Cr)'!$C:$FB,97)</f>
        <v>11</v>
      </c>
      <c r="M186" s="92">
        <f>VLOOKUP($A186,'Data Vlaue (Cr)'!$C:$FB,98)</f>
        <v>0.15509999999999999</v>
      </c>
      <c r="N186" s="91">
        <f>VLOOKUP($A186,'Data Vlaue (Cr)'!$C:$FB,79)</f>
        <v>655</v>
      </c>
      <c r="O186" s="92">
        <f>VLOOKUP($A186,'Data Vlaue (Cr)'!$C:$FB,82)</f>
        <v>-3.0999999999999999E-3</v>
      </c>
    </row>
    <row r="187" spans="1:15" x14ac:dyDescent="0.25">
      <c r="A187" s="97" t="str">
        <f>'Data Vlaue (Cr)'!C182</f>
        <v>SHRIRAMFIN</v>
      </c>
      <c r="B187" s="142">
        <f>VLOOKUP(A187,'Data Vlaue (Cr)'!C182:CW396,99,0)</f>
        <v>4419</v>
      </c>
      <c r="C187" s="90">
        <f>VLOOKUP(A187,'Data Vlaue (Cr)'!C182:CY396,101,0)</f>
        <v>51</v>
      </c>
      <c r="D187" s="139">
        <f>VLOOKUP(A187,'Data Vlaue (Cr)'!C182:CZ396,102,0)</f>
        <v>1.18E-2</v>
      </c>
      <c r="E187" s="91">
        <f>VLOOKUP($A187,'Data Vlaue (Cr)'!$C:$FB,75)</f>
        <v>3331</v>
      </c>
      <c r="F187" s="91">
        <f>VLOOKUP($A187,'Data Vlaue (Cr)'!$C:$FB,77)</f>
        <v>-17</v>
      </c>
      <c r="G187" s="92">
        <f>VLOOKUP(A187,'Data Vlaue (Cr)'!C182:CB396,78,0)</f>
        <v>-5.0000000000000001E-3</v>
      </c>
      <c r="H187" s="91">
        <f>VLOOKUP($A187,'Data Vlaue (Cr)'!$C:$FB,91)</f>
        <v>618</v>
      </c>
      <c r="I187" s="91">
        <f>VLOOKUP($A187,'Data Vlaue (Cr)'!$C:$FB,93)</f>
        <v>59</v>
      </c>
      <c r="J187" s="92">
        <f>VLOOKUP($A187,'Data Vlaue (Cr)'!$C:$FB,94)</f>
        <v>0.1057</v>
      </c>
      <c r="K187" s="91">
        <f>VLOOKUP($A187,'Data Vlaue (Cr)'!$C:$FB,95)</f>
        <v>469</v>
      </c>
      <c r="L187" s="91">
        <f>VLOOKUP($A187,'Data Vlaue (Cr)'!$C:$FB,97)</f>
        <v>9</v>
      </c>
      <c r="M187" s="92">
        <f>VLOOKUP($A187,'Data Vlaue (Cr)'!$C:$FB,98)</f>
        <v>1.9699999999999999E-2</v>
      </c>
      <c r="N187" s="91">
        <f>VLOOKUP($A187,'Data Vlaue (Cr)'!$C:$FB,79)</f>
        <v>3173</v>
      </c>
      <c r="O187" s="92">
        <f>VLOOKUP($A187,'Data Vlaue (Cr)'!$C:$FB,82)</f>
        <v>-1.6400000000000001E-2</v>
      </c>
    </row>
    <row r="188" spans="1:15" x14ac:dyDescent="0.25">
      <c r="A188" s="97" t="str">
        <f>'Data Vlaue (Cr)'!C183</f>
        <v>SIEMENS</v>
      </c>
      <c r="B188" s="142">
        <f>VLOOKUP(A188,'Data Vlaue (Cr)'!C183:CW397,99,0)</f>
        <v>1406</v>
      </c>
      <c r="C188" s="90">
        <f>VLOOKUP(A188,'Data Vlaue (Cr)'!C183:CY397,101,0)</f>
        <v>58</v>
      </c>
      <c r="D188" s="139">
        <f>VLOOKUP(A188,'Data Vlaue (Cr)'!C183:CZ397,102,0)</f>
        <v>4.3200000000000002E-2</v>
      </c>
      <c r="E188" s="91">
        <f>VLOOKUP($A188,'Data Vlaue (Cr)'!$C:$FB,75)</f>
        <v>710</v>
      </c>
      <c r="F188" s="91">
        <f>VLOOKUP($A188,'Data Vlaue (Cr)'!$C:$FB,77)</f>
        <v>32</v>
      </c>
      <c r="G188" s="92">
        <f>VLOOKUP(A188,'Data Vlaue (Cr)'!C183:CB397,78,0)</f>
        <v>4.7600000000000003E-2</v>
      </c>
      <c r="H188" s="91">
        <f>VLOOKUP($A188,'Data Vlaue (Cr)'!$C:$FB,91)</f>
        <v>499</v>
      </c>
      <c r="I188" s="91">
        <f>VLOOKUP($A188,'Data Vlaue (Cr)'!$C:$FB,93)</f>
        <v>30</v>
      </c>
      <c r="J188" s="92">
        <f>VLOOKUP($A188,'Data Vlaue (Cr)'!$C:$FB,94)</f>
        <v>6.4000000000000001E-2</v>
      </c>
      <c r="K188" s="91">
        <f>VLOOKUP($A188,'Data Vlaue (Cr)'!$C:$FB,95)</f>
        <v>196</v>
      </c>
      <c r="L188" s="91">
        <f>VLOOKUP($A188,'Data Vlaue (Cr)'!$C:$FB,97)</f>
        <v>-4</v>
      </c>
      <c r="M188" s="92">
        <f>VLOOKUP($A188,'Data Vlaue (Cr)'!$C:$FB,98)</f>
        <v>-2.0199999999999999E-2</v>
      </c>
      <c r="N188" s="91">
        <f>VLOOKUP($A188,'Data Vlaue (Cr)'!$C:$FB,79)</f>
        <v>665</v>
      </c>
      <c r="O188" s="92">
        <f>VLOOKUP($A188,'Data Vlaue (Cr)'!$C:$FB,82)</f>
        <v>3.1099999999999999E-2</v>
      </c>
    </row>
    <row r="189" spans="1:15" x14ac:dyDescent="0.25">
      <c r="A189" s="97" t="str">
        <f>'Data Vlaue (Cr)'!C216</f>
        <v>ZYDUSLIFE</v>
      </c>
      <c r="B189" s="142">
        <f>VLOOKUP(A189,'Data Vlaue (Cr)'!C216:CW398,99,0)</f>
        <v>1423</v>
      </c>
      <c r="C189" s="90">
        <f>VLOOKUP(A189,'Data Vlaue (Cr)'!C216:CY398,101,0)</f>
        <v>-39</v>
      </c>
      <c r="D189" s="139">
        <f>VLOOKUP(A189,'Data Vlaue (Cr)'!C216:CZ398,102,0)</f>
        <v>-2.69E-2</v>
      </c>
      <c r="E189" s="91">
        <f>VLOOKUP($A189,'Data Vlaue (Cr)'!$C:$FB,75)</f>
        <v>870</v>
      </c>
      <c r="F189" s="91">
        <f>VLOOKUP($A189,'Data Vlaue (Cr)'!$C:$FB,77)</f>
        <v>-10</v>
      </c>
      <c r="G189" s="92">
        <f>VLOOKUP(A189,'Data Vlaue (Cr)'!C216:CB398,78,0)</f>
        <v>-1.12E-2</v>
      </c>
      <c r="H189" s="91">
        <f>VLOOKUP($A189,'Data Vlaue (Cr)'!$C:$FB,91)</f>
        <v>354</v>
      </c>
      <c r="I189" s="91">
        <f>VLOOKUP($A189,'Data Vlaue (Cr)'!$C:$FB,93)</f>
        <v>-27</v>
      </c>
      <c r="J189" s="92">
        <f>VLOOKUP($A189,'Data Vlaue (Cr)'!$C:$FB,94)</f>
        <v>-7.0800000000000002E-2</v>
      </c>
      <c r="K189" s="91">
        <f>VLOOKUP($A189,'Data Vlaue (Cr)'!$C:$FB,95)</f>
        <v>199</v>
      </c>
      <c r="L189" s="91">
        <f>VLOOKUP($A189,'Data Vlaue (Cr)'!$C:$FB,97)</f>
        <v>-2</v>
      </c>
      <c r="M189" s="92">
        <f>VLOOKUP($A189,'Data Vlaue (Cr)'!$C:$FB,98)</f>
        <v>-1.23E-2</v>
      </c>
      <c r="N189" s="91">
        <f>VLOOKUP($A189,'Data Vlaue (Cr)'!$C:$FB,79)</f>
        <v>749</v>
      </c>
      <c r="O189" s="92">
        <f>VLOOKUP($A189,'Data Vlaue (Cr)'!$C:$FB,82)</f>
        <v>-1.7299999999999999E-2</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2367019</v>
      </c>
      <c r="C210" s="123">
        <f>SUM(C7:C209)</f>
        <v>188229</v>
      </c>
      <c r="D210" s="124">
        <f>'Snapshot (Value)'!K225</f>
        <v>8.6394022356496861E-2</v>
      </c>
      <c r="E210" s="123">
        <f>SUM(E7:E209)</f>
        <v>502739</v>
      </c>
      <c r="F210" s="123">
        <f>SUM(F7:F209)</f>
        <v>1044</v>
      </c>
      <c r="G210" s="149">
        <f>F210*100/(E210-F210)</f>
        <v>0.20809455944348659</v>
      </c>
      <c r="H210" s="123">
        <f>SUM(H7:H209)</f>
        <v>848280</v>
      </c>
      <c r="I210" s="123">
        <f>SUM(I7:I209)</f>
        <v>37217</v>
      </c>
      <c r="J210" s="149">
        <f>I210/(H210-I210)</f>
        <v>4.5886694375159513E-2</v>
      </c>
      <c r="K210" s="123">
        <f>SUM(K7:K209)</f>
        <v>1015981</v>
      </c>
      <c r="L210" s="123">
        <f>SUM(L7:L209)</f>
        <v>149959</v>
      </c>
      <c r="M210" s="149">
        <f>L210/(K210-L210)</f>
        <v>0.17315841860830325</v>
      </c>
      <c r="N210" s="123">
        <f>SUM(N7:N209)</f>
        <v>461762</v>
      </c>
      <c r="O210" s="149">
        <f>(N210-FII!V2)/N210</f>
        <v>-0.15226891775416773</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502739</v>
      </c>
      <c r="C217" s="37">
        <f>F210</f>
        <v>1044</v>
      </c>
      <c r="D217" s="39">
        <f>C217/B217</f>
        <v>2.0766242523456505E-3</v>
      </c>
    </row>
    <row r="218" spans="1:15" x14ac:dyDescent="0.25">
      <c r="A218" s="36" t="s">
        <v>404</v>
      </c>
      <c r="B218" s="37">
        <f>H210</f>
        <v>848280</v>
      </c>
      <c r="C218" s="37">
        <f>I210</f>
        <v>37217</v>
      </c>
      <c r="D218" s="150">
        <f>C218/B218</f>
        <v>4.3873485169991039E-2</v>
      </c>
    </row>
    <row r="219" spans="1:15" x14ac:dyDescent="0.25">
      <c r="A219" s="36" t="s">
        <v>405</v>
      </c>
      <c r="B219" s="37">
        <f>K210</f>
        <v>1015981</v>
      </c>
      <c r="C219" s="37">
        <f>L210</f>
        <v>149959</v>
      </c>
      <c r="D219" s="150">
        <f>C219/B219</f>
        <v>0.14760020118486467</v>
      </c>
    </row>
    <row r="220" spans="1:15" x14ac:dyDescent="0.25">
      <c r="A220" s="36" t="s">
        <v>406</v>
      </c>
      <c r="B220" s="37">
        <f>B217+B218+B219</f>
        <v>2367000</v>
      </c>
      <c r="C220" s="37">
        <f>C217+C218+C219</f>
        <v>188220</v>
      </c>
      <c r="D220" s="150">
        <f>C220/B220</f>
        <v>7.9518377693282641E-2</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45946</v>
      </c>
      <c r="C6" s="3">
        <f>B6</f>
        <v>45946</v>
      </c>
      <c r="D6" s="94" t="s">
        <v>328</v>
      </c>
      <c r="E6" s="3">
        <f>B6</f>
        <v>45946</v>
      </c>
      <c r="F6" s="94" t="s">
        <v>322</v>
      </c>
      <c r="G6" s="94" t="s">
        <v>328</v>
      </c>
      <c r="H6" s="3">
        <f>E6</f>
        <v>45946</v>
      </c>
      <c r="I6" s="94" t="s">
        <v>322</v>
      </c>
      <c r="J6" s="94" t="s">
        <v>328</v>
      </c>
    </row>
    <row r="7" spans="1:10" x14ac:dyDescent="0.25">
      <c r="A7" s="101" t="str">
        <f>'NIFTY GRP'!C2</f>
        <v>ADANIENT</v>
      </c>
      <c r="B7" s="140">
        <f>VLOOKUP($A7,'Data shares'!$C:$FA,7)</f>
        <v>2557.6</v>
      </c>
      <c r="C7" s="140">
        <f>VLOOKUP($A7,'Data shares'!$C:$FA,3)</f>
        <v>2567.6999999999998</v>
      </c>
      <c r="D7" s="50">
        <f>VLOOKUP($A7,'Data shares'!$C:$FA,6)*100</f>
        <v>0.91</v>
      </c>
      <c r="E7" s="51">
        <f>VLOOKUP($A7,'Data shares'!$C:$FA,98)</f>
        <v>27604800</v>
      </c>
      <c r="F7" s="51">
        <f>VLOOKUP($A7,'Data shares'!$C:$FA,99)</f>
        <v>27484200</v>
      </c>
      <c r="G7" s="50">
        <f>VLOOKUP($A7,'Data shares'!$C:$FA,101)*100</f>
        <v>0.44</v>
      </c>
      <c r="H7" s="49">
        <f>VLOOKUP($A7,'Data Vlaue (Cr)'!$C:$FB,99)</f>
        <v>7088</v>
      </c>
      <c r="I7" s="49">
        <f>VLOOKUP($A7,'Data Vlaue (Cr)'!$C:$FB,100)</f>
        <v>7057</v>
      </c>
      <c r="J7" s="49">
        <f>VLOOKUP($A7,'Data Vlaue (Cr)'!$C:$FB,102)*100</f>
        <v>0.44</v>
      </c>
    </row>
    <row r="8" spans="1:10" x14ac:dyDescent="0.25">
      <c r="A8" s="101" t="str">
        <f>'NIFTY GRP'!C3</f>
        <v>ADANIPORTS</v>
      </c>
      <c r="B8" s="140">
        <f>VLOOKUP($A8,'Data shares'!$C:$FA,7)</f>
        <v>1479.5</v>
      </c>
      <c r="C8" s="140">
        <f>VLOOKUP($A8,'Data shares'!$C:$FA,3)</f>
        <v>1481.7</v>
      </c>
      <c r="D8" s="50">
        <f>VLOOKUP($A8,'Data shares'!$C:$FA,6)*100</f>
        <v>1.67</v>
      </c>
      <c r="E8" s="51">
        <f>VLOOKUP($A8,'Data shares'!$C:$FA,98)</f>
        <v>35252125</v>
      </c>
      <c r="F8" s="51">
        <f>VLOOKUP($A8,'Data shares'!$C:$FA,99)</f>
        <v>34841250</v>
      </c>
      <c r="G8" s="50">
        <f>VLOOKUP($A8,'Data shares'!$C:$FA,101)*100</f>
        <v>1.18</v>
      </c>
      <c r="H8" s="49">
        <f>VLOOKUP($A8,'Data Vlaue (Cr)'!$C:$FB,99)</f>
        <v>5223</v>
      </c>
      <c r="I8" s="49">
        <f>VLOOKUP($A8,'Data Vlaue (Cr)'!$C:$FB,100)</f>
        <v>5162</v>
      </c>
      <c r="J8" s="49">
        <f>VLOOKUP($A8,'Data Vlaue (Cr)'!$C:$FB,102)*100</f>
        <v>1.18</v>
      </c>
    </row>
    <row r="9" spans="1:10" x14ac:dyDescent="0.25">
      <c r="A9" s="101" t="str">
        <f>'NIFTY GRP'!C4</f>
        <v>APOLLOHOSP</v>
      </c>
      <c r="B9" s="140">
        <f>VLOOKUP($A9,'Data shares'!$C:$FA,7)</f>
        <v>7833.5</v>
      </c>
      <c r="C9" s="140">
        <f>VLOOKUP($A9,'Data shares'!$C:$FA,3)</f>
        <v>7860.5</v>
      </c>
      <c r="D9" s="50">
        <f>VLOOKUP($A9,'Data shares'!$C:$FA,6)*100</f>
        <v>0.28999999999999998</v>
      </c>
      <c r="E9" s="51">
        <f>VLOOKUP($A9,'Data shares'!$C:$FA,98)</f>
        <v>3932250</v>
      </c>
      <c r="F9" s="51">
        <f>VLOOKUP($A9,'Data shares'!$C:$FA,99)</f>
        <v>3964375</v>
      </c>
      <c r="G9" s="50">
        <f>VLOOKUP($A9,'Data shares'!$C:$FA,101)*100</f>
        <v>-0.80999999999999994</v>
      </c>
      <c r="H9" s="49">
        <f>VLOOKUP($A9,'Data Vlaue (Cr)'!$C:$FB,99)</f>
        <v>3091</v>
      </c>
      <c r="I9" s="49">
        <f>VLOOKUP($A9,'Data Vlaue (Cr)'!$C:$FB,100)</f>
        <v>3116</v>
      </c>
      <c r="J9" s="49">
        <f>VLOOKUP($A9,'Data Vlaue (Cr)'!$C:$FB,102)*100</f>
        <v>-0.80999999999999994</v>
      </c>
    </row>
    <row r="10" spans="1:10" x14ac:dyDescent="0.25">
      <c r="A10" s="101" t="str">
        <f>'NIFTY GRP'!C5</f>
        <v>ASIANPAINT</v>
      </c>
      <c r="B10" s="140">
        <f>VLOOKUP($A10,'Data shares'!$C:$FA,7)</f>
        <v>2409.6999999999998</v>
      </c>
      <c r="C10" s="140">
        <f>VLOOKUP($A10,'Data shares'!$C:$FA,3)</f>
        <v>2417.9</v>
      </c>
      <c r="D10" s="50">
        <f>VLOOKUP($A10,'Data shares'!$C:$FA,6)*100</f>
        <v>1.38</v>
      </c>
      <c r="E10" s="51">
        <f>VLOOKUP($A10,'Data shares'!$C:$FA,98)</f>
        <v>22999500</v>
      </c>
      <c r="F10" s="51">
        <f>VLOOKUP($A10,'Data shares'!$C:$FA,99)</f>
        <v>23086750</v>
      </c>
      <c r="G10" s="50">
        <f>VLOOKUP($A10,'Data shares'!$C:$FA,101)*100</f>
        <v>-0.38</v>
      </c>
      <c r="H10" s="49">
        <f>VLOOKUP($A10,'Data Vlaue (Cr)'!$C:$FB,99)</f>
        <v>5561</v>
      </c>
      <c r="I10" s="49">
        <f>VLOOKUP($A10,'Data Vlaue (Cr)'!$C:$FB,100)</f>
        <v>5582</v>
      </c>
      <c r="J10" s="49">
        <f>VLOOKUP($A10,'Data Vlaue (Cr)'!$C:$FB,102)*100</f>
        <v>-0.38</v>
      </c>
    </row>
    <row r="11" spans="1:10" x14ac:dyDescent="0.25">
      <c r="A11" s="101" t="str">
        <f>'NIFTY GRP'!C6</f>
        <v>AXISBANK</v>
      </c>
      <c r="B11" s="140">
        <f>VLOOKUP($A11,'Data shares'!$C:$FA,7)</f>
        <v>1196.3</v>
      </c>
      <c r="C11" s="140">
        <f>VLOOKUP($A11,'Data shares'!$C:$FA,3)</f>
        <v>1197.5999999999999</v>
      </c>
      <c r="D11" s="50">
        <f>VLOOKUP($A11,'Data shares'!$C:$FA,6)*100</f>
        <v>1.96</v>
      </c>
      <c r="E11" s="51">
        <f>VLOOKUP($A11,'Data shares'!$C:$FA,98)</f>
        <v>128194375</v>
      </c>
      <c r="F11" s="51">
        <f>VLOOKUP($A11,'Data shares'!$C:$FA,99)</f>
        <v>131109375</v>
      </c>
      <c r="G11" s="50">
        <f>VLOOKUP($A11,'Data shares'!$C:$FA,101)*100</f>
        <v>-2.2200000000000002</v>
      </c>
      <c r="H11" s="49">
        <f>VLOOKUP($A11,'Data Vlaue (Cr)'!$C:$FB,99)</f>
        <v>15353</v>
      </c>
      <c r="I11" s="49">
        <f>VLOOKUP($A11,'Data Vlaue (Cr)'!$C:$FB,100)</f>
        <v>15702</v>
      </c>
      <c r="J11" s="49">
        <f>VLOOKUP($A11,'Data Vlaue (Cr)'!$C:$FB,102)*100</f>
        <v>-2.2200000000000002</v>
      </c>
    </row>
    <row r="12" spans="1:10" x14ac:dyDescent="0.25">
      <c r="A12" s="101" t="str">
        <f>'NIFTY GRP'!C7</f>
        <v>BAJAJ-AUTO</v>
      </c>
      <c r="B12" s="140">
        <f>VLOOKUP($A12,'Data shares'!$C:$FA,7)</f>
        <v>9151.5</v>
      </c>
      <c r="C12" s="140">
        <f>VLOOKUP($A12,'Data shares'!$C:$FA,3)</f>
        <v>9158</v>
      </c>
      <c r="D12" s="50">
        <f>VLOOKUP($A12,'Data shares'!$C:$FA,6)*100</f>
        <v>1.34</v>
      </c>
      <c r="E12" s="51">
        <f>VLOOKUP($A12,'Data shares'!$C:$FA,98)</f>
        <v>5688000</v>
      </c>
      <c r="F12" s="51">
        <f>VLOOKUP($A12,'Data shares'!$C:$FA,99)</f>
        <v>5945625</v>
      </c>
      <c r="G12" s="50">
        <f>VLOOKUP($A12,'Data shares'!$C:$FA,101)*100</f>
        <v>-4.33</v>
      </c>
      <c r="H12" s="49">
        <f>VLOOKUP($A12,'Data Vlaue (Cr)'!$C:$FB,99)</f>
        <v>5209</v>
      </c>
      <c r="I12" s="49">
        <f>VLOOKUP($A12,'Data Vlaue (Cr)'!$C:$FB,100)</f>
        <v>5445</v>
      </c>
      <c r="J12" s="49">
        <f>VLOOKUP($A12,'Data Vlaue (Cr)'!$C:$FB,102)*100</f>
        <v>-4.33</v>
      </c>
    </row>
    <row r="13" spans="1:10" x14ac:dyDescent="0.25">
      <c r="A13" s="101" t="str">
        <f>'NIFTY GRP'!C8</f>
        <v>BAJAJFINSV</v>
      </c>
      <c r="B13" s="140">
        <f>VLOOKUP($A13,'Data shares'!$C:$FA,7)</f>
        <v>2090.1999999999998</v>
      </c>
      <c r="C13" s="140">
        <f>VLOOKUP($A13,'Data shares'!$C:$FA,3)</f>
        <v>2098</v>
      </c>
      <c r="D13" s="50">
        <f>VLOOKUP($A13,'Data shares'!$C:$FA,6)*100</f>
        <v>0.45999999999999996</v>
      </c>
      <c r="E13" s="51">
        <f>VLOOKUP($A13,'Data shares'!$C:$FA,98)</f>
        <v>29045000</v>
      </c>
      <c r="F13" s="51">
        <f>VLOOKUP($A13,'Data shares'!$C:$FA,99)</f>
        <v>28159500</v>
      </c>
      <c r="G13" s="50">
        <f>VLOOKUP($A13,'Data shares'!$C:$FA,101)*100</f>
        <v>3.1399999999999997</v>
      </c>
      <c r="H13" s="49">
        <f>VLOOKUP($A13,'Data Vlaue (Cr)'!$C:$FB,99)</f>
        <v>6094</v>
      </c>
      <c r="I13" s="49">
        <f>VLOOKUP($A13,'Data Vlaue (Cr)'!$C:$FB,100)</f>
        <v>5908</v>
      </c>
      <c r="J13" s="49">
        <f>VLOOKUP($A13,'Data Vlaue (Cr)'!$C:$FB,102)*100</f>
        <v>3.1399999999999997</v>
      </c>
    </row>
    <row r="14" spans="1:10" x14ac:dyDescent="0.25">
      <c r="A14" s="101" t="str">
        <f>'NIFTY GRP'!C9</f>
        <v>BAJFINANCE</v>
      </c>
      <c r="B14" s="140">
        <f>VLOOKUP($A14,'Data shares'!$C:$FA,7)</f>
        <v>1065.75</v>
      </c>
      <c r="C14" s="140">
        <f>VLOOKUP($A14,'Data shares'!$C:$FA,3)</f>
        <v>1066.45</v>
      </c>
      <c r="D14" s="50">
        <f>VLOOKUP($A14,'Data shares'!$C:$FA,6)*100</f>
        <v>0.52</v>
      </c>
      <c r="E14" s="51">
        <f>VLOOKUP($A14,'Data shares'!$C:$FA,98)</f>
        <v>126126750</v>
      </c>
      <c r="F14" s="51">
        <f>VLOOKUP($A14,'Data shares'!$C:$FA,99)</f>
        <v>123542250</v>
      </c>
      <c r="G14" s="50">
        <f>VLOOKUP($A14,'Data shares'!$C:$FA,101)*100</f>
        <v>2.09</v>
      </c>
      <c r="H14" s="49">
        <f>VLOOKUP($A14,'Data Vlaue (Cr)'!$C:$FB,99)</f>
        <v>13451</v>
      </c>
      <c r="I14" s="49">
        <f>VLOOKUP($A14,'Data Vlaue (Cr)'!$C:$FB,100)</f>
        <v>13175</v>
      </c>
      <c r="J14" s="49">
        <f>VLOOKUP($A14,'Data Vlaue (Cr)'!$C:$FB,102)*100</f>
        <v>2.09</v>
      </c>
    </row>
    <row r="15" spans="1:10" x14ac:dyDescent="0.25">
      <c r="A15" s="101" t="str">
        <f>'NIFTY GRP'!C10</f>
        <v>BEL</v>
      </c>
      <c r="B15" s="140">
        <f>VLOOKUP($A15,'Data shares'!$C:$FA,7)</f>
        <v>411.8</v>
      </c>
      <c r="C15" s="140">
        <f>VLOOKUP($A15,'Data shares'!$C:$FA,3)</f>
        <v>413.45</v>
      </c>
      <c r="D15" s="50">
        <f>VLOOKUP($A15,'Data shares'!$C:$FA,6)*100</f>
        <v>0.85000000000000009</v>
      </c>
      <c r="E15" s="51">
        <f>VLOOKUP($A15,'Data shares'!$C:$FA,98)</f>
        <v>226184550</v>
      </c>
      <c r="F15" s="51">
        <f>VLOOKUP($A15,'Data shares'!$C:$FA,99)</f>
        <v>228758100</v>
      </c>
      <c r="G15" s="50">
        <f>VLOOKUP($A15,'Data shares'!$C:$FA,101)*100</f>
        <v>-1.1299999999999999</v>
      </c>
      <c r="H15" s="49">
        <f>VLOOKUP($A15,'Data Vlaue (Cr)'!$C:$FB,99)</f>
        <v>9352</v>
      </c>
      <c r="I15" s="49">
        <f>VLOOKUP($A15,'Data Vlaue (Cr)'!$C:$FB,100)</f>
        <v>9458</v>
      </c>
      <c r="J15" s="49">
        <f>VLOOKUP($A15,'Data Vlaue (Cr)'!$C:$FB,102)*100</f>
        <v>-1.1299999999999999</v>
      </c>
    </row>
    <row r="16" spans="1:10" x14ac:dyDescent="0.25">
      <c r="A16" s="101" t="str">
        <f>'NIFTY GRP'!C11</f>
        <v>BHARTIARTL</v>
      </c>
      <c r="B16" s="140">
        <f>VLOOKUP($A16,'Data shares'!$C:$FA,7)</f>
        <v>1967.4</v>
      </c>
      <c r="C16" s="140">
        <f>VLOOKUP($A16,'Data shares'!$C:$FA,3)</f>
        <v>1974</v>
      </c>
      <c r="D16" s="50">
        <f>VLOOKUP($A16,'Data shares'!$C:$FA,6)*100</f>
        <v>-0.12</v>
      </c>
      <c r="E16" s="51">
        <f>VLOOKUP($A16,'Data shares'!$C:$FA,98)</f>
        <v>69732375</v>
      </c>
      <c r="F16" s="51">
        <f>VLOOKUP($A16,'Data shares'!$C:$FA,99)</f>
        <v>69461625</v>
      </c>
      <c r="G16" s="50">
        <f>VLOOKUP($A16,'Data shares'!$C:$FA,101)*100</f>
        <v>0.38999999999999996</v>
      </c>
      <c r="H16" s="49">
        <f>VLOOKUP($A16,'Data Vlaue (Cr)'!$C:$FB,99)</f>
        <v>13765</v>
      </c>
      <c r="I16" s="49">
        <f>VLOOKUP($A16,'Data Vlaue (Cr)'!$C:$FB,100)</f>
        <v>13712</v>
      </c>
      <c r="J16" s="49">
        <f>VLOOKUP($A16,'Data Vlaue (Cr)'!$C:$FB,102)*100</f>
        <v>0.38999999999999996</v>
      </c>
    </row>
    <row r="17" spans="1:10" x14ac:dyDescent="0.25">
      <c r="A17" s="101" t="str">
        <f>'NIFTY GRP'!C12</f>
        <v>CIPLA</v>
      </c>
      <c r="B17" s="140">
        <f>VLOOKUP($A17,'Data shares'!$C:$FA,7)</f>
        <v>1569.4</v>
      </c>
      <c r="C17" s="140">
        <f>VLOOKUP($A17,'Data shares'!$C:$FA,3)</f>
        <v>1572.3</v>
      </c>
      <c r="D17" s="50">
        <f>VLOOKUP($A17,'Data shares'!$C:$FA,6)*100</f>
        <v>0.52</v>
      </c>
      <c r="E17" s="51">
        <f>VLOOKUP($A17,'Data shares'!$C:$FA,98)</f>
        <v>23051250</v>
      </c>
      <c r="F17" s="51">
        <f>VLOOKUP($A17,'Data shares'!$C:$FA,99)</f>
        <v>22213875</v>
      </c>
      <c r="G17" s="50">
        <f>VLOOKUP($A17,'Data shares'!$C:$FA,101)*100</f>
        <v>3.7699999999999996</v>
      </c>
      <c r="H17" s="49">
        <f>VLOOKUP($A17,'Data Vlaue (Cr)'!$C:$FB,99)</f>
        <v>3624</v>
      </c>
      <c r="I17" s="49">
        <f>VLOOKUP($A17,'Data Vlaue (Cr)'!$C:$FB,100)</f>
        <v>3493</v>
      </c>
      <c r="J17" s="49">
        <f>VLOOKUP($A17,'Data Vlaue (Cr)'!$C:$FB,102)*100</f>
        <v>3.7699999999999996</v>
      </c>
    </row>
    <row r="18" spans="1:10" x14ac:dyDescent="0.25">
      <c r="A18" s="101" t="str">
        <f>'NIFTY GRP'!C13</f>
        <v>COALINDIA</v>
      </c>
      <c r="B18" s="140">
        <f>VLOOKUP($A18,'Data shares'!$C:$FA,7)</f>
        <v>387.6</v>
      </c>
      <c r="C18" s="140">
        <f>VLOOKUP($A18,'Data shares'!$C:$FA,3)</f>
        <v>388.85</v>
      </c>
      <c r="D18" s="50">
        <f>VLOOKUP($A18,'Data shares'!$C:$FA,6)*100</f>
        <v>0.75</v>
      </c>
      <c r="E18" s="51">
        <f>VLOOKUP($A18,'Data shares'!$C:$FA,98)</f>
        <v>120320100</v>
      </c>
      <c r="F18" s="51">
        <f>VLOOKUP($A18,'Data shares'!$C:$FA,99)</f>
        <v>120933000</v>
      </c>
      <c r="G18" s="50">
        <f>VLOOKUP($A18,'Data shares'!$C:$FA,101)*100</f>
        <v>-0.51</v>
      </c>
      <c r="H18" s="49">
        <f>VLOOKUP($A18,'Data Vlaue (Cr)'!$C:$FB,99)</f>
        <v>4679</v>
      </c>
      <c r="I18" s="49">
        <f>VLOOKUP($A18,'Data Vlaue (Cr)'!$C:$FB,100)</f>
        <v>4702</v>
      </c>
      <c r="J18" s="49">
        <f>VLOOKUP($A18,'Data Vlaue (Cr)'!$C:$FB,102)*100</f>
        <v>-0.51</v>
      </c>
    </row>
    <row r="19" spans="1:10" x14ac:dyDescent="0.25">
      <c r="A19" s="101" t="str">
        <f>'NIFTY GRP'!C14</f>
        <v>DRREDDY</v>
      </c>
      <c r="B19" s="140">
        <f>VLOOKUP($A19,'Data shares'!$C:$FA,7)</f>
        <v>1240.2</v>
      </c>
      <c r="C19" s="140">
        <f>VLOOKUP($A19,'Data shares'!$C:$FA,3)</f>
        <v>1245.3</v>
      </c>
      <c r="D19" s="50">
        <f>VLOOKUP($A19,'Data shares'!$C:$FA,6)*100</f>
        <v>0.6</v>
      </c>
      <c r="E19" s="51">
        <f>VLOOKUP($A19,'Data shares'!$C:$FA,98)</f>
        <v>23052500</v>
      </c>
      <c r="F19" s="51">
        <f>VLOOKUP($A19,'Data shares'!$C:$FA,99)</f>
        <v>22726875</v>
      </c>
      <c r="G19" s="50">
        <f>VLOOKUP($A19,'Data shares'!$C:$FA,101)*100</f>
        <v>1.43</v>
      </c>
      <c r="H19" s="49">
        <f>VLOOKUP($A19,'Data Vlaue (Cr)'!$C:$FB,99)</f>
        <v>2871</v>
      </c>
      <c r="I19" s="49">
        <f>VLOOKUP($A19,'Data Vlaue (Cr)'!$C:$FB,100)</f>
        <v>2830</v>
      </c>
      <c r="J19" s="49">
        <f>VLOOKUP($A19,'Data Vlaue (Cr)'!$C:$FB,102)*100</f>
        <v>1.43</v>
      </c>
    </row>
    <row r="20" spans="1:10" x14ac:dyDescent="0.25">
      <c r="A20" s="101" t="str">
        <f>'NIFTY GRP'!C15</f>
        <v>EICHERMOT</v>
      </c>
      <c r="B20" s="140">
        <f>VLOOKUP($A20,'Data shares'!$C:$FA,7)</f>
        <v>6988</v>
      </c>
      <c r="C20" s="140">
        <f>VLOOKUP($A20,'Data shares'!$C:$FA,3)</f>
        <v>7014.5</v>
      </c>
      <c r="D20" s="50">
        <f>VLOOKUP($A20,'Data shares'!$C:$FA,6)*100</f>
        <v>1.29</v>
      </c>
      <c r="E20" s="51">
        <f>VLOOKUP($A20,'Data shares'!$C:$FA,98)</f>
        <v>7069475</v>
      </c>
      <c r="F20" s="51">
        <f>VLOOKUP($A20,'Data shares'!$C:$FA,99)</f>
        <v>7278950</v>
      </c>
      <c r="G20" s="50">
        <f>VLOOKUP($A20,'Data shares'!$C:$FA,101)*100</f>
        <v>-2.88</v>
      </c>
      <c r="H20" s="49">
        <f>VLOOKUP($A20,'Data Vlaue (Cr)'!$C:$FB,99)</f>
        <v>4959</v>
      </c>
      <c r="I20" s="49">
        <f>VLOOKUP($A20,'Data Vlaue (Cr)'!$C:$FB,100)</f>
        <v>5106</v>
      </c>
      <c r="J20" s="49">
        <f>VLOOKUP($A20,'Data Vlaue (Cr)'!$C:$FB,102)*100</f>
        <v>-2.88</v>
      </c>
    </row>
    <row r="21" spans="1:10" x14ac:dyDescent="0.25">
      <c r="A21" s="101" t="str">
        <f>'NIFTY GRP'!C16</f>
        <v>ETERNAL</v>
      </c>
      <c r="B21" s="140">
        <f>VLOOKUP($A21,'Data shares'!$C:$FA,7)</f>
        <v>347.85</v>
      </c>
      <c r="C21" s="140">
        <f>VLOOKUP($A21,'Data shares'!$C:$FA,3)</f>
        <v>348.25</v>
      </c>
      <c r="D21" s="50">
        <f>VLOOKUP($A21,'Data shares'!$C:$FA,6)*100</f>
        <v>-1.94</v>
      </c>
      <c r="E21" s="51">
        <f>VLOOKUP($A21,'Data shares'!$C:$FA,98)</f>
        <v>366344750</v>
      </c>
      <c r="F21" s="51">
        <f>VLOOKUP($A21,'Data shares'!$C:$FA,99)</f>
        <v>334642725</v>
      </c>
      <c r="G21" s="50">
        <f>VLOOKUP($A21,'Data shares'!$C:$FA,101)*100</f>
        <v>9.4700000000000006</v>
      </c>
      <c r="H21" s="49">
        <f>VLOOKUP($A21,'Data Vlaue (Cr)'!$C:$FB,99)</f>
        <v>12758</v>
      </c>
      <c r="I21" s="49">
        <f>VLOOKUP($A21,'Data Vlaue (Cr)'!$C:$FB,100)</f>
        <v>11654</v>
      </c>
      <c r="J21" s="49">
        <f>VLOOKUP($A21,'Data Vlaue (Cr)'!$C:$FB,102)*100</f>
        <v>9.4700000000000006</v>
      </c>
    </row>
    <row r="22" spans="1:10" x14ac:dyDescent="0.25">
      <c r="A22" s="101" t="str">
        <f>'NIFTY GRP'!C17</f>
        <v>GRASIM</v>
      </c>
      <c r="B22" s="140">
        <f>VLOOKUP($A22,'Data shares'!$C:$FA,7)</f>
        <v>2859.8</v>
      </c>
      <c r="C22" s="140">
        <f>VLOOKUP($A22,'Data shares'!$C:$FA,3)</f>
        <v>2868.7</v>
      </c>
      <c r="D22" s="50">
        <f>VLOOKUP($A22,'Data shares'!$C:$FA,6)*100</f>
        <v>1.4000000000000001</v>
      </c>
      <c r="E22" s="51">
        <f>VLOOKUP($A22,'Data shares'!$C:$FA,98)</f>
        <v>17365750</v>
      </c>
      <c r="F22" s="51">
        <f>VLOOKUP($A22,'Data shares'!$C:$FA,99)</f>
        <v>17262500</v>
      </c>
      <c r="G22" s="50">
        <f>VLOOKUP($A22,'Data shares'!$C:$FA,101)*100</f>
        <v>0.6</v>
      </c>
      <c r="H22" s="49">
        <f>VLOOKUP($A22,'Data Vlaue (Cr)'!$C:$FB,99)</f>
        <v>4982</v>
      </c>
      <c r="I22" s="49">
        <f>VLOOKUP($A22,'Data Vlaue (Cr)'!$C:$FB,100)</f>
        <v>4952</v>
      </c>
      <c r="J22" s="49">
        <f>VLOOKUP($A22,'Data Vlaue (Cr)'!$C:$FB,102)*100</f>
        <v>0.6</v>
      </c>
    </row>
    <row r="23" spans="1:10" x14ac:dyDescent="0.25">
      <c r="A23" s="101" t="str">
        <f>'NIFTY GRP'!C18</f>
        <v>HCLTECH</v>
      </c>
      <c r="B23" s="140">
        <f>VLOOKUP($A23,'Data shares'!$C:$FA,7)</f>
        <v>1515</v>
      </c>
      <c r="C23" s="140">
        <f>VLOOKUP($A23,'Data shares'!$C:$FA,3)</f>
        <v>1504.6</v>
      </c>
      <c r="D23" s="50">
        <f>VLOOKUP($A23,'Data shares'!$C:$FA,6)*100</f>
        <v>1.1100000000000001</v>
      </c>
      <c r="E23" s="51">
        <f>VLOOKUP($A23,'Data shares'!$C:$FA,98)</f>
        <v>33686100</v>
      </c>
      <c r="F23" s="51">
        <f>VLOOKUP($A23,'Data shares'!$C:$FA,99)</f>
        <v>38533950</v>
      </c>
      <c r="G23" s="50">
        <f>VLOOKUP($A23,'Data shares'!$C:$FA,101)*100</f>
        <v>-12.58</v>
      </c>
      <c r="H23" s="49">
        <f>VLOOKUP($A23,'Data Vlaue (Cr)'!$C:$FB,99)</f>
        <v>5068</v>
      </c>
      <c r="I23" s="49">
        <f>VLOOKUP($A23,'Data Vlaue (Cr)'!$C:$FB,100)</f>
        <v>5798</v>
      </c>
      <c r="J23" s="49">
        <f>VLOOKUP($A23,'Data Vlaue (Cr)'!$C:$FB,102)*100</f>
        <v>-12.58</v>
      </c>
    </row>
    <row r="24" spans="1:10" x14ac:dyDescent="0.25">
      <c r="A24" s="101" t="str">
        <f>'NIFTY GRP'!C19</f>
        <v>HDFCBANK</v>
      </c>
      <c r="B24" s="140">
        <f>VLOOKUP($A24,'Data shares'!$C:$FA,7)</f>
        <v>994.35</v>
      </c>
      <c r="C24" s="140">
        <f>VLOOKUP($A24,'Data shares'!$C:$FA,3)</f>
        <v>995.65</v>
      </c>
      <c r="D24" s="50">
        <f>VLOOKUP($A24,'Data shares'!$C:$FA,6)*100</f>
        <v>1.34</v>
      </c>
      <c r="E24" s="51">
        <f>VLOOKUP($A24,'Data shares'!$C:$FA,98)</f>
        <v>267382500</v>
      </c>
      <c r="F24" s="51">
        <f>VLOOKUP($A24,'Data shares'!$C:$FA,99)</f>
        <v>269339400</v>
      </c>
      <c r="G24" s="50">
        <f>VLOOKUP($A24,'Data shares'!$C:$FA,101)*100</f>
        <v>-0.73</v>
      </c>
      <c r="H24" s="49">
        <f>VLOOKUP($A24,'Data Vlaue (Cr)'!$C:$FB,99)</f>
        <v>26622</v>
      </c>
      <c r="I24" s="49">
        <f>VLOOKUP($A24,'Data Vlaue (Cr)'!$C:$FB,100)</f>
        <v>26817</v>
      </c>
      <c r="J24" s="49">
        <f>VLOOKUP($A24,'Data Vlaue (Cr)'!$C:$FB,102)*100</f>
        <v>-0.73</v>
      </c>
    </row>
    <row r="25" spans="1:10" x14ac:dyDescent="0.25">
      <c r="A25" s="101" t="str">
        <f>'NIFTY GRP'!C20</f>
        <v>HDFCLIFE</v>
      </c>
      <c r="B25" s="140">
        <f>VLOOKUP($A25,'Data shares'!$C:$FA,7)</f>
        <v>742.85</v>
      </c>
      <c r="C25" s="140">
        <f>VLOOKUP($A25,'Data shares'!$C:$FA,3)</f>
        <v>743.5</v>
      </c>
      <c r="D25" s="50">
        <f>VLOOKUP($A25,'Data shares'!$C:$FA,6)*100</f>
        <v>-2.4699999999999998</v>
      </c>
      <c r="E25" s="51">
        <f>VLOOKUP($A25,'Data shares'!$C:$FA,98)</f>
        <v>58207600</v>
      </c>
      <c r="F25" s="51">
        <f>VLOOKUP($A25,'Data shares'!$C:$FA,99)</f>
        <v>51191800</v>
      </c>
      <c r="G25" s="50">
        <f>VLOOKUP($A25,'Data shares'!$C:$FA,101)*100</f>
        <v>13.700000000000001</v>
      </c>
      <c r="H25" s="49">
        <f>VLOOKUP($A25,'Data Vlaue (Cr)'!$C:$FB,99)</f>
        <v>4328</v>
      </c>
      <c r="I25" s="49">
        <f>VLOOKUP($A25,'Data Vlaue (Cr)'!$C:$FB,100)</f>
        <v>3806</v>
      </c>
      <c r="J25" s="49">
        <f>VLOOKUP($A25,'Data Vlaue (Cr)'!$C:$FB,102)*100</f>
        <v>13.700000000000001</v>
      </c>
    </row>
    <row r="26" spans="1:10" x14ac:dyDescent="0.25">
      <c r="A26" s="101" t="str">
        <f>'NIFTY GRP'!C21</f>
        <v>HINDALCO</v>
      </c>
      <c r="B26" s="140">
        <f>VLOOKUP($A26,'Data shares'!$C:$FA,7)</f>
        <v>780.1</v>
      </c>
      <c r="C26" s="140">
        <f>VLOOKUP($A26,'Data shares'!$C:$FA,3)</f>
        <v>781.25</v>
      </c>
      <c r="D26" s="50">
        <f>VLOOKUP($A26,'Data shares'!$C:$FA,6)*100</f>
        <v>1.78</v>
      </c>
      <c r="E26" s="51">
        <f>VLOOKUP($A26,'Data shares'!$C:$FA,98)</f>
        <v>97332200</v>
      </c>
      <c r="F26" s="51">
        <f>VLOOKUP($A26,'Data shares'!$C:$FA,99)</f>
        <v>99967000</v>
      </c>
      <c r="G26" s="50">
        <f>VLOOKUP($A26,'Data shares'!$C:$FA,101)*100</f>
        <v>-2.64</v>
      </c>
      <c r="H26" s="49">
        <f>VLOOKUP($A26,'Data Vlaue (Cr)'!$C:$FB,99)</f>
        <v>7604</v>
      </c>
      <c r="I26" s="49">
        <f>VLOOKUP($A26,'Data Vlaue (Cr)'!$C:$FB,100)</f>
        <v>7810</v>
      </c>
      <c r="J26" s="49">
        <f>VLOOKUP($A26,'Data Vlaue (Cr)'!$C:$FB,102)*100</f>
        <v>-2.64</v>
      </c>
    </row>
    <row r="27" spans="1:10" x14ac:dyDescent="0.25">
      <c r="A27" s="101" t="str">
        <f>'NIFTY GRP'!C22</f>
        <v>HINDUNILVR</v>
      </c>
      <c r="B27" s="140">
        <f>VLOOKUP($A27,'Data shares'!$C:$FA,7)</f>
        <v>2561.5</v>
      </c>
      <c r="C27" s="140">
        <f>VLOOKUP($A27,'Data shares'!$C:$FA,3)</f>
        <v>2562.3000000000002</v>
      </c>
      <c r="D27" s="50">
        <f>VLOOKUP($A27,'Data shares'!$C:$FA,6)*100</f>
        <v>1.7000000000000002</v>
      </c>
      <c r="E27" s="51">
        <f>VLOOKUP($A27,'Data shares'!$C:$FA,98)</f>
        <v>22764900</v>
      </c>
      <c r="F27" s="51">
        <f>VLOOKUP($A27,'Data shares'!$C:$FA,99)</f>
        <v>22813200</v>
      </c>
      <c r="G27" s="50">
        <f>VLOOKUP($A27,'Data shares'!$C:$FA,101)*100</f>
        <v>-0.21</v>
      </c>
      <c r="H27" s="49">
        <f>VLOOKUP($A27,'Data Vlaue (Cr)'!$C:$FB,99)</f>
        <v>5833</v>
      </c>
      <c r="I27" s="49">
        <f>VLOOKUP($A27,'Data Vlaue (Cr)'!$C:$FB,100)</f>
        <v>5845</v>
      </c>
      <c r="J27" s="49">
        <f>VLOOKUP($A27,'Data Vlaue (Cr)'!$C:$FB,102)*100</f>
        <v>-0.21</v>
      </c>
    </row>
    <row r="28" spans="1:10" x14ac:dyDescent="0.25">
      <c r="A28" s="101" t="str">
        <f>'NIFTY GRP'!C23</f>
        <v>ICICIBANK</v>
      </c>
      <c r="B28" s="140">
        <f>VLOOKUP($A28,'Data shares'!$C:$FA,7)</f>
        <v>1417.3</v>
      </c>
      <c r="C28" s="140">
        <f>VLOOKUP($A28,'Data shares'!$C:$FA,3)</f>
        <v>1419</v>
      </c>
      <c r="D28" s="50">
        <f>VLOOKUP($A28,'Data shares'!$C:$FA,6)*100</f>
        <v>1.28</v>
      </c>
      <c r="E28" s="51">
        <f>VLOOKUP($A28,'Data shares'!$C:$FA,98)</f>
        <v>153281800</v>
      </c>
      <c r="F28" s="51">
        <f>VLOOKUP($A28,'Data shares'!$C:$FA,99)</f>
        <v>155801800</v>
      </c>
      <c r="G28" s="50">
        <f>VLOOKUP($A28,'Data shares'!$C:$FA,101)*100</f>
        <v>-1.6199999999999999</v>
      </c>
      <c r="H28" s="49">
        <f>VLOOKUP($A28,'Data Vlaue (Cr)'!$C:$FB,99)</f>
        <v>21751</v>
      </c>
      <c r="I28" s="49">
        <f>VLOOKUP($A28,'Data Vlaue (Cr)'!$C:$FB,100)</f>
        <v>22108</v>
      </c>
      <c r="J28" s="49">
        <f>VLOOKUP($A28,'Data Vlaue (Cr)'!$C:$FB,102)*100</f>
        <v>-1.6199999999999999</v>
      </c>
    </row>
    <row r="29" spans="1:10" x14ac:dyDescent="0.25">
      <c r="A29" s="101" t="str">
        <f>'NIFTY GRP'!C24</f>
        <v>INDIGO</v>
      </c>
      <c r="B29" s="140">
        <f>VLOOKUP($A29,'Data shares'!$C:$FA,7)</f>
        <v>5881</v>
      </c>
      <c r="C29" s="140">
        <f>VLOOKUP($A29,'Data shares'!$C:$FA,3)</f>
        <v>5893.5</v>
      </c>
      <c r="D29" s="50">
        <f>VLOOKUP($A29,'Data shares'!$C:$FA,6)*100</f>
        <v>0.33</v>
      </c>
      <c r="E29" s="51">
        <f>VLOOKUP($A29,'Data shares'!$C:$FA,98)</f>
        <v>11534850</v>
      </c>
      <c r="F29" s="51">
        <f>VLOOKUP($A29,'Data shares'!$C:$FA,99)</f>
        <v>11308650</v>
      </c>
      <c r="G29" s="50">
        <f>VLOOKUP($A29,'Data shares'!$C:$FA,101)*100</f>
        <v>2</v>
      </c>
      <c r="H29" s="49">
        <f>VLOOKUP($A29,'Data Vlaue (Cr)'!$C:$FB,99)</f>
        <v>6798</v>
      </c>
      <c r="I29" s="49">
        <f>VLOOKUP($A29,'Data Vlaue (Cr)'!$C:$FB,100)</f>
        <v>6665</v>
      </c>
      <c r="J29" s="49">
        <f>VLOOKUP($A29,'Data Vlaue (Cr)'!$C:$FB,102)*100</f>
        <v>2</v>
      </c>
    </row>
    <row r="30" spans="1:10" x14ac:dyDescent="0.25">
      <c r="A30" s="101" t="str">
        <f>'NIFTY GRP'!C25</f>
        <v>INFY</v>
      </c>
      <c r="B30" s="140">
        <f>VLOOKUP($A30,'Data shares'!$C:$FA,7)</f>
        <v>1471.5</v>
      </c>
      <c r="C30" s="140">
        <f>VLOOKUP($A30,'Data shares'!$C:$FA,3)</f>
        <v>1456.9</v>
      </c>
      <c r="D30" s="50">
        <f>VLOOKUP($A30,'Data shares'!$C:$FA,6)*100</f>
        <v>-0.54999999999999993</v>
      </c>
      <c r="E30" s="51">
        <f>VLOOKUP($A30,'Data shares'!$C:$FA,98)</f>
        <v>146981600</v>
      </c>
      <c r="F30" s="51">
        <f>VLOOKUP($A30,'Data shares'!$C:$FA,99)</f>
        <v>129865600</v>
      </c>
      <c r="G30" s="50">
        <f>VLOOKUP($A30,'Data shares'!$C:$FA,101)*100</f>
        <v>13.18</v>
      </c>
      <c r="H30" s="49">
        <f>VLOOKUP($A30,'Data Vlaue (Cr)'!$C:$FB,99)</f>
        <v>21414</v>
      </c>
      <c r="I30" s="49">
        <f>VLOOKUP($A30,'Data Vlaue (Cr)'!$C:$FB,100)</f>
        <v>18920</v>
      </c>
      <c r="J30" s="49">
        <f>VLOOKUP($A30,'Data Vlaue (Cr)'!$C:$FB,102)*100</f>
        <v>13.18</v>
      </c>
    </row>
    <row r="31" spans="1:10" x14ac:dyDescent="0.25">
      <c r="A31" s="101" t="str">
        <f>'NIFTY GRP'!C26</f>
        <v>ITC</v>
      </c>
      <c r="B31" s="140">
        <f>VLOOKUP($A31,'Data shares'!$C:$FA,7)</f>
        <v>405.15</v>
      </c>
      <c r="C31" s="140">
        <f>VLOOKUP($A31,'Data shares'!$C:$FA,3)</f>
        <v>406.75</v>
      </c>
      <c r="D31" s="50">
        <f>VLOOKUP($A31,'Data shares'!$C:$FA,6)*100</f>
        <v>1.27</v>
      </c>
      <c r="E31" s="51">
        <f>VLOOKUP($A31,'Data shares'!$C:$FA,98)</f>
        <v>221566400</v>
      </c>
      <c r="F31" s="51">
        <f>VLOOKUP($A31,'Data shares'!$C:$FA,99)</f>
        <v>224787200</v>
      </c>
      <c r="G31" s="50">
        <f>VLOOKUP($A31,'Data shares'!$C:$FA,101)*100</f>
        <v>-1.43</v>
      </c>
      <c r="H31" s="49">
        <f>VLOOKUP($A31,'Data Vlaue (Cr)'!$C:$FB,99)</f>
        <v>9012</v>
      </c>
      <c r="I31" s="49">
        <f>VLOOKUP($A31,'Data Vlaue (Cr)'!$C:$FB,100)</f>
        <v>9143</v>
      </c>
      <c r="J31" s="49">
        <f>VLOOKUP($A31,'Data Vlaue (Cr)'!$C:$FB,102)*100</f>
        <v>-1.43</v>
      </c>
    </row>
    <row r="32" spans="1:10" x14ac:dyDescent="0.25">
      <c r="A32" s="101" t="str">
        <f>'NIFTY GRP'!C27</f>
        <v>JIOFIN</v>
      </c>
      <c r="B32" s="140">
        <f>VLOOKUP($A32,'Data shares'!$C:$FA,7)</f>
        <v>312.10000000000002</v>
      </c>
      <c r="C32" s="140">
        <f>VLOOKUP($A32,'Data shares'!$C:$FA,3)</f>
        <v>313.3</v>
      </c>
      <c r="D32" s="50">
        <f>VLOOKUP($A32,'Data shares'!$C:$FA,6)*100</f>
        <v>-0.21</v>
      </c>
      <c r="E32" s="51">
        <f>VLOOKUP($A32,'Data shares'!$C:$FA,98)</f>
        <v>257980650</v>
      </c>
      <c r="F32" s="51">
        <f>VLOOKUP($A32,'Data shares'!$C:$FA,99)</f>
        <v>240595350</v>
      </c>
      <c r="G32" s="50">
        <f>VLOOKUP($A32,'Data shares'!$C:$FA,101)*100</f>
        <v>7.23</v>
      </c>
      <c r="H32" s="49">
        <f>VLOOKUP($A32,'Data Vlaue (Cr)'!$C:$FB,99)</f>
        <v>8083</v>
      </c>
      <c r="I32" s="49">
        <f>VLOOKUP($A32,'Data Vlaue (Cr)'!$C:$FB,100)</f>
        <v>7538</v>
      </c>
      <c r="J32" s="49">
        <f>VLOOKUP($A32,'Data Vlaue (Cr)'!$C:$FB,102)*100</f>
        <v>7.23</v>
      </c>
    </row>
    <row r="33" spans="1:10" x14ac:dyDescent="0.25">
      <c r="A33" s="101" t="str">
        <f>'NIFTY GRP'!C28</f>
        <v>JSWSTEEL</v>
      </c>
      <c r="B33" s="140">
        <f>VLOOKUP($A33,'Data shares'!$C:$FA,7)</f>
        <v>1172.0999999999999</v>
      </c>
      <c r="C33" s="140">
        <f>VLOOKUP($A33,'Data shares'!$C:$FA,3)</f>
        <v>1173.5999999999999</v>
      </c>
      <c r="D33" s="50">
        <f>VLOOKUP($A33,'Data shares'!$C:$FA,6)*100</f>
        <v>0.69</v>
      </c>
      <c r="E33" s="51">
        <f>VLOOKUP($A33,'Data shares'!$C:$FA,98)</f>
        <v>55602450</v>
      </c>
      <c r="F33" s="51">
        <f>VLOOKUP($A33,'Data shares'!$C:$FA,99)</f>
        <v>55354725</v>
      </c>
      <c r="G33" s="50">
        <f>VLOOKUP($A33,'Data shares'!$C:$FA,101)*100</f>
        <v>0.44999999999999996</v>
      </c>
      <c r="H33" s="49">
        <f>VLOOKUP($A33,'Data Vlaue (Cr)'!$C:$FB,99)</f>
        <v>6526</v>
      </c>
      <c r="I33" s="49">
        <f>VLOOKUP($A33,'Data Vlaue (Cr)'!$C:$FB,100)</f>
        <v>6496</v>
      </c>
      <c r="J33" s="49">
        <f>VLOOKUP($A33,'Data Vlaue (Cr)'!$C:$FB,102)*100</f>
        <v>0.44999999999999996</v>
      </c>
    </row>
    <row r="34" spans="1:10" x14ac:dyDescent="0.25">
      <c r="A34" s="101" t="str">
        <f>'NIFTY GRP'!C29</f>
        <v>KOTAKBANK</v>
      </c>
      <c r="B34" s="140">
        <f>VLOOKUP($A34,'Data shares'!$C:$FA,7)</f>
        <v>2205.4</v>
      </c>
      <c r="C34" s="140">
        <f>VLOOKUP($A34,'Data shares'!$C:$FA,3)</f>
        <v>2208</v>
      </c>
      <c r="D34" s="50">
        <f>VLOOKUP($A34,'Data shares'!$C:$FA,6)*100</f>
        <v>2.5499999999999998</v>
      </c>
      <c r="E34" s="51">
        <f>VLOOKUP($A34,'Data shares'!$C:$FA,98)</f>
        <v>52005200</v>
      </c>
      <c r="F34" s="51">
        <f>VLOOKUP($A34,'Data shares'!$C:$FA,99)</f>
        <v>50637600</v>
      </c>
      <c r="G34" s="50">
        <f>VLOOKUP($A34,'Data shares'!$C:$FA,101)*100</f>
        <v>2.7</v>
      </c>
      <c r="H34" s="49">
        <f>VLOOKUP($A34,'Data Vlaue (Cr)'!$C:$FB,99)</f>
        <v>11483</v>
      </c>
      <c r="I34" s="49">
        <f>VLOOKUP($A34,'Data Vlaue (Cr)'!$C:$FB,100)</f>
        <v>11181</v>
      </c>
      <c r="J34" s="49">
        <f>VLOOKUP($A34,'Data Vlaue (Cr)'!$C:$FB,102)*100</f>
        <v>2.7</v>
      </c>
    </row>
    <row r="35" spans="1:10" x14ac:dyDescent="0.25">
      <c r="A35" s="101" t="str">
        <f>'NIFTY GRP'!C30</f>
        <v>LT</v>
      </c>
      <c r="B35" s="140">
        <f>VLOOKUP($A35,'Data shares'!$C:$FA,7)</f>
        <v>3861.8</v>
      </c>
      <c r="C35" s="140">
        <f>VLOOKUP($A35,'Data shares'!$C:$FA,3)</f>
        <v>3866.7</v>
      </c>
      <c r="D35" s="50">
        <f>VLOOKUP($A35,'Data shares'!$C:$FA,6)*100</f>
        <v>0.77999999999999992</v>
      </c>
      <c r="E35" s="51">
        <f>VLOOKUP($A35,'Data shares'!$C:$FA,98)</f>
        <v>28471625</v>
      </c>
      <c r="F35" s="51">
        <f>VLOOKUP($A35,'Data shares'!$C:$FA,99)</f>
        <v>27896400</v>
      </c>
      <c r="G35" s="50">
        <f>VLOOKUP($A35,'Data shares'!$C:$FA,101)*100</f>
        <v>2.06</v>
      </c>
      <c r="H35" s="49">
        <f>VLOOKUP($A35,'Data Vlaue (Cr)'!$C:$FB,99)</f>
        <v>11009</v>
      </c>
      <c r="I35" s="49">
        <f>VLOOKUP($A35,'Data Vlaue (Cr)'!$C:$FB,100)</f>
        <v>10787</v>
      </c>
      <c r="J35" s="49">
        <f>VLOOKUP($A35,'Data Vlaue (Cr)'!$C:$FB,102)*100</f>
        <v>2.06</v>
      </c>
    </row>
    <row r="36" spans="1:10" x14ac:dyDescent="0.25">
      <c r="A36" s="101" t="str">
        <f>'NIFTY GRP'!C31</f>
        <v>M&amp;M</v>
      </c>
      <c r="B36" s="140">
        <f>VLOOKUP($A36,'Data shares'!$C:$FA,7)</f>
        <v>3560.8</v>
      </c>
      <c r="C36" s="140">
        <f>VLOOKUP($A36,'Data shares'!$C:$FA,3)</f>
        <v>3567.2</v>
      </c>
      <c r="D36" s="50">
        <f>VLOOKUP($A36,'Data shares'!$C:$FA,6)*100</f>
        <v>1.87</v>
      </c>
      <c r="E36" s="51">
        <f>VLOOKUP($A36,'Data shares'!$C:$FA,98)</f>
        <v>28671800</v>
      </c>
      <c r="F36" s="51">
        <f>VLOOKUP($A36,'Data shares'!$C:$FA,99)</f>
        <v>29017600</v>
      </c>
      <c r="G36" s="50">
        <f>VLOOKUP($A36,'Data shares'!$C:$FA,101)*100</f>
        <v>-1.1900000000000002</v>
      </c>
      <c r="H36" s="49">
        <f>VLOOKUP($A36,'Data Vlaue (Cr)'!$C:$FB,99)</f>
        <v>10228</v>
      </c>
      <c r="I36" s="49">
        <f>VLOOKUP($A36,'Data Vlaue (Cr)'!$C:$FB,100)</f>
        <v>10351</v>
      </c>
      <c r="J36" s="49">
        <f>VLOOKUP($A36,'Data Vlaue (Cr)'!$C:$FB,102)*100</f>
        <v>-1.1900000000000002</v>
      </c>
    </row>
    <row r="37" spans="1:10" x14ac:dyDescent="0.25">
      <c r="A37" s="101" t="str">
        <f>'NIFTY GRP'!C32</f>
        <v>MARUTI</v>
      </c>
      <c r="B37" s="140">
        <f>VLOOKUP($A37,'Data shares'!$C:$FA,7)</f>
        <v>16298</v>
      </c>
      <c r="C37" s="140">
        <f>VLOOKUP($A37,'Data shares'!$C:$FA,3)</f>
        <v>16354</v>
      </c>
      <c r="D37" s="50">
        <f>VLOOKUP($A37,'Data shares'!$C:$FA,6)*100</f>
        <v>0.5</v>
      </c>
      <c r="E37" s="51">
        <f>VLOOKUP($A37,'Data shares'!$C:$FA,98)</f>
        <v>7660200</v>
      </c>
      <c r="F37" s="51">
        <f>VLOOKUP($A37,'Data shares'!$C:$FA,99)</f>
        <v>7749200</v>
      </c>
      <c r="G37" s="50">
        <f>VLOOKUP($A37,'Data shares'!$C:$FA,101)*100</f>
        <v>-1.1499999999999999</v>
      </c>
      <c r="H37" s="49">
        <f>VLOOKUP($A37,'Data Vlaue (Cr)'!$C:$FB,99)</f>
        <v>12527</v>
      </c>
      <c r="I37" s="49">
        <f>VLOOKUP($A37,'Data Vlaue (Cr)'!$C:$FB,100)</f>
        <v>12673</v>
      </c>
      <c r="J37" s="49">
        <f>VLOOKUP($A37,'Data Vlaue (Cr)'!$C:$FB,102)*100</f>
        <v>-1.1499999999999999</v>
      </c>
    </row>
    <row r="38" spans="1:10" x14ac:dyDescent="0.25">
      <c r="A38" s="101" t="str">
        <f>'NIFTY GRP'!C33</f>
        <v>MAXHEALTH</v>
      </c>
      <c r="B38" s="140">
        <f>VLOOKUP($A38,'Data shares'!$C:$FA,7)</f>
        <v>1175.3</v>
      </c>
      <c r="C38" s="140">
        <f>VLOOKUP($A38,'Data shares'!$C:$FA,3)</f>
        <v>1178.7</v>
      </c>
      <c r="D38" s="50">
        <f>VLOOKUP($A38,'Data shares'!$C:$FA,6)*100</f>
        <v>1.67</v>
      </c>
      <c r="E38" s="51">
        <f>VLOOKUP($A38,'Data shares'!$C:$FA,98)</f>
        <v>23508450</v>
      </c>
      <c r="F38" s="51">
        <f>VLOOKUP($A38,'Data shares'!$C:$FA,99)</f>
        <v>23245950</v>
      </c>
      <c r="G38" s="50">
        <f>VLOOKUP($A38,'Data shares'!$C:$FA,101)*100</f>
        <v>1.1299999999999999</v>
      </c>
      <c r="H38" s="49">
        <f>VLOOKUP($A38,'Data Vlaue (Cr)'!$C:$FB,99)</f>
        <v>2771</v>
      </c>
      <c r="I38" s="49">
        <f>VLOOKUP($A38,'Data Vlaue (Cr)'!$C:$FB,100)</f>
        <v>2740</v>
      </c>
      <c r="J38" s="49">
        <f>VLOOKUP($A38,'Data Vlaue (Cr)'!$C:$FB,102)*100</f>
        <v>1.1299999999999999</v>
      </c>
    </row>
    <row r="39" spans="1:10" x14ac:dyDescent="0.25">
      <c r="A39" s="101" t="str">
        <f>'NIFTY GRP'!C34</f>
        <v>NESTLEIND</v>
      </c>
      <c r="B39" s="140">
        <f>VLOOKUP($A39,'Data shares'!$C:$FA,7)</f>
        <v>1276.5999999999999</v>
      </c>
      <c r="C39" s="140">
        <f>VLOOKUP($A39,'Data shares'!$C:$FA,3)</f>
        <v>1282</v>
      </c>
      <c r="D39" s="50">
        <f>VLOOKUP($A39,'Data shares'!$C:$FA,6)*100</f>
        <v>4.5199999999999996</v>
      </c>
      <c r="E39" s="51">
        <f>VLOOKUP($A39,'Data shares'!$C:$FA,98)</f>
        <v>38442500</v>
      </c>
      <c r="F39" s="51">
        <f>VLOOKUP($A39,'Data shares'!$C:$FA,99)</f>
        <v>28973500</v>
      </c>
      <c r="G39" s="50">
        <f>VLOOKUP($A39,'Data shares'!$C:$FA,101)*100</f>
        <v>32.68</v>
      </c>
      <c r="H39" s="49">
        <f>VLOOKUP($A39,'Data Vlaue (Cr)'!$C:$FB,99)</f>
        <v>4928</v>
      </c>
      <c r="I39" s="49">
        <f>VLOOKUP($A39,'Data Vlaue (Cr)'!$C:$FB,100)</f>
        <v>3714</v>
      </c>
      <c r="J39" s="49">
        <f>VLOOKUP($A39,'Data Vlaue (Cr)'!$C:$FB,102)*100</f>
        <v>32.68</v>
      </c>
    </row>
    <row r="40" spans="1:10" x14ac:dyDescent="0.25">
      <c r="A40" s="101" t="str">
        <f>'NIFTY GRP'!C35</f>
        <v>NTPC</v>
      </c>
      <c r="B40" s="140">
        <f>VLOOKUP($A40,'Data shares'!$C:$FA,7)</f>
        <v>341.5</v>
      </c>
      <c r="C40" s="140">
        <f>VLOOKUP($A40,'Data shares'!$C:$FA,3)</f>
        <v>342.5</v>
      </c>
      <c r="D40" s="50">
        <f>VLOOKUP($A40,'Data shares'!$C:$FA,6)*100</f>
        <v>0.55999999999999994</v>
      </c>
      <c r="E40" s="51">
        <f>VLOOKUP($A40,'Data shares'!$C:$FA,98)</f>
        <v>161238000</v>
      </c>
      <c r="F40" s="51">
        <f>VLOOKUP($A40,'Data shares'!$C:$FA,99)</f>
        <v>161067000</v>
      </c>
      <c r="G40" s="50">
        <f>VLOOKUP($A40,'Data shares'!$C:$FA,101)*100</f>
        <v>0.11</v>
      </c>
      <c r="H40" s="49">
        <f>VLOOKUP($A40,'Data Vlaue (Cr)'!$C:$FB,99)</f>
        <v>5522</v>
      </c>
      <c r="I40" s="49">
        <f>VLOOKUP($A40,'Data Vlaue (Cr)'!$C:$FB,100)</f>
        <v>5517</v>
      </c>
      <c r="J40" s="49">
        <f>VLOOKUP($A40,'Data Vlaue (Cr)'!$C:$FB,102)*100</f>
        <v>0.11</v>
      </c>
    </row>
    <row r="41" spans="1:10" x14ac:dyDescent="0.25">
      <c r="A41" s="101" t="str">
        <f>'NIFTY GRP'!C36</f>
        <v>ONGC</v>
      </c>
      <c r="B41" s="140">
        <f>VLOOKUP($A41,'Data shares'!$C:$FA,7)</f>
        <v>248.35</v>
      </c>
      <c r="C41" s="140">
        <f>VLOOKUP($A41,'Data shares'!$C:$FA,3)</f>
        <v>248.59</v>
      </c>
      <c r="D41" s="50">
        <f>VLOOKUP($A41,'Data shares'!$C:$FA,6)*100</f>
        <v>0.21</v>
      </c>
      <c r="E41" s="51">
        <f>VLOOKUP($A41,'Data shares'!$C:$FA,98)</f>
        <v>176170500</v>
      </c>
      <c r="F41" s="51">
        <f>VLOOKUP($A41,'Data shares'!$C:$FA,99)</f>
        <v>174737250</v>
      </c>
      <c r="G41" s="50">
        <f>VLOOKUP($A41,'Data shares'!$C:$FA,101)*100</f>
        <v>0.82000000000000006</v>
      </c>
      <c r="H41" s="49">
        <f>VLOOKUP($A41,'Data Vlaue (Cr)'!$C:$FB,99)</f>
        <v>4379</v>
      </c>
      <c r="I41" s="49">
        <f>VLOOKUP($A41,'Data Vlaue (Cr)'!$C:$FB,100)</f>
        <v>4344</v>
      </c>
      <c r="J41" s="49">
        <f>VLOOKUP($A41,'Data Vlaue (Cr)'!$C:$FB,102)*100</f>
        <v>0.82000000000000006</v>
      </c>
    </row>
    <row r="42" spans="1:10" x14ac:dyDescent="0.25">
      <c r="A42" s="101" t="str">
        <f>'NIFTY GRP'!C37</f>
        <v>POWERGRID</v>
      </c>
      <c r="B42" s="140">
        <f>VLOOKUP($A42,'Data shares'!$C:$FA,7)</f>
        <v>291.85000000000002</v>
      </c>
      <c r="C42" s="140">
        <f>VLOOKUP($A42,'Data shares'!$C:$FA,3)</f>
        <v>292.55</v>
      </c>
      <c r="D42" s="50">
        <f>VLOOKUP($A42,'Data shares'!$C:$FA,6)*100</f>
        <v>0.12</v>
      </c>
      <c r="E42" s="51">
        <f>VLOOKUP($A42,'Data shares'!$C:$FA,98)</f>
        <v>117712600</v>
      </c>
      <c r="F42" s="51">
        <f>VLOOKUP($A42,'Data shares'!$C:$FA,99)</f>
        <v>117758200</v>
      </c>
      <c r="G42" s="50">
        <f>VLOOKUP($A42,'Data shares'!$C:$FA,101)*100</f>
        <v>-0.04</v>
      </c>
      <c r="H42" s="49">
        <f>VLOOKUP($A42,'Data Vlaue (Cr)'!$C:$FB,99)</f>
        <v>3444</v>
      </c>
      <c r="I42" s="49">
        <f>VLOOKUP($A42,'Data Vlaue (Cr)'!$C:$FB,100)</f>
        <v>3445</v>
      </c>
      <c r="J42" s="49">
        <f>VLOOKUP($A42,'Data Vlaue (Cr)'!$C:$FB,102)*100</f>
        <v>-0.04</v>
      </c>
    </row>
    <row r="43" spans="1:10" x14ac:dyDescent="0.25">
      <c r="A43" s="101" t="str">
        <f>'NIFTY GRP'!C38</f>
        <v>RELIANCE</v>
      </c>
      <c r="B43" s="140">
        <f>VLOOKUP($A43,'Data shares'!$C:$FA,7)</f>
        <v>1398.3</v>
      </c>
      <c r="C43" s="140">
        <f>VLOOKUP($A43,'Data shares'!$C:$FA,3)</f>
        <v>1399.8</v>
      </c>
      <c r="D43" s="50">
        <f>VLOOKUP($A43,'Data shares'!$C:$FA,6)*100</f>
        <v>1.47</v>
      </c>
      <c r="E43" s="51">
        <f>VLOOKUP($A43,'Data shares'!$C:$FA,98)</f>
        <v>231972000</v>
      </c>
      <c r="F43" s="51">
        <f>VLOOKUP($A43,'Data shares'!$C:$FA,99)</f>
        <v>234462500</v>
      </c>
      <c r="G43" s="50">
        <f>VLOOKUP($A43,'Data shares'!$C:$FA,101)*100</f>
        <v>-1.06</v>
      </c>
      <c r="H43" s="49">
        <f>VLOOKUP($A43,'Data Vlaue (Cr)'!$C:$FB,99)</f>
        <v>32471</v>
      </c>
      <c r="I43" s="49">
        <f>VLOOKUP($A43,'Data Vlaue (Cr)'!$C:$FB,100)</f>
        <v>32820</v>
      </c>
      <c r="J43" s="49">
        <f>VLOOKUP($A43,'Data Vlaue (Cr)'!$C:$FB,102)*100</f>
        <v>-1.06</v>
      </c>
    </row>
    <row r="44" spans="1:10" x14ac:dyDescent="0.25">
      <c r="A44" s="101" t="str">
        <f>'NIFTY GRP'!C39</f>
        <v>SBILIFE</v>
      </c>
      <c r="B44" s="140">
        <f>VLOOKUP($A44,'Data shares'!$C:$FA,7)</f>
        <v>1835.7</v>
      </c>
      <c r="C44" s="140">
        <f>VLOOKUP($A44,'Data shares'!$C:$FA,3)</f>
        <v>1838.4</v>
      </c>
      <c r="D44" s="50">
        <f>VLOOKUP($A44,'Data shares'!$C:$FA,6)*100</f>
        <v>-0.48</v>
      </c>
      <c r="E44" s="51">
        <f>VLOOKUP($A44,'Data shares'!$C:$FA,98)</f>
        <v>10703250</v>
      </c>
      <c r="F44" s="51">
        <f>VLOOKUP($A44,'Data shares'!$C:$FA,99)</f>
        <v>10508625</v>
      </c>
      <c r="G44" s="50">
        <f>VLOOKUP($A44,'Data shares'!$C:$FA,101)*100</f>
        <v>1.8499999999999999</v>
      </c>
      <c r="H44" s="49">
        <f>VLOOKUP($A44,'Data Vlaue (Cr)'!$C:$FB,99)</f>
        <v>1968</v>
      </c>
      <c r="I44" s="49">
        <f>VLOOKUP($A44,'Data Vlaue (Cr)'!$C:$FB,100)</f>
        <v>1932</v>
      </c>
      <c r="J44" s="49">
        <f>VLOOKUP($A44,'Data Vlaue (Cr)'!$C:$FB,102)*100</f>
        <v>1.8499999999999999</v>
      </c>
    </row>
    <row r="45" spans="1:10" x14ac:dyDescent="0.25">
      <c r="A45" s="101" t="str">
        <f>'NIFTY GRP'!C40</f>
        <v>SBIN</v>
      </c>
      <c r="B45" s="140">
        <f>VLOOKUP($A45,'Data shares'!$C:$FA,7)</f>
        <v>886.95</v>
      </c>
      <c r="C45" s="140">
        <f>VLOOKUP($A45,'Data shares'!$C:$FA,3)</f>
        <v>888.3</v>
      </c>
      <c r="D45" s="50">
        <f>VLOOKUP($A45,'Data shares'!$C:$FA,6)*100</f>
        <v>0.1</v>
      </c>
      <c r="E45" s="51">
        <f>VLOOKUP($A45,'Data shares'!$C:$FA,98)</f>
        <v>176906250</v>
      </c>
      <c r="F45" s="51">
        <f>VLOOKUP($A45,'Data shares'!$C:$FA,99)</f>
        <v>175059750</v>
      </c>
      <c r="G45" s="50">
        <f>VLOOKUP($A45,'Data shares'!$C:$FA,101)*100</f>
        <v>1.05</v>
      </c>
      <c r="H45" s="49">
        <f>VLOOKUP($A45,'Data Vlaue (Cr)'!$C:$FB,99)</f>
        <v>15715</v>
      </c>
      <c r="I45" s="49">
        <f>VLOOKUP($A45,'Data Vlaue (Cr)'!$C:$FB,100)</f>
        <v>15551</v>
      </c>
      <c r="J45" s="49">
        <f>VLOOKUP($A45,'Data Vlaue (Cr)'!$C:$FB,102)*100</f>
        <v>1.05</v>
      </c>
    </row>
    <row r="46" spans="1:10" x14ac:dyDescent="0.25">
      <c r="A46" s="101" t="str">
        <f>'NIFTY GRP'!C41</f>
        <v>SHRIRAMFIN</v>
      </c>
      <c r="B46" s="140">
        <f>VLOOKUP($A46,'Data shares'!$C:$FA,7)</f>
        <v>672.5</v>
      </c>
      <c r="C46" s="140">
        <f>VLOOKUP($A46,'Data shares'!$C:$FA,3)</f>
        <v>673.45</v>
      </c>
      <c r="D46" s="50">
        <f>VLOOKUP($A46,'Data shares'!$C:$FA,6)*100</f>
        <v>-0.91</v>
      </c>
      <c r="E46" s="51">
        <f>VLOOKUP($A46,'Data shares'!$C:$FA,98)</f>
        <v>65611425</v>
      </c>
      <c r="F46" s="51">
        <f>VLOOKUP($A46,'Data shares'!$C:$FA,99)</f>
        <v>64847475</v>
      </c>
      <c r="G46" s="50">
        <f>VLOOKUP($A46,'Data shares'!$C:$FA,101)*100</f>
        <v>1.18</v>
      </c>
      <c r="H46" s="49">
        <f>VLOOKUP($A46,'Data Vlaue (Cr)'!$C:$FB,99)</f>
        <v>4419</v>
      </c>
      <c r="I46" s="49">
        <f>VLOOKUP($A46,'Data Vlaue (Cr)'!$C:$FB,100)</f>
        <v>4367</v>
      </c>
      <c r="J46" s="49">
        <f>VLOOKUP($A46,'Data Vlaue (Cr)'!$C:$FB,102)*100</f>
        <v>1.18</v>
      </c>
    </row>
    <row r="47" spans="1:10" x14ac:dyDescent="0.25">
      <c r="A47" s="101" t="str">
        <f>'NIFTY GRP'!C42</f>
        <v>SUNPHARMA</v>
      </c>
      <c r="B47" s="140">
        <f>VLOOKUP($A47,'Data shares'!$C:$FA,7)</f>
        <v>1659</v>
      </c>
      <c r="C47" s="140">
        <f>VLOOKUP($A47,'Data shares'!$C:$FA,3)</f>
        <v>1665.6</v>
      </c>
      <c r="D47" s="50">
        <f>VLOOKUP($A47,'Data shares'!$C:$FA,6)*100</f>
        <v>0.25</v>
      </c>
      <c r="E47" s="51">
        <f>VLOOKUP($A47,'Data shares'!$C:$FA,98)</f>
        <v>25580450</v>
      </c>
      <c r="F47" s="51">
        <f>VLOOKUP($A47,'Data shares'!$C:$FA,99)</f>
        <v>25253550</v>
      </c>
      <c r="G47" s="50">
        <f>VLOOKUP($A47,'Data shares'!$C:$FA,101)*100</f>
        <v>1.29</v>
      </c>
      <c r="H47" s="49">
        <f>VLOOKUP($A47,'Data Vlaue (Cr)'!$C:$FB,99)</f>
        <v>4261</v>
      </c>
      <c r="I47" s="49">
        <f>VLOOKUP($A47,'Data Vlaue (Cr)'!$C:$FB,100)</f>
        <v>4206</v>
      </c>
      <c r="J47" s="49">
        <f>VLOOKUP($A47,'Data Vlaue (Cr)'!$C:$FB,102)*100</f>
        <v>1.29</v>
      </c>
    </row>
    <row r="48" spans="1:10" x14ac:dyDescent="0.25">
      <c r="A48" s="101" t="str">
        <f>'NIFTY GRP'!C43</f>
        <v>TATACONSUM</v>
      </c>
      <c r="B48" s="140">
        <f>VLOOKUP($A48,'Data shares'!$C:$FA,7)</f>
        <v>1149.3</v>
      </c>
      <c r="C48" s="140">
        <f>VLOOKUP($A48,'Data shares'!$C:$FA,3)</f>
        <v>1151.2</v>
      </c>
      <c r="D48" s="50">
        <f>VLOOKUP($A48,'Data shares'!$C:$FA,6)*100</f>
        <v>2.88</v>
      </c>
      <c r="E48" s="51">
        <f>VLOOKUP($A48,'Data shares'!$C:$FA,98)</f>
        <v>23012550</v>
      </c>
      <c r="F48" s="51">
        <f>VLOOKUP($A48,'Data shares'!$C:$FA,99)</f>
        <v>22374000</v>
      </c>
      <c r="G48" s="50">
        <f>VLOOKUP($A48,'Data shares'!$C:$FA,101)*100</f>
        <v>2.85</v>
      </c>
      <c r="H48" s="49">
        <f>VLOOKUP($A48,'Data Vlaue (Cr)'!$C:$FB,99)</f>
        <v>2649</v>
      </c>
      <c r="I48" s="49">
        <f>VLOOKUP($A48,'Data Vlaue (Cr)'!$C:$FB,100)</f>
        <v>2576</v>
      </c>
      <c r="J48" s="49">
        <f>VLOOKUP($A48,'Data Vlaue (Cr)'!$C:$FB,102)*100</f>
        <v>2.85</v>
      </c>
    </row>
    <row r="49" spans="1:10" x14ac:dyDescent="0.25">
      <c r="A49" s="101" t="str">
        <f>'NIFTY GRP'!C44</f>
        <v>TATAMOTORS</v>
      </c>
      <c r="B49" s="140">
        <f>VLOOKUP($A49,'Data shares'!$C:$FA,7)</f>
        <v>396.8</v>
      </c>
      <c r="C49" s="140">
        <f>VLOOKUP($A49,'Data shares'!$C:$FA,3)</f>
        <v>396.6</v>
      </c>
      <c r="D49" s="50">
        <f>VLOOKUP($A49,'Data shares'!$C:$FA,6)*100</f>
        <v>1.41</v>
      </c>
      <c r="E49" s="51">
        <f>VLOOKUP($A49,'Data shares'!$C:$FA,98)</f>
        <v>114373600</v>
      </c>
      <c r="F49" s="51">
        <f>VLOOKUP($A49,'Data shares'!$C:$FA,99)</f>
        <v>108448000</v>
      </c>
      <c r="G49" s="50">
        <f>VLOOKUP($A49,'Data shares'!$C:$FA,101)*100</f>
        <v>5.46</v>
      </c>
      <c r="H49" s="49">
        <f>VLOOKUP($A49,'Data Vlaue (Cr)'!$C:$FB,99)</f>
        <v>4536</v>
      </c>
      <c r="I49" s="49">
        <f>VLOOKUP($A49,'Data Vlaue (Cr)'!$C:$FB,100)</f>
        <v>4301</v>
      </c>
      <c r="J49" s="49">
        <f>VLOOKUP($A49,'Data Vlaue (Cr)'!$C:$FB,102)*100</f>
        <v>5.46</v>
      </c>
    </row>
    <row r="50" spans="1:10" x14ac:dyDescent="0.25">
      <c r="A50" s="101" t="str">
        <f>'NIFTY GRP'!C45</f>
        <v>TATASTEEL</v>
      </c>
      <c r="B50" s="140">
        <f>VLOOKUP($A50,'Data shares'!$C:$FA,7)</f>
        <v>174</v>
      </c>
      <c r="C50" s="140">
        <f>VLOOKUP($A50,'Data shares'!$C:$FA,3)</f>
        <v>174.39</v>
      </c>
      <c r="D50" s="50">
        <f>VLOOKUP($A50,'Data shares'!$C:$FA,6)*100</f>
        <v>0.27999999999999997</v>
      </c>
      <c r="E50" s="51">
        <f>VLOOKUP($A50,'Data shares'!$C:$FA,98)</f>
        <v>425766000</v>
      </c>
      <c r="F50" s="51">
        <f>VLOOKUP($A50,'Data shares'!$C:$FA,99)</f>
        <v>428736000</v>
      </c>
      <c r="G50" s="50">
        <f>VLOOKUP($A50,'Data shares'!$C:$FA,101)*100</f>
        <v>-0.69</v>
      </c>
      <c r="H50" s="49">
        <f>VLOOKUP($A50,'Data Vlaue (Cr)'!$C:$FB,99)</f>
        <v>7425</v>
      </c>
      <c r="I50" s="49">
        <f>VLOOKUP($A50,'Data Vlaue (Cr)'!$C:$FB,100)</f>
        <v>7477</v>
      </c>
      <c r="J50" s="49">
        <f>VLOOKUP($A50,'Data Vlaue (Cr)'!$C:$FB,102)*100</f>
        <v>-0.69</v>
      </c>
    </row>
    <row r="51" spans="1:10" x14ac:dyDescent="0.25">
      <c r="A51" s="101" t="str">
        <f>'NIFTY GRP'!C46</f>
        <v>TCS</v>
      </c>
      <c r="B51" s="140">
        <f>VLOOKUP($A51,'Data shares'!$C:$FA,7)</f>
        <v>2970.7</v>
      </c>
      <c r="C51" s="140">
        <f>VLOOKUP($A51,'Data shares'!$C:$FA,3)</f>
        <v>2982</v>
      </c>
      <c r="D51" s="50">
        <f>VLOOKUP($A51,'Data shares'!$C:$FA,6)*100</f>
        <v>0.26</v>
      </c>
      <c r="E51" s="51">
        <f>VLOOKUP($A51,'Data shares'!$C:$FA,98)</f>
        <v>71589525</v>
      </c>
      <c r="F51" s="51">
        <f>VLOOKUP($A51,'Data shares'!$C:$FA,99)</f>
        <v>71254225</v>
      </c>
      <c r="G51" s="50">
        <f>VLOOKUP($A51,'Data shares'!$C:$FA,101)*100</f>
        <v>0.47000000000000003</v>
      </c>
      <c r="H51" s="49">
        <f>VLOOKUP($A51,'Data Vlaue (Cr)'!$C:$FB,99)</f>
        <v>21348</v>
      </c>
      <c r="I51" s="49">
        <f>VLOOKUP($A51,'Data Vlaue (Cr)'!$C:$FB,100)</f>
        <v>21248</v>
      </c>
      <c r="J51" s="49">
        <f>VLOOKUP($A51,'Data Vlaue (Cr)'!$C:$FB,102)*100</f>
        <v>0.47000000000000003</v>
      </c>
    </row>
    <row r="52" spans="1:10" x14ac:dyDescent="0.25">
      <c r="A52" s="101" t="str">
        <f>'NIFTY GRP'!C47</f>
        <v>TECHM</v>
      </c>
      <c r="B52" s="140">
        <f>VLOOKUP($A52,'Data shares'!$C:$FA,7)</f>
        <v>1463.8</v>
      </c>
      <c r="C52" s="140">
        <f>VLOOKUP($A52,'Data shares'!$C:$FA,3)</f>
        <v>1453.5</v>
      </c>
      <c r="D52" s="50">
        <f>VLOOKUP($A52,'Data shares'!$C:$FA,6)*100</f>
        <v>0.53</v>
      </c>
      <c r="E52" s="51">
        <f>VLOOKUP($A52,'Data shares'!$C:$FA,98)</f>
        <v>30588000</v>
      </c>
      <c r="F52" s="51">
        <f>VLOOKUP($A52,'Data shares'!$C:$FA,99)</f>
        <v>31605600</v>
      </c>
      <c r="G52" s="50">
        <f>VLOOKUP($A52,'Data shares'!$C:$FA,101)*100</f>
        <v>-3.2199999999999998</v>
      </c>
      <c r="H52" s="49">
        <f>VLOOKUP($A52,'Data Vlaue (Cr)'!$C:$FB,99)</f>
        <v>4446</v>
      </c>
      <c r="I52" s="49">
        <f>VLOOKUP($A52,'Data Vlaue (Cr)'!$C:$FB,100)</f>
        <v>4594</v>
      </c>
      <c r="J52" s="49">
        <f>VLOOKUP($A52,'Data Vlaue (Cr)'!$C:$FB,102)*100</f>
        <v>-3.2199999999999998</v>
      </c>
    </row>
    <row r="53" spans="1:10" x14ac:dyDescent="0.25">
      <c r="A53" s="101" t="str">
        <f>'NIFTY GRP'!C48</f>
        <v>TITAN</v>
      </c>
      <c r="B53" s="140">
        <f>VLOOKUP($A53,'Data shares'!$C:$FA,7)</f>
        <v>3640.3</v>
      </c>
      <c r="C53" s="140">
        <f>VLOOKUP($A53,'Data shares'!$C:$FA,3)</f>
        <v>3653.3</v>
      </c>
      <c r="D53" s="50">
        <f>VLOOKUP($A53,'Data shares'!$C:$FA,6)*100</f>
        <v>2.8000000000000003</v>
      </c>
      <c r="E53" s="51">
        <f>VLOOKUP($A53,'Data shares'!$C:$FA,98)</f>
        <v>19376525</v>
      </c>
      <c r="F53" s="51">
        <f>VLOOKUP($A53,'Data shares'!$C:$FA,99)</f>
        <v>18601975</v>
      </c>
      <c r="G53" s="50">
        <f>VLOOKUP($A53,'Data shares'!$C:$FA,101)*100</f>
        <v>4.16</v>
      </c>
      <c r="H53" s="49">
        <f>VLOOKUP($A53,'Data Vlaue (Cr)'!$C:$FB,99)</f>
        <v>7079</v>
      </c>
      <c r="I53" s="49">
        <f>VLOOKUP($A53,'Data Vlaue (Cr)'!$C:$FB,100)</f>
        <v>6796</v>
      </c>
      <c r="J53" s="49">
        <f>VLOOKUP($A53,'Data Vlaue (Cr)'!$C:$FB,102)*100</f>
        <v>4.16</v>
      </c>
    </row>
    <row r="54" spans="1:10" x14ac:dyDescent="0.25">
      <c r="A54" s="101" t="str">
        <f>'NIFTY GRP'!C49</f>
        <v>TRENT</v>
      </c>
      <c r="B54" s="140">
        <f>VLOOKUP($A54,'Data shares'!$C:$FA,7)</f>
        <v>4793.3999999999996</v>
      </c>
      <c r="C54" s="140">
        <f>VLOOKUP($A54,'Data shares'!$C:$FA,3)</f>
        <v>4800.5</v>
      </c>
      <c r="D54" s="50">
        <f>VLOOKUP($A54,'Data shares'!$C:$FA,6)*100</f>
        <v>1.44</v>
      </c>
      <c r="E54" s="51">
        <f>VLOOKUP($A54,'Data shares'!$C:$FA,98)</f>
        <v>18188500</v>
      </c>
      <c r="F54" s="51">
        <f>VLOOKUP($A54,'Data shares'!$C:$FA,99)</f>
        <v>19287300</v>
      </c>
      <c r="G54" s="50">
        <f>VLOOKUP($A54,'Data shares'!$C:$FA,101)*100</f>
        <v>-5.7</v>
      </c>
      <c r="H54" s="49">
        <f>VLOOKUP($A54,'Data Vlaue (Cr)'!$C:$FB,99)</f>
        <v>8731</v>
      </c>
      <c r="I54" s="49">
        <f>VLOOKUP($A54,'Data Vlaue (Cr)'!$C:$FB,100)</f>
        <v>9259</v>
      </c>
      <c r="J54" s="49">
        <f>VLOOKUP($A54,'Data Vlaue (Cr)'!$C:$FB,102)*100</f>
        <v>-5.7</v>
      </c>
    </row>
    <row r="55" spans="1:10" x14ac:dyDescent="0.25">
      <c r="A55" s="101" t="str">
        <f>'NIFTY GRP'!C50</f>
        <v>ULTRACEMCO</v>
      </c>
      <c r="B55" s="140">
        <f>VLOOKUP($A55,'Data shares'!$C:$FA,7)</f>
        <v>12358</v>
      </c>
      <c r="C55" s="140">
        <f>VLOOKUP($A55,'Data shares'!$C:$FA,3)</f>
        <v>12401</v>
      </c>
      <c r="D55" s="50">
        <f>VLOOKUP($A55,'Data shares'!$C:$FA,6)*100</f>
        <v>0.61</v>
      </c>
      <c r="E55" s="51">
        <f>VLOOKUP($A55,'Data shares'!$C:$FA,98)</f>
        <v>3335850</v>
      </c>
      <c r="F55" s="51">
        <f>VLOOKUP($A55,'Data shares'!$C:$FA,99)</f>
        <v>3400800</v>
      </c>
      <c r="G55" s="50">
        <f>VLOOKUP($A55,'Data shares'!$C:$FA,101)*100</f>
        <v>-1.91</v>
      </c>
      <c r="H55" s="49">
        <f>VLOOKUP($A55,'Data Vlaue (Cr)'!$C:$FB,99)</f>
        <v>4137</v>
      </c>
      <c r="I55" s="49">
        <f>VLOOKUP($A55,'Data Vlaue (Cr)'!$C:$FB,100)</f>
        <v>4217</v>
      </c>
      <c r="J55" s="49">
        <f>VLOOKUP($A55,'Data Vlaue (Cr)'!$C:$FB,102)*100</f>
        <v>-1.91</v>
      </c>
    </row>
    <row r="56" spans="1:10" x14ac:dyDescent="0.25">
      <c r="A56" s="101" t="str">
        <f>'NIFTY GRP'!C51</f>
        <v>WIPRO</v>
      </c>
      <c r="B56" s="140">
        <f>VLOOKUP($A56,'Data shares'!$C:$FA,7)</f>
        <v>253.81</v>
      </c>
      <c r="C56" s="140">
        <f>VLOOKUP($A56,'Data shares'!$C:$FA,3)</f>
        <v>254.52</v>
      </c>
      <c r="D56" s="50">
        <f>VLOOKUP($A56,'Data shares'!$C:$FA,6)*100</f>
        <v>1.76</v>
      </c>
      <c r="E56" s="51">
        <f>VLOOKUP($A56,'Data shares'!$C:$FA,98)</f>
        <v>251586000</v>
      </c>
      <c r="F56" s="51">
        <f>VLOOKUP($A56,'Data shares'!$C:$FA,99)</f>
        <v>231036000</v>
      </c>
      <c r="G56" s="50">
        <f>VLOOKUP($A56,'Data shares'!$C:$FA,101)*100</f>
        <v>8.89</v>
      </c>
      <c r="H56" s="49">
        <f>VLOOKUP($A56,'Data Vlaue (Cr)'!$C:$FB,99)</f>
        <v>6403</v>
      </c>
      <c r="I56" s="49">
        <f>VLOOKUP($A56,'Data Vlaue (Cr)'!$C:$FB,100)</f>
        <v>5880</v>
      </c>
      <c r="J56" s="49">
        <f>VLOOKUP($A56,'Data Vlaue (Cr)'!$C:$FB,102)*100</f>
        <v>8.89</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4660755400</v>
      </c>
      <c r="F94" s="127">
        <f>SUM(F7:F93)</f>
        <v>4566928150</v>
      </c>
      <c r="G94" s="128">
        <f>(E94-F94)/F94</f>
        <v>2.0544936753603187E-2</v>
      </c>
      <c r="H94" s="127">
        <f>SUM(H7:H93)</f>
        <v>432978</v>
      </c>
      <c r="I94" s="127">
        <f>SUM(I7:I93)</f>
        <v>427976</v>
      </c>
      <c r="J94" s="128">
        <f>(H94-I94)/I94</f>
        <v>1.1687571265678449E-2</v>
      </c>
    </row>
    <row r="95" spans="1:10" s="88" customFormat="1" ht="13.5" customHeight="1" x14ac:dyDescent="0.25">
      <c r="A95" s="126" t="s">
        <v>398</v>
      </c>
      <c r="B95" s="122"/>
      <c r="C95" s="122"/>
      <c r="D95" s="122"/>
      <c r="E95" s="125">
        <f>E94/10000000</f>
        <v>466.07553999999999</v>
      </c>
      <c r="F95" s="125">
        <f>F94/10000000</f>
        <v>456.692815</v>
      </c>
      <c r="G95" s="128">
        <f>(E95-F95)/F95</f>
        <v>2.0544936753603173E-2</v>
      </c>
      <c r="H95" s="129">
        <f>H94/10000000</f>
        <v>4.3297799999999997E-2</v>
      </c>
      <c r="I95" s="129">
        <f>I94/10000000</f>
        <v>4.2797599999999998E-2</v>
      </c>
      <c r="J95" s="128">
        <f>(H95-I95)/I95</f>
        <v>1.1687571265678433E-2</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432978</v>
      </c>
      <c r="B103" s="38">
        <f>I94</f>
        <v>427976</v>
      </c>
      <c r="C103" s="42">
        <f>J94</f>
        <v>1.1687571265678449E-2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45946</v>
      </c>
      <c r="C6" s="76" t="s">
        <v>328</v>
      </c>
      <c r="D6" s="3">
        <f>B6</f>
        <v>45946</v>
      </c>
      <c r="E6" s="76" t="s">
        <v>322</v>
      </c>
      <c r="F6" s="76" t="s">
        <v>328</v>
      </c>
      <c r="G6" s="3">
        <f>D6</f>
        <v>45946</v>
      </c>
      <c r="H6" s="76" t="s">
        <v>322</v>
      </c>
      <c r="I6" s="76" t="s">
        <v>328</v>
      </c>
      <c r="J6" s="3">
        <f>D6</f>
        <v>45946</v>
      </c>
      <c r="K6" s="76" t="s">
        <v>322</v>
      </c>
      <c r="L6" s="76" t="s">
        <v>328</v>
      </c>
      <c r="M6" s="3">
        <f>D6</f>
        <v>45946</v>
      </c>
      <c r="N6" s="76" t="s">
        <v>322</v>
      </c>
      <c r="O6" s="76" t="s">
        <v>328</v>
      </c>
    </row>
    <row r="7" spans="1:15" x14ac:dyDescent="0.25">
      <c r="A7" s="101" t="str">
        <f>'Data Vlaue (Cr)'!C2</f>
        <v>360ONE</v>
      </c>
      <c r="B7" s="50">
        <f>VLOOKUP($A7,'Data Vlaue (Cr)'!$C:$FB,8)</f>
        <v>1171.8</v>
      </c>
      <c r="C7" s="50">
        <f>VLOOKUP($A7,'Data Vlaue (Cr)'!$C:$FB,11)*100</f>
        <v>0.98</v>
      </c>
      <c r="D7" s="50">
        <f>VLOOKUP($A7,'Data Vlaue (Cr)'!$C:$FB,143)</f>
        <v>932.08</v>
      </c>
      <c r="E7" s="50">
        <f>VLOOKUP($A7,'Data Vlaue (Cr)'!$C:$FB,144)</f>
        <v>1899.78</v>
      </c>
      <c r="F7" s="50">
        <f>VLOOKUP($A7,'Data Vlaue (Cr)'!$C:$FB,146)*100</f>
        <v>-50.94</v>
      </c>
      <c r="G7" s="49">
        <f>VLOOKUP($A7,'Data Vlaue (Cr)'!$C:$FB,43)</f>
        <v>218</v>
      </c>
      <c r="H7" s="49">
        <f>VLOOKUP($A7,'Data Vlaue (Cr)'!$C:$FB,44)</f>
        <v>395</v>
      </c>
      <c r="I7" s="49">
        <f>VLOOKUP($A7,'Data Vlaue (Cr)'!$C:$FB,46)*100</f>
        <v>-44.84</v>
      </c>
      <c r="J7" s="51">
        <f>VLOOKUP($A7,'Data Vlaue (Cr)'!$C:$FB,59)</f>
        <v>496</v>
      </c>
      <c r="K7" s="51">
        <f>VLOOKUP($A7,'Data Vlaue (Cr)'!$C:$FB,60)</f>
        <v>1176</v>
      </c>
      <c r="L7" s="51">
        <f>VLOOKUP($A7,'Data Vlaue (Cr)'!$C:$FB,62)*100</f>
        <v>-57.84</v>
      </c>
      <c r="M7" s="51">
        <f>VLOOKUP($A7,'Data Vlaue (Cr)'!$C:$FB,63)</f>
        <v>202</v>
      </c>
      <c r="N7" s="51">
        <f>VLOOKUP($A7,'Data Vlaue (Cr)'!$C:$FB,64)</f>
        <v>328</v>
      </c>
      <c r="O7" s="51">
        <f>VLOOKUP($A7,'Data Vlaue (Cr)'!$C:$FB,66)*100</f>
        <v>-38.33</v>
      </c>
    </row>
    <row r="8" spans="1:15" x14ac:dyDescent="0.25">
      <c r="A8" s="101" t="str">
        <f>'Data Vlaue (Cr)'!C3</f>
        <v>ABB</v>
      </c>
      <c r="B8" s="50">
        <f>VLOOKUP($A8,'Data Vlaue (Cr)'!$C:$FB,8)</f>
        <v>5212</v>
      </c>
      <c r="C8" s="50">
        <f>VLOOKUP($A8,'Data Vlaue (Cr)'!$C:$FB,11)*100</f>
        <v>0.74</v>
      </c>
      <c r="D8" s="50">
        <f>VLOOKUP($A8,'Data Vlaue (Cr)'!$C:$FB,143)</f>
        <v>4419.1099999999997</v>
      </c>
      <c r="E8" s="50">
        <f>VLOOKUP($A8,'Data Vlaue (Cr)'!$C:$FB,144)</f>
        <v>1944.14</v>
      </c>
      <c r="F8" s="50">
        <f>VLOOKUP($A8,'Data Vlaue (Cr)'!$C:$FB,146)*100</f>
        <v>127.3</v>
      </c>
      <c r="G8" s="49">
        <f>VLOOKUP($A8,'Data Vlaue (Cr)'!$C:$FB,43)</f>
        <v>935</v>
      </c>
      <c r="H8" s="49">
        <f>VLOOKUP($A8,'Data Vlaue (Cr)'!$C:$FB,44)</f>
        <v>251</v>
      </c>
      <c r="I8" s="49">
        <f>VLOOKUP($A8,'Data Vlaue (Cr)'!$C:$FB,46)*100</f>
        <v>271.99</v>
      </c>
      <c r="J8" s="51">
        <f>VLOOKUP($A8,'Data Vlaue (Cr)'!$C:$FB,59)</f>
        <v>2099</v>
      </c>
      <c r="K8" s="51">
        <f>VLOOKUP($A8,'Data Vlaue (Cr)'!$C:$FB,60)</f>
        <v>1271</v>
      </c>
      <c r="L8" s="51">
        <f>VLOOKUP($A8,'Data Vlaue (Cr)'!$C:$FB,62)*100</f>
        <v>65.19</v>
      </c>
      <c r="M8" s="51">
        <f>VLOOKUP($A8,'Data Vlaue (Cr)'!$C:$FB,63)</f>
        <v>1338</v>
      </c>
      <c r="N8" s="51">
        <f>VLOOKUP($A8,'Data Vlaue (Cr)'!$C:$FB,64)</f>
        <v>388</v>
      </c>
      <c r="O8" s="51">
        <f>VLOOKUP($A8,'Data Vlaue (Cr)'!$C:$FB,66)*100</f>
        <v>244.55</v>
      </c>
    </row>
    <row r="9" spans="1:15" x14ac:dyDescent="0.25">
      <c r="A9" s="101" t="str">
        <f>'Data Vlaue (Cr)'!C4</f>
        <v>ABCAPITAL</v>
      </c>
      <c r="B9" s="50">
        <f>VLOOKUP($A9,'Data Vlaue (Cr)'!$C:$FB,8)</f>
        <v>300</v>
      </c>
      <c r="C9" s="50">
        <f>VLOOKUP($A9,'Data Vlaue (Cr)'!$C:$FB,11)*100</f>
        <v>-1.1499999999999999</v>
      </c>
      <c r="D9" s="50">
        <f>VLOOKUP($A9,'Data Vlaue (Cr)'!$C:$FB,143)</f>
        <v>1183.3800000000001</v>
      </c>
      <c r="E9" s="50">
        <f>VLOOKUP($A9,'Data Vlaue (Cr)'!$C:$FB,144)</f>
        <v>1662.41</v>
      </c>
      <c r="F9" s="50">
        <f>VLOOKUP($A9,'Data Vlaue (Cr)'!$C:$FB,146)*100</f>
        <v>-28.82</v>
      </c>
      <c r="G9" s="49">
        <f>VLOOKUP($A9,'Data Vlaue (Cr)'!$C:$FB,43)</f>
        <v>269</v>
      </c>
      <c r="H9" s="49">
        <f>VLOOKUP($A9,'Data Vlaue (Cr)'!$C:$FB,44)</f>
        <v>329</v>
      </c>
      <c r="I9" s="49">
        <f>VLOOKUP($A9,'Data Vlaue (Cr)'!$C:$FB,46)*100</f>
        <v>-18.260000000000002</v>
      </c>
      <c r="J9" s="51">
        <f>VLOOKUP($A9,'Data Vlaue (Cr)'!$C:$FB,59)</f>
        <v>609</v>
      </c>
      <c r="K9" s="51">
        <f>VLOOKUP($A9,'Data Vlaue (Cr)'!$C:$FB,60)</f>
        <v>847</v>
      </c>
      <c r="L9" s="51">
        <f>VLOOKUP($A9,'Data Vlaue (Cr)'!$C:$FB,62)*100</f>
        <v>-28.03</v>
      </c>
      <c r="M9" s="51">
        <f>VLOOKUP($A9,'Data Vlaue (Cr)'!$C:$FB,63)</f>
        <v>273</v>
      </c>
      <c r="N9" s="51">
        <f>VLOOKUP($A9,'Data Vlaue (Cr)'!$C:$FB,64)</f>
        <v>447</v>
      </c>
      <c r="O9" s="51">
        <f>VLOOKUP($A9,'Data Vlaue (Cr)'!$C:$FB,66)*100</f>
        <v>-38.9</v>
      </c>
    </row>
    <row r="10" spans="1:15" x14ac:dyDescent="0.25">
      <c r="A10" s="101" t="str">
        <f>'Data Vlaue (Cr)'!C5</f>
        <v>ADANIENSOL</v>
      </c>
      <c r="B10" s="50">
        <f>VLOOKUP($A10,'Data Vlaue (Cr)'!$C:$FB,8)</f>
        <v>947.95</v>
      </c>
      <c r="C10" s="50">
        <f>VLOOKUP($A10,'Data Vlaue (Cr)'!$C:$FB,11)*100</f>
        <v>0.4</v>
      </c>
      <c r="D10" s="50">
        <f>VLOOKUP($A10,'Data Vlaue (Cr)'!$C:$FB,143)</f>
        <v>860.29</v>
      </c>
      <c r="E10" s="50">
        <f>VLOOKUP($A10,'Data Vlaue (Cr)'!$C:$FB,144)</f>
        <v>869.33</v>
      </c>
      <c r="F10" s="50">
        <f>VLOOKUP($A10,'Data Vlaue (Cr)'!$C:$FB,146)*100</f>
        <v>-1.04</v>
      </c>
      <c r="G10" s="49">
        <f>VLOOKUP($A10,'Data Vlaue (Cr)'!$C:$FB,43)</f>
        <v>190</v>
      </c>
      <c r="H10" s="49">
        <f>VLOOKUP($A10,'Data Vlaue (Cr)'!$C:$FB,44)</f>
        <v>241</v>
      </c>
      <c r="I10" s="49">
        <f>VLOOKUP($A10,'Data Vlaue (Cr)'!$C:$FB,46)*100</f>
        <v>-21.240000000000002</v>
      </c>
      <c r="J10" s="51">
        <f>VLOOKUP($A10,'Data Vlaue (Cr)'!$C:$FB,59)</f>
        <v>472</v>
      </c>
      <c r="K10" s="51">
        <f>VLOOKUP($A10,'Data Vlaue (Cr)'!$C:$FB,60)</f>
        <v>473</v>
      </c>
      <c r="L10" s="51">
        <f>VLOOKUP($A10,'Data Vlaue (Cr)'!$C:$FB,62)*100</f>
        <v>-0.22</v>
      </c>
      <c r="M10" s="51">
        <f>VLOOKUP($A10,'Data Vlaue (Cr)'!$C:$FB,63)</f>
        <v>179</v>
      </c>
      <c r="N10" s="51">
        <f>VLOOKUP($A10,'Data Vlaue (Cr)'!$C:$FB,64)</f>
        <v>147</v>
      </c>
      <c r="O10" s="51">
        <f>VLOOKUP($A10,'Data Vlaue (Cr)'!$C:$FB,66)*100</f>
        <v>21.91</v>
      </c>
    </row>
    <row r="11" spans="1:15" x14ac:dyDescent="0.25">
      <c r="A11" s="101" t="str">
        <f>'Data Vlaue (Cr)'!C6</f>
        <v>ADANIENT</v>
      </c>
      <c r="B11" s="50">
        <f>VLOOKUP($A11,'Data Vlaue (Cr)'!$C:$FB,8)</f>
        <v>2557.6</v>
      </c>
      <c r="C11" s="50">
        <f>VLOOKUP($A11,'Data Vlaue (Cr)'!$C:$FB,11)*100</f>
        <v>0.98</v>
      </c>
      <c r="D11" s="50">
        <f>VLOOKUP($A11,'Data Vlaue (Cr)'!$C:$FB,143)</f>
        <v>4181.6099999999997</v>
      </c>
      <c r="E11" s="50">
        <f>VLOOKUP($A11,'Data Vlaue (Cr)'!$C:$FB,144)</f>
        <v>3771.82</v>
      </c>
      <c r="F11" s="50">
        <f>VLOOKUP($A11,'Data Vlaue (Cr)'!$C:$FB,146)*100</f>
        <v>10.86</v>
      </c>
      <c r="G11" s="49">
        <f>VLOOKUP($A11,'Data Vlaue (Cr)'!$C:$FB,43)</f>
        <v>517</v>
      </c>
      <c r="H11" s="49">
        <f>VLOOKUP($A11,'Data Vlaue (Cr)'!$C:$FB,44)</f>
        <v>442</v>
      </c>
      <c r="I11" s="49">
        <f>VLOOKUP($A11,'Data Vlaue (Cr)'!$C:$FB,46)*100</f>
        <v>17.02</v>
      </c>
      <c r="J11" s="51">
        <f>VLOOKUP($A11,'Data Vlaue (Cr)'!$C:$FB,59)</f>
        <v>2681</v>
      </c>
      <c r="K11" s="51">
        <f>VLOOKUP($A11,'Data Vlaue (Cr)'!$C:$FB,60)</f>
        <v>2422</v>
      </c>
      <c r="L11" s="51">
        <f>VLOOKUP($A11,'Data Vlaue (Cr)'!$C:$FB,62)*100</f>
        <v>10.68</v>
      </c>
      <c r="M11" s="51">
        <f>VLOOKUP($A11,'Data Vlaue (Cr)'!$C:$FB,63)</f>
        <v>877</v>
      </c>
      <c r="N11" s="51">
        <f>VLOOKUP($A11,'Data Vlaue (Cr)'!$C:$FB,64)</f>
        <v>829</v>
      </c>
      <c r="O11" s="51">
        <f>VLOOKUP($A11,'Data Vlaue (Cr)'!$C:$FB,66)*100</f>
        <v>5.7700000000000005</v>
      </c>
    </row>
    <row r="12" spans="1:15" x14ac:dyDescent="0.25">
      <c r="A12" s="101" t="str">
        <f>'Data Vlaue (Cr)'!C7</f>
        <v>ADANIGREEN</v>
      </c>
      <c r="B12" s="50">
        <f>VLOOKUP($A12,'Data Vlaue (Cr)'!$C:$FB,8)</f>
        <v>1060.3</v>
      </c>
      <c r="C12" s="50">
        <f>VLOOKUP($A12,'Data Vlaue (Cr)'!$C:$FB,11)*100</f>
        <v>1.58</v>
      </c>
      <c r="D12" s="50">
        <f>VLOOKUP($A12,'Data Vlaue (Cr)'!$C:$FB,143)</f>
        <v>2219.11</v>
      </c>
      <c r="E12" s="50">
        <f>VLOOKUP($A12,'Data Vlaue (Cr)'!$C:$FB,144)</f>
        <v>1509.68</v>
      </c>
      <c r="F12" s="50">
        <f>VLOOKUP($A12,'Data Vlaue (Cr)'!$C:$FB,146)*100</f>
        <v>46.989999999999995</v>
      </c>
      <c r="G12" s="49">
        <f>VLOOKUP($A12,'Data Vlaue (Cr)'!$C:$FB,43)</f>
        <v>331</v>
      </c>
      <c r="H12" s="49">
        <f>VLOOKUP($A12,'Data Vlaue (Cr)'!$C:$FB,44)</f>
        <v>235</v>
      </c>
      <c r="I12" s="49">
        <f>VLOOKUP($A12,'Data Vlaue (Cr)'!$C:$FB,46)*100</f>
        <v>40.729999999999997</v>
      </c>
      <c r="J12" s="51">
        <f>VLOOKUP($A12,'Data Vlaue (Cr)'!$C:$FB,59)</f>
        <v>1422</v>
      </c>
      <c r="K12" s="51">
        <f>VLOOKUP($A12,'Data Vlaue (Cr)'!$C:$FB,60)</f>
        <v>936</v>
      </c>
      <c r="L12" s="51">
        <f>VLOOKUP($A12,'Data Vlaue (Cr)'!$C:$FB,62)*100</f>
        <v>51.970000000000006</v>
      </c>
      <c r="M12" s="51">
        <f>VLOOKUP($A12,'Data Vlaue (Cr)'!$C:$FB,63)</f>
        <v>394</v>
      </c>
      <c r="N12" s="51">
        <f>VLOOKUP($A12,'Data Vlaue (Cr)'!$C:$FB,64)</f>
        <v>299</v>
      </c>
      <c r="O12" s="51">
        <f>VLOOKUP($A12,'Data Vlaue (Cr)'!$C:$FB,66)*100</f>
        <v>31.6</v>
      </c>
    </row>
    <row r="13" spans="1:15" x14ac:dyDescent="0.25">
      <c r="A13" s="101" t="str">
        <f>'Data Vlaue (Cr)'!C8</f>
        <v>ADANIPORTS</v>
      </c>
      <c r="B13" s="50">
        <f>VLOOKUP($A13,'Data Vlaue (Cr)'!$C:$FB,8)</f>
        <v>1479.5</v>
      </c>
      <c r="C13" s="50">
        <f>VLOOKUP($A13,'Data Vlaue (Cr)'!$C:$FB,11)*100</f>
        <v>1.9900000000000002</v>
      </c>
      <c r="D13" s="50">
        <f>VLOOKUP($A13,'Data Vlaue (Cr)'!$C:$FB,143)</f>
        <v>6588.81</v>
      </c>
      <c r="E13" s="50">
        <f>VLOOKUP($A13,'Data Vlaue (Cr)'!$C:$FB,144)</f>
        <v>3720.45</v>
      </c>
      <c r="F13" s="50">
        <f>VLOOKUP($A13,'Data Vlaue (Cr)'!$C:$FB,146)*100</f>
        <v>77.100000000000009</v>
      </c>
      <c r="G13" s="49">
        <f>VLOOKUP($A13,'Data Vlaue (Cr)'!$C:$FB,43)</f>
        <v>763</v>
      </c>
      <c r="H13" s="49">
        <f>VLOOKUP($A13,'Data Vlaue (Cr)'!$C:$FB,44)</f>
        <v>526</v>
      </c>
      <c r="I13" s="49">
        <f>VLOOKUP($A13,'Data Vlaue (Cr)'!$C:$FB,46)*100</f>
        <v>45.04</v>
      </c>
      <c r="J13" s="51">
        <f>VLOOKUP($A13,'Data Vlaue (Cr)'!$C:$FB,59)</f>
        <v>4146</v>
      </c>
      <c r="K13" s="51">
        <f>VLOOKUP($A13,'Data Vlaue (Cr)'!$C:$FB,60)</f>
        <v>2306</v>
      </c>
      <c r="L13" s="51">
        <f>VLOOKUP($A13,'Data Vlaue (Cr)'!$C:$FB,62)*100</f>
        <v>79.75</v>
      </c>
      <c r="M13" s="51">
        <f>VLOOKUP($A13,'Data Vlaue (Cr)'!$C:$FB,63)</f>
        <v>1611</v>
      </c>
      <c r="N13" s="51">
        <f>VLOOKUP($A13,'Data Vlaue (Cr)'!$C:$FB,64)</f>
        <v>915</v>
      </c>
      <c r="O13" s="51">
        <f>VLOOKUP($A13,'Data Vlaue (Cr)'!$C:$FB,66)*100</f>
        <v>76.039999999999992</v>
      </c>
    </row>
    <row r="14" spans="1:15" x14ac:dyDescent="0.25">
      <c r="A14" s="101" t="str">
        <f>'Data Vlaue (Cr)'!C9</f>
        <v>ALKEM</v>
      </c>
      <c r="B14" s="50">
        <f>VLOOKUP($A14,'Data Vlaue (Cr)'!$C:$FB,8)</f>
        <v>5524</v>
      </c>
      <c r="C14" s="50">
        <f>VLOOKUP($A14,'Data Vlaue (Cr)'!$C:$FB,11)*100</f>
        <v>-0.76</v>
      </c>
      <c r="D14" s="50">
        <f>VLOOKUP($A14,'Data Vlaue (Cr)'!$C:$FB,143)</f>
        <v>258.13</v>
      </c>
      <c r="E14" s="50">
        <f>VLOOKUP($A14,'Data Vlaue (Cr)'!$C:$FB,144)</f>
        <v>509.97</v>
      </c>
      <c r="F14" s="50">
        <f>VLOOKUP($A14,'Data Vlaue (Cr)'!$C:$FB,146)*100</f>
        <v>-49.38</v>
      </c>
      <c r="G14" s="49">
        <f>VLOOKUP($A14,'Data Vlaue (Cr)'!$C:$FB,43)</f>
        <v>58</v>
      </c>
      <c r="H14" s="49">
        <f>VLOOKUP($A14,'Data Vlaue (Cr)'!$C:$FB,44)</f>
        <v>104</v>
      </c>
      <c r="I14" s="49">
        <f>VLOOKUP($A14,'Data Vlaue (Cr)'!$C:$FB,46)*100</f>
        <v>-43.88</v>
      </c>
      <c r="J14" s="51">
        <f>VLOOKUP($A14,'Data Vlaue (Cr)'!$C:$FB,59)</f>
        <v>129</v>
      </c>
      <c r="K14" s="51">
        <f>VLOOKUP($A14,'Data Vlaue (Cr)'!$C:$FB,60)</f>
        <v>312</v>
      </c>
      <c r="L14" s="51">
        <f>VLOOKUP($A14,'Data Vlaue (Cr)'!$C:$FB,62)*100</f>
        <v>-58.609999999999992</v>
      </c>
      <c r="M14" s="51">
        <f>VLOOKUP($A14,'Data Vlaue (Cr)'!$C:$FB,63)</f>
        <v>68</v>
      </c>
      <c r="N14" s="51">
        <f>VLOOKUP($A14,'Data Vlaue (Cr)'!$C:$FB,64)</f>
        <v>84</v>
      </c>
      <c r="O14" s="51">
        <f>VLOOKUP($A14,'Data Vlaue (Cr)'!$C:$FB,66)*100</f>
        <v>-18.740000000000002</v>
      </c>
    </row>
    <row r="15" spans="1:15" x14ac:dyDescent="0.25">
      <c r="A15" s="101" t="str">
        <f>'Data Vlaue (Cr)'!C10</f>
        <v>AMBER</v>
      </c>
      <c r="B15" s="50">
        <f>VLOOKUP($A15,'Data Vlaue (Cr)'!$C:$FB,8)</f>
        <v>8239</v>
      </c>
      <c r="C15" s="50">
        <f>VLOOKUP($A15,'Data Vlaue (Cr)'!$C:$FB,11)*100</f>
        <v>1.1100000000000001</v>
      </c>
      <c r="D15" s="50">
        <f>VLOOKUP($A15,'Data Vlaue (Cr)'!$C:$FB,143)</f>
        <v>1084.3599999999999</v>
      </c>
      <c r="E15" s="50">
        <f>VLOOKUP($A15,'Data Vlaue (Cr)'!$C:$FB,144)</f>
        <v>1006.11</v>
      </c>
      <c r="F15" s="50">
        <f>VLOOKUP($A15,'Data Vlaue (Cr)'!$C:$FB,146)*100</f>
        <v>7.7799999999999994</v>
      </c>
      <c r="G15" s="49">
        <f>VLOOKUP($A15,'Data Vlaue (Cr)'!$C:$FB,43)</f>
        <v>263</v>
      </c>
      <c r="H15" s="49">
        <f>VLOOKUP($A15,'Data Vlaue (Cr)'!$C:$FB,44)</f>
        <v>207</v>
      </c>
      <c r="I15" s="49">
        <f>VLOOKUP($A15,'Data Vlaue (Cr)'!$C:$FB,46)*100</f>
        <v>27.21</v>
      </c>
      <c r="J15" s="51">
        <f>VLOOKUP($A15,'Data Vlaue (Cr)'!$C:$FB,59)</f>
        <v>618</v>
      </c>
      <c r="K15" s="51">
        <f>VLOOKUP($A15,'Data Vlaue (Cr)'!$C:$FB,60)</f>
        <v>584</v>
      </c>
      <c r="L15" s="51">
        <f>VLOOKUP($A15,'Data Vlaue (Cr)'!$C:$FB,62)*100</f>
        <v>5.8999999999999995</v>
      </c>
      <c r="M15" s="51">
        <f>VLOOKUP($A15,'Data Vlaue (Cr)'!$C:$FB,63)</f>
        <v>168</v>
      </c>
      <c r="N15" s="51">
        <f>VLOOKUP($A15,'Data Vlaue (Cr)'!$C:$FB,64)</f>
        <v>180</v>
      </c>
      <c r="O15" s="51">
        <f>VLOOKUP($A15,'Data Vlaue (Cr)'!$C:$FB,66)*100</f>
        <v>-6.43</v>
      </c>
    </row>
    <row r="16" spans="1:15" x14ac:dyDescent="0.25">
      <c r="A16" s="101" t="str">
        <f>'Data Vlaue (Cr)'!C11</f>
        <v>AMBUJACEM</v>
      </c>
      <c r="B16" s="50">
        <f>VLOOKUP($A16,'Data Vlaue (Cr)'!$C:$FB,8)</f>
        <v>569.70000000000005</v>
      </c>
      <c r="C16" s="50">
        <f>VLOOKUP($A16,'Data Vlaue (Cr)'!$C:$FB,11)*100</f>
        <v>0.48</v>
      </c>
      <c r="D16" s="50">
        <f>VLOOKUP($A16,'Data Vlaue (Cr)'!$C:$FB,143)</f>
        <v>917.5</v>
      </c>
      <c r="E16" s="50">
        <f>VLOOKUP($A16,'Data Vlaue (Cr)'!$C:$FB,144)</f>
        <v>644.23</v>
      </c>
      <c r="F16" s="50">
        <f>VLOOKUP($A16,'Data Vlaue (Cr)'!$C:$FB,146)*100</f>
        <v>42.42</v>
      </c>
      <c r="G16" s="49">
        <f>VLOOKUP($A16,'Data Vlaue (Cr)'!$C:$FB,43)</f>
        <v>224</v>
      </c>
      <c r="H16" s="49">
        <f>VLOOKUP($A16,'Data Vlaue (Cr)'!$C:$FB,44)</f>
        <v>151</v>
      </c>
      <c r="I16" s="49">
        <f>VLOOKUP($A16,'Data Vlaue (Cr)'!$C:$FB,46)*100</f>
        <v>48.230000000000004</v>
      </c>
      <c r="J16" s="51">
        <f>VLOOKUP($A16,'Data Vlaue (Cr)'!$C:$FB,59)</f>
        <v>461</v>
      </c>
      <c r="K16" s="51">
        <f>VLOOKUP($A16,'Data Vlaue (Cr)'!$C:$FB,60)</f>
        <v>348</v>
      </c>
      <c r="L16" s="51">
        <f>VLOOKUP($A16,'Data Vlaue (Cr)'!$C:$FB,62)*100</f>
        <v>32.450000000000003</v>
      </c>
      <c r="M16" s="51">
        <f>VLOOKUP($A16,'Data Vlaue (Cr)'!$C:$FB,63)</f>
        <v>222</v>
      </c>
      <c r="N16" s="51">
        <f>VLOOKUP($A16,'Data Vlaue (Cr)'!$C:$FB,64)</f>
        <v>137</v>
      </c>
      <c r="O16" s="51">
        <f>VLOOKUP($A16,'Data Vlaue (Cr)'!$C:$FB,66)*100</f>
        <v>62.08</v>
      </c>
    </row>
    <row r="17" spans="1:15" x14ac:dyDescent="0.25">
      <c r="A17" s="101" t="str">
        <f>'Data Vlaue (Cr)'!C12</f>
        <v>ANGELONE</v>
      </c>
      <c r="B17" s="50">
        <f>VLOOKUP($A17,'Data Vlaue (Cr)'!$C:$FB,8)</f>
        <v>2482.6</v>
      </c>
      <c r="C17" s="50">
        <f>VLOOKUP($A17,'Data Vlaue (Cr)'!$C:$FB,11)*100</f>
        <v>1.53</v>
      </c>
      <c r="D17" s="50">
        <f>VLOOKUP($A17,'Data Vlaue (Cr)'!$C:$FB,143)</f>
        <v>11902.76</v>
      </c>
      <c r="E17" s="50">
        <f>VLOOKUP($A17,'Data Vlaue (Cr)'!$C:$FB,144)</f>
        <v>4684.6400000000003</v>
      </c>
      <c r="F17" s="50">
        <f>VLOOKUP($A17,'Data Vlaue (Cr)'!$C:$FB,146)*100</f>
        <v>154.07999999999998</v>
      </c>
      <c r="G17" s="49">
        <f>VLOOKUP($A17,'Data Vlaue (Cr)'!$C:$FB,43)</f>
        <v>1132</v>
      </c>
      <c r="H17" s="49">
        <f>VLOOKUP($A17,'Data Vlaue (Cr)'!$C:$FB,44)</f>
        <v>564</v>
      </c>
      <c r="I17" s="49">
        <f>VLOOKUP($A17,'Data Vlaue (Cr)'!$C:$FB,46)*100</f>
        <v>100.69999999999999</v>
      </c>
      <c r="J17" s="51">
        <f>VLOOKUP($A17,'Data Vlaue (Cr)'!$C:$FB,59)</f>
        <v>6375</v>
      </c>
      <c r="K17" s="51">
        <f>VLOOKUP($A17,'Data Vlaue (Cr)'!$C:$FB,60)</f>
        <v>2858</v>
      </c>
      <c r="L17" s="51">
        <f>VLOOKUP($A17,'Data Vlaue (Cr)'!$C:$FB,62)*100</f>
        <v>123.09</v>
      </c>
      <c r="M17" s="51">
        <f>VLOOKUP($A17,'Data Vlaue (Cr)'!$C:$FB,63)</f>
        <v>4179</v>
      </c>
      <c r="N17" s="51">
        <f>VLOOKUP($A17,'Data Vlaue (Cr)'!$C:$FB,64)</f>
        <v>1250</v>
      </c>
      <c r="O17" s="51">
        <f>VLOOKUP($A17,'Data Vlaue (Cr)'!$C:$FB,66)*100</f>
        <v>234.39999999999998</v>
      </c>
    </row>
    <row r="18" spans="1:15" x14ac:dyDescent="0.25">
      <c r="A18" s="101" t="str">
        <f>'Data Vlaue (Cr)'!C13</f>
        <v>APLAPOLLO</v>
      </c>
      <c r="B18" s="50">
        <f>VLOOKUP($A18,'Data Vlaue (Cr)'!$C:$FB,8)</f>
        <v>1728</v>
      </c>
      <c r="C18" s="50">
        <f>VLOOKUP($A18,'Data Vlaue (Cr)'!$C:$FB,11)*100</f>
        <v>-0.35000000000000003</v>
      </c>
      <c r="D18" s="50">
        <f>VLOOKUP($A18,'Data Vlaue (Cr)'!$C:$FB,143)</f>
        <v>227.16</v>
      </c>
      <c r="E18" s="50">
        <f>VLOOKUP($A18,'Data Vlaue (Cr)'!$C:$FB,144)</f>
        <v>201.48</v>
      </c>
      <c r="F18" s="50">
        <f>VLOOKUP($A18,'Data Vlaue (Cr)'!$C:$FB,146)*100</f>
        <v>12.75</v>
      </c>
      <c r="G18" s="49">
        <f>VLOOKUP($A18,'Data Vlaue (Cr)'!$C:$FB,43)</f>
        <v>96</v>
      </c>
      <c r="H18" s="49">
        <f>VLOOKUP($A18,'Data Vlaue (Cr)'!$C:$FB,44)</f>
        <v>75</v>
      </c>
      <c r="I18" s="49">
        <f>VLOOKUP($A18,'Data Vlaue (Cr)'!$C:$FB,46)*100</f>
        <v>27.88</v>
      </c>
      <c r="J18" s="51">
        <f>VLOOKUP($A18,'Data Vlaue (Cr)'!$C:$FB,59)</f>
        <v>97</v>
      </c>
      <c r="K18" s="51">
        <f>VLOOKUP($A18,'Data Vlaue (Cr)'!$C:$FB,60)</f>
        <v>87</v>
      </c>
      <c r="L18" s="51">
        <f>VLOOKUP($A18,'Data Vlaue (Cr)'!$C:$FB,62)*100</f>
        <v>10.93</v>
      </c>
      <c r="M18" s="51">
        <f>VLOOKUP($A18,'Data Vlaue (Cr)'!$C:$FB,63)</f>
        <v>31</v>
      </c>
      <c r="N18" s="51">
        <f>VLOOKUP($A18,'Data Vlaue (Cr)'!$C:$FB,64)</f>
        <v>36</v>
      </c>
      <c r="O18" s="51">
        <f>VLOOKUP($A18,'Data Vlaue (Cr)'!$C:$FB,66)*100</f>
        <v>-12.33</v>
      </c>
    </row>
    <row r="19" spans="1:15" x14ac:dyDescent="0.25">
      <c r="A19" s="101" t="str">
        <f>'Data Vlaue (Cr)'!C14</f>
        <v>APOLLOHOSP</v>
      </c>
      <c r="B19" s="50">
        <f>VLOOKUP($A19,'Data Vlaue (Cr)'!$C:$FB,8)</f>
        <v>7833.5</v>
      </c>
      <c r="C19" s="50">
        <f>VLOOKUP($A19,'Data Vlaue (Cr)'!$C:$FB,11)*100</f>
        <v>0.1</v>
      </c>
      <c r="D19" s="50">
        <f>VLOOKUP($A19,'Data Vlaue (Cr)'!$C:$FB,143)</f>
        <v>1377.55</v>
      </c>
      <c r="E19" s="50">
        <f>VLOOKUP($A19,'Data Vlaue (Cr)'!$C:$FB,144)</f>
        <v>2432.6</v>
      </c>
      <c r="F19" s="50">
        <f>VLOOKUP($A19,'Data Vlaue (Cr)'!$C:$FB,146)*100</f>
        <v>-43.37</v>
      </c>
      <c r="G19" s="49">
        <f>VLOOKUP($A19,'Data Vlaue (Cr)'!$C:$FB,43)</f>
        <v>175</v>
      </c>
      <c r="H19" s="49">
        <f>VLOOKUP($A19,'Data Vlaue (Cr)'!$C:$FB,44)</f>
        <v>218</v>
      </c>
      <c r="I19" s="49">
        <f>VLOOKUP($A19,'Data Vlaue (Cr)'!$C:$FB,46)*100</f>
        <v>-19.650000000000002</v>
      </c>
      <c r="J19" s="51">
        <f>VLOOKUP($A19,'Data Vlaue (Cr)'!$C:$FB,59)</f>
        <v>740</v>
      </c>
      <c r="K19" s="51">
        <f>VLOOKUP($A19,'Data Vlaue (Cr)'!$C:$FB,60)</f>
        <v>1355</v>
      </c>
      <c r="L19" s="51">
        <f>VLOOKUP($A19,'Data Vlaue (Cr)'!$C:$FB,62)*100</f>
        <v>-45.37</v>
      </c>
      <c r="M19" s="51">
        <f>VLOOKUP($A19,'Data Vlaue (Cr)'!$C:$FB,63)</f>
        <v>454</v>
      </c>
      <c r="N19" s="51">
        <f>VLOOKUP($A19,'Data Vlaue (Cr)'!$C:$FB,64)</f>
        <v>859</v>
      </c>
      <c r="O19" s="51">
        <f>VLOOKUP($A19,'Data Vlaue (Cr)'!$C:$FB,66)*100</f>
        <v>-47.14</v>
      </c>
    </row>
    <row r="20" spans="1:15" x14ac:dyDescent="0.25">
      <c r="A20" s="101" t="str">
        <f>'Data Vlaue (Cr)'!C15</f>
        <v>ASHOKLEY</v>
      </c>
      <c r="B20" s="50">
        <f>VLOOKUP($A20,'Data Vlaue (Cr)'!$C:$FB,8)</f>
        <v>137.24</v>
      </c>
      <c r="C20" s="50">
        <f>VLOOKUP($A20,'Data Vlaue (Cr)'!$C:$FB,11)*100</f>
        <v>1.1400000000000001</v>
      </c>
      <c r="D20" s="50">
        <f>VLOOKUP($A20,'Data Vlaue (Cr)'!$C:$FB,143)</f>
        <v>1526.37</v>
      </c>
      <c r="E20" s="50">
        <f>VLOOKUP($A20,'Data Vlaue (Cr)'!$C:$FB,144)</f>
        <v>1080.8499999999999</v>
      </c>
      <c r="F20" s="50">
        <f>VLOOKUP($A20,'Data Vlaue (Cr)'!$C:$FB,146)*100</f>
        <v>41.22</v>
      </c>
      <c r="G20" s="49">
        <f>VLOOKUP($A20,'Data Vlaue (Cr)'!$C:$FB,43)</f>
        <v>372</v>
      </c>
      <c r="H20" s="49">
        <f>VLOOKUP($A20,'Data Vlaue (Cr)'!$C:$FB,44)</f>
        <v>221</v>
      </c>
      <c r="I20" s="49">
        <f>VLOOKUP($A20,'Data Vlaue (Cr)'!$C:$FB,46)*100</f>
        <v>68.16</v>
      </c>
      <c r="J20" s="51">
        <f>VLOOKUP($A20,'Data Vlaue (Cr)'!$C:$FB,59)</f>
        <v>801</v>
      </c>
      <c r="K20" s="51">
        <f>VLOOKUP($A20,'Data Vlaue (Cr)'!$C:$FB,60)</f>
        <v>625</v>
      </c>
      <c r="L20" s="51">
        <f>VLOOKUP($A20,'Data Vlaue (Cr)'!$C:$FB,62)*100</f>
        <v>28.17</v>
      </c>
      <c r="M20" s="51">
        <f>VLOOKUP($A20,'Data Vlaue (Cr)'!$C:$FB,63)</f>
        <v>321</v>
      </c>
      <c r="N20" s="51">
        <f>VLOOKUP($A20,'Data Vlaue (Cr)'!$C:$FB,64)</f>
        <v>205</v>
      </c>
      <c r="O20" s="51">
        <f>VLOOKUP($A20,'Data Vlaue (Cr)'!$C:$FB,66)*100</f>
        <v>56.55</v>
      </c>
    </row>
    <row r="21" spans="1:15" x14ac:dyDescent="0.25">
      <c r="A21" s="101" t="str">
        <f>'Data Vlaue (Cr)'!C16</f>
        <v>ASIANPAINT</v>
      </c>
      <c r="B21" s="50">
        <f>VLOOKUP($A21,'Data Vlaue (Cr)'!$C:$FB,8)</f>
        <v>2409.6999999999998</v>
      </c>
      <c r="C21" s="50">
        <f>VLOOKUP($A21,'Data Vlaue (Cr)'!$C:$FB,11)*100</f>
        <v>1.46</v>
      </c>
      <c r="D21" s="50">
        <f>VLOOKUP($A21,'Data Vlaue (Cr)'!$C:$FB,143)</f>
        <v>4472.6099999999997</v>
      </c>
      <c r="E21" s="50">
        <f>VLOOKUP($A21,'Data Vlaue (Cr)'!$C:$FB,144)</f>
        <v>5161.3100000000004</v>
      </c>
      <c r="F21" s="50">
        <f>VLOOKUP($A21,'Data Vlaue (Cr)'!$C:$FB,146)*100</f>
        <v>-13.34</v>
      </c>
      <c r="G21" s="49">
        <f>VLOOKUP($A21,'Data Vlaue (Cr)'!$C:$FB,43)</f>
        <v>532</v>
      </c>
      <c r="H21" s="49">
        <f>VLOOKUP($A21,'Data Vlaue (Cr)'!$C:$FB,44)</f>
        <v>601</v>
      </c>
      <c r="I21" s="49">
        <f>VLOOKUP($A21,'Data Vlaue (Cr)'!$C:$FB,46)*100</f>
        <v>-11.5</v>
      </c>
      <c r="J21" s="51">
        <f>VLOOKUP($A21,'Data Vlaue (Cr)'!$C:$FB,59)</f>
        <v>2646</v>
      </c>
      <c r="K21" s="51">
        <f>VLOOKUP($A21,'Data Vlaue (Cr)'!$C:$FB,60)</f>
        <v>3210</v>
      </c>
      <c r="L21" s="51">
        <f>VLOOKUP($A21,'Data Vlaue (Cr)'!$C:$FB,62)*100</f>
        <v>-17.560000000000002</v>
      </c>
      <c r="M21" s="51">
        <f>VLOOKUP($A21,'Data Vlaue (Cr)'!$C:$FB,63)</f>
        <v>1271</v>
      </c>
      <c r="N21" s="51">
        <f>VLOOKUP($A21,'Data Vlaue (Cr)'!$C:$FB,64)</f>
        <v>1385</v>
      </c>
      <c r="O21" s="51">
        <f>VLOOKUP($A21,'Data Vlaue (Cr)'!$C:$FB,66)*100</f>
        <v>-8.19</v>
      </c>
    </row>
    <row r="22" spans="1:15" x14ac:dyDescent="0.25">
      <c r="A22" s="101" t="str">
        <f>'Data Vlaue (Cr)'!C17</f>
        <v>ASTRAL</v>
      </c>
      <c r="B22" s="50">
        <f>VLOOKUP($A22,'Data Vlaue (Cr)'!$C:$FB,8)</f>
        <v>1444.8</v>
      </c>
      <c r="C22" s="50">
        <f>VLOOKUP($A22,'Data Vlaue (Cr)'!$C:$FB,11)*100</f>
        <v>0.42</v>
      </c>
      <c r="D22" s="50">
        <f>VLOOKUP($A22,'Data Vlaue (Cr)'!$C:$FB,143)</f>
        <v>508.65</v>
      </c>
      <c r="E22" s="50">
        <f>VLOOKUP($A22,'Data Vlaue (Cr)'!$C:$FB,144)</f>
        <v>1561.57</v>
      </c>
      <c r="F22" s="50">
        <f>VLOOKUP($A22,'Data Vlaue (Cr)'!$C:$FB,146)*100</f>
        <v>-67.430000000000007</v>
      </c>
      <c r="G22" s="49">
        <f>VLOOKUP($A22,'Data Vlaue (Cr)'!$C:$FB,43)</f>
        <v>174</v>
      </c>
      <c r="H22" s="49">
        <f>VLOOKUP($A22,'Data Vlaue (Cr)'!$C:$FB,44)</f>
        <v>347</v>
      </c>
      <c r="I22" s="49">
        <f>VLOOKUP($A22,'Data Vlaue (Cr)'!$C:$FB,46)*100</f>
        <v>-49.8</v>
      </c>
      <c r="J22" s="51">
        <f>VLOOKUP($A22,'Data Vlaue (Cr)'!$C:$FB,59)</f>
        <v>235</v>
      </c>
      <c r="K22" s="51">
        <f>VLOOKUP($A22,'Data Vlaue (Cr)'!$C:$FB,60)</f>
        <v>870</v>
      </c>
      <c r="L22" s="51">
        <f>VLOOKUP($A22,'Data Vlaue (Cr)'!$C:$FB,62)*100</f>
        <v>-72.989999999999995</v>
      </c>
      <c r="M22" s="51">
        <f>VLOOKUP($A22,'Data Vlaue (Cr)'!$C:$FB,63)</f>
        <v>92</v>
      </c>
      <c r="N22" s="51">
        <f>VLOOKUP($A22,'Data Vlaue (Cr)'!$C:$FB,64)</f>
        <v>324</v>
      </c>
      <c r="O22" s="51">
        <f>VLOOKUP($A22,'Data Vlaue (Cr)'!$C:$FB,66)*100</f>
        <v>-71.61999999999999</v>
      </c>
    </row>
    <row r="23" spans="1:15" x14ac:dyDescent="0.25">
      <c r="A23" s="101" t="str">
        <f>'Data Vlaue (Cr)'!C18</f>
        <v>AUBANK</v>
      </c>
      <c r="B23" s="50">
        <f>VLOOKUP($A23,'Data Vlaue (Cr)'!$C:$FB,8)</f>
        <v>798.5</v>
      </c>
      <c r="C23" s="50">
        <f>VLOOKUP($A23,'Data Vlaue (Cr)'!$C:$FB,11)*100</f>
        <v>-0.44999999999999996</v>
      </c>
      <c r="D23" s="50">
        <f>VLOOKUP($A23,'Data Vlaue (Cr)'!$C:$FB,143)</f>
        <v>2587.39</v>
      </c>
      <c r="E23" s="50">
        <f>VLOOKUP($A23,'Data Vlaue (Cr)'!$C:$FB,144)</f>
        <v>4878.3100000000004</v>
      </c>
      <c r="F23" s="50">
        <f>VLOOKUP($A23,'Data Vlaue (Cr)'!$C:$FB,146)*100</f>
        <v>-46.96</v>
      </c>
      <c r="G23" s="49">
        <f>VLOOKUP($A23,'Data Vlaue (Cr)'!$C:$FB,43)</f>
        <v>607</v>
      </c>
      <c r="H23" s="49">
        <f>VLOOKUP($A23,'Data Vlaue (Cr)'!$C:$FB,44)</f>
        <v>846</v>
      </c>
      <c r="I23" s="49">
        <f>VLOOKUP($A23,'Data Vlaue (Cr)'!$C:$FB,46)*100</f>
        <v>-28.310000000000002</v>
      </c>
      <c r="J23" s="51">
        <f>VLOOKUP($A23,'Data Vlaue (Cr)'!$C:$FB,59)</f>
        <v>1230</v>
      </c>
      <c r="K23" s="51">
        <f>VLOOKUP($A23,'Data Vlaue (Cr)'!$C:$FB,60)</f>
        <v>2471</v>
      </c>
      <c r="L23" s="51">
        <f>VLOOKUP($A23,'Data Vlaue (Cr)'!$C:$FB,62)*100</f>
        <v>-50.239999999999995</v>
      </c>
      <c r="M23" s="51">
        <f>VLOOKUP($A23,'Data Vlaue (Cr)'!$C:$FB,63)</f>
        <v>698</v>
      </c>
      <c r="N23" s="51">
        <f>VLOOKUP($A23,'Data Vlaue (Cr)'!$C:$FB,64)</f>
        <v>1518</v>
      </c>
      <c r="O23" s="51">
        <f>VLOOKUP($A23,'Data Vlaue (Cr)'!$C:$FB,66)*100</f>
        <v>-54</v>
      </c>
    </row>
    <row r="24" spans="1:15" x14ac:dyDescent="0.25">
      <c r="A24" s="101" t="str">
        <f>'Data Vlaue (Cr)'!C19</f>
        <v>AUROPHARMA</v>
      </c>
      <c r="B24" s="50">
        <f>VLOOKUP($A24,'Data Vlaue (Cr)'!$C:$FB,8)</f>
        <v>1106.3</v>
      </c>
      <c r="C24" s="50">
        <f>VLOOKUP($A24,'Data Vlaue (Cr)'!$C:$FB,11)*100</f>
        <v>-0.24</v>
      </c>
      <c r="D24" s="50">
        <f>VLOOKUP($A24,'Data Vlaue (Cr)'!$C:$FB,143)</f>
        <v>1087.92</v>
      </c>
      <c r="E24" s="50">
        <f>VLOOKUP($A24,'Data Vlaue (Cr)'!$C:$FB,144)</f>
        <v>840.49</v>
      </c>
      <c r="F24" s="50">
        <f>VLOOKUP($A24,'Data Vlaue (Cr)'!$C:$FB,146)*100</f>
        <v>29.439999999999998</v>
      </c>
      <c r="G24" s="49">
        <f>VLOOKUP($A24,'Data Vlaue (Cr)'!$C:$FB,43)</f>
        <v>340</v>
      </c>
      <c r="H24" s="49">
        <f>VLOOKUP($A24,'Data Vlaue (Cr)'!$C:$FB,44)</f>
        <v>248</v>
      </c>
      <c r="I24" s="49">
        <f>VLOOKUP($A24,'Data Vlaue (Cr)'!$C:$FB,46)*100</f>
        <v>37.35</v>
      </c>
      <c r="J24" s="51">
        <f>VLOOKUP($A24,'Data Vlaue (Cr)'!$C:$FB,59)</f>
        <v>523</v>
      </c>
      <c r="K24" s="51">
        <f>VLOOKUP($A24,'Data Vlaue (Cr)'!$C:$FB,60)</f>
        <v>356</v>
      </c>
      <c r="L24" s="51">
        <f>VLOOKUP($A24,'Data Vlaue (Cr)'!$C:$FB,62)*100</f>
        <v>47.03</v>
      </c>
      <c r="M24" s="51">
        <f>VLOOKUP($A24,'Data Vlaue (Cr)'!$C:$FB,63)</f>
        <v>201</v>
      </c>
      <c r="N24" s="51">
        <f>VLOOKUP($A24,'Data Vlaue (Cr)'!$C:$FB,64)</f>
        <v>217</v>
      </c>
      <c r="O24" s="51">
        <f>VLOOKUP($A24,'Data Vlaue (Cr)'!$C:$FB,66)*100</f>
        <v>-7.39</v>
      </c>
    </row>
    <row r="25" spans="1:15" x14ac:dyDescent="0.25">
      <c r="A25" s="101" t="str">
        <f>'Data Vlaue (Cr)'!C20</f>
        <v>AXISBANK</v>
      </c>
      <c r="B25" s="50">
        <f>VLOOKUP($A25,'Data Vlaue (Cr)'!$C:$FB,8)</f>
        <v>1196.3</v>
      </c>
      <c r="C25" s="50">
        <f>VLOOKUP($A25,'Data Vlaue (Cr)'!$C:$FB,11)*100</f>
        <v>2.2800000000000002</v>
      </c>
      <c r="D25" s="50">
        <f>VLOOKUP($A25,'Data Vlaue (Cr)'!$C:$FB,143)</f>
        <v>29136.27</v>
      </c>
      <c r="E25" s="50">
        <f>VLOOKUP($A25,'Data Vlaue (Cr)'!$C:$FB,144)</f>
        <v>12354.28</v>
      </c>
      <c r="F25" s="50">
        <f>VLOOKUP($A25,'Data Vlaue (Cr)'!$C:$FB,146)*100</f>
        <v>135.84</v>
      </c>
      <c r="G25" s="49">
        <f>VLOOKUP($A25,'Data Vlaue (Cr)'!$C:$FB,43)</f>
        <v>3387</v>
      </c>
      <c r="H25" s="49">
        <f>VLOOKUP($A25,'Data Vlaue (Cr)'!$C:$FB,44)</f>
        <v>2003</v>
      </c>
      <c r="I25" s="49">
        <f>VLOOKUP($A25,'Data Vlaue (Cr)'!$C:$FB,46)*100</f>
        <v>69.040000000000006</v>
      </c>
      <c r="J25" s="51">
        <f>VLOOKUP($A25,'Data Vlaue (Cr)'!$C:$FB,59)</f>
        <v>14829</v>
      </c>
      <c r="K25" s="51">
        <f>VLOOKUP($A25,'Data Vlaue (Cr)'!$C:$FB,60)</f>
        <v>5958</v>
      </c>
      <c r="L25" s="51">
        <f>VLOOKUP($A25,'Data Vlaue (Cr)'!$C:$FB,62)*100</f>
        <v>148.91</v>
      </c>
      <c r="M25" s="51">
        <f>VLOOKUP($A25,'Data Vlaue (Cr)'!$C:$FB,63)</f>
        <v>10708</v>
      </c>
      <c r="N25" s="51">
        <f>VLOOKUP($A25,'Data Vlaue (Cr)'!$C:$FB,64)</f>
        <v>4481</v>
      </c>
      <c r="O25" s="51">
        <f>VLOOKUP($A25,'Data Vlaue (Cr)'!$C:$FB,66)*100</f>
        <v>139</v>
      </c>
    </row>
    <row r="26" spans="1:15" x14ac:dyDescent="0.25">
      <c r="A26" s="101" t="str">
        <f>'Data Vlaue (Cr)'!C21</f>
        <v>BAJAJ-AUTO</v>
      </c>
      <c r="B26" s="50">
        <f>VLOOKUP($A26,'Data Vlaue (Cr)'!$C:$FB,8)</f>
        <v>9151.5</v>
      </c>
      <c r="C26" s="50">
        <f>VLOOKUP($A26,'Data Vlaue (Cr)'!$C:$FB,11)*100</f>
        <v>1.71</v>
      </c>
      <c r="D26" s="50">
        <f>VLOOKUP($A26,'Data Vlaue (Cr)'!$C:$FB,143)</f>
        <v>5138.25</v>
      </c>
      <c r="E26" s="50">
        <f>VLOOKUP($A26,'Data Vlaue (Cr)'!$C:$FB,144)</f>
        <v>6981.58</v>
      </c>
      <c r="F26" s="50">
        <f>VLOOKUP($A26,'Data Vlaue (Cr)'!$C:$FB,146)*100</f>
        <v>-26.400000000000002</v>
      </c>
      <c r="G26" s="49">
        <f>VLOOKUP($A26,'Data Vlaue (Cr)'!$C:$FB,43)</f>
        <v>581</v>
      </c>
      <c r="H26" s="49">
        <f>VLOOKUP($A26,'Data Vlaue (Cr)'!$C:$FB,44)</f>
        <v>727</v>
      </c>
      <c r="I26" s="49">
        <f>VLOOKUP($A26,'Data Vlaue (Cr)'!$C:$FB,46)*100</f>
        <v>-19.98</v>
      </c>
      <c r="J26" s="51">
        <f>VLOOKUP($A26,'Data Vlaue (Cr)'!$C:$FB,59)</f>
        <v>3174</v>
      </c>
      <c r="K26" s="51">
        <f>VLOOKUP($A26,'Data Vlaue (Cr)'!$C:$FB,60)</f>
        <v>3939</v>
      </c>
      <c r="L26" s="51">
        <f>VLOOKUP($A26,'Data Vlaue (Cr)'!$C:$FB,62)*100</f>
        <v>-19.41</v>
      </c>
      <c r="M26" s="51">
        <f>VLOOKUP($A26,'Data Vlaue (Cr)'!$C:$FB,63)</f>
        <v>1324</v>
      </c>
      <c r="N26" s="51">
        <f>VLOOKUP($A26,'Data Vlaue (Cr)'!$C:$FB,64)</f>
        <v>2276</v>
      </c>
      <c r="O26" s="51">
        <f>VLOOKUP($A26,'Data Vlaue (Cr)'!$C:$FB,66)*100</f>
        <v>-41.839999999999996</v>
      </c>
    </row>
    <row r="27" spans="1:15" x14ac:dyDescent="0.25">
      <c r="A27" s="101" t="str">
        <f>'Data Vlaue (Cr)'!C22</f>
        <v>BAJAJFINSV</v>
      </c>
      <c r="B27" s="50">
        <f>VLOOKUP($A27,'Data Vlaue (Cr)'!$C:$FB,8)</f>
        <v>2090.1999999999998</v>
      </c>
      <c r="C27" s="50">
        <f>VLOOKUP($A27,'Data Vlaue (Cr)'!$C:$FB,11)*100</f>
        <v>0.28999999999999998</v>
      </c>
      <c r="D27" s="50">
        <f>VLOOKUP($A27,'Data Vlaue (Cr)'!$C:$FB,143)</f>
        <v>4223.76</v>
      </c>
      <c r="E27" s="50">
        <f>VLOOKUP($A27,'Data Vlaue (Cr)'!$C:$FB,144)</f>
        <v>6296.3</v>
      </c>
      <c r="F27" s="50">
        <f>VLOOKUP($A27,'Data Vlaue (Cr)'!$C:$FB,146)*100</f>
        <v>-32.92</v>
      </c>
      <c r="G27" s="49">
        <f>VLOOKUP($A27,'Data Vlaue (Cr)'!$C:$FB,43)</f>
        <v>403</v>
      </c>
      <c r="H27" s="49">
        <f>VLOOKUP($A27,'Data Vlaue (Cr)'!$C:$FB,44)</f>
        <v>617</v>
      </c>
      <c r="I27" s="49">
        <f>VLOOKUP($A27,'Data Vlaue (Cr)'!$C:$FB,46)*100</f>
        <v>-34.64</v>
      </c>
      <c r="J27" s="51">
        <f>VLOOKUP($A27,'Data Vlaue (Cr)'!$C:$FB,59)</f>
        <v>2505</v>
      </c>
      <c r="K27" s="51">
        <f>VLOOKUP($A27,'Data Vlaue (Cr)'!$C:$FB,60)</f>
        <v>3986</v>
      </c>
      <c r="L27" s="51">
        <f>VLOOKUP($A27,'Data Vlaue (Cr)'!$C:$FB,62)*100</f>
        <v>-37.159999999999997</v>
      </c>
      <c r="M27" s="51">
        <f>VLOOKUP($A27,'Data Vlaue (Cr)'!$C:$FB,63)</f>
        <v>1303</v>
      </c>
      <c r="N27" s="51">
        <f>VLOOKUP($A27,'Data Vlaue (Cr)'!$C:$FB,64)</f>
        <v>1699</v>
      </c>
      <c r="O27" s="51">
        <f>VLOOKUP($A27,'Data Vlaue (Cr)'!$C:$FB,66)*100</f>
        <v>-23.28</v>
      </c>
    </row>
    <row r="28" spans="1:15" x14ac:dyDescent="0.25">
      <c r="A28" s="101" t="str">
        <f>'Data Vlaue (Cr)'!C23</f>
        <v>BAJFINANCE</v>
      </c>
      <c r="B28" s="50">
        <f>VLOOKUP($A28,'Data Vlaue (Cr)'!$C:$FB,8)</f>
        <v>1065.75</v>
      </c>
      <c r="C28" s="50">
        <f>VLOOKUP($A28,'Data Vlaue (Cr)'!$C:$FB,11)*100</f>
        <v>0.54999999999999993</v>
      </c>
      <c r="D28" s="50">
        <f>VLOOKUP($A28,'Data Vlaue (Cr)'!$C:$FB,143)</f>
        <v>11449.23</v>
      </c>
      <c r="E28" s="50">
        <f>VLOOKUP($A28,'Data Vlaue (Cr)'!$C:$FB,144)</f>
        <v>11541.01</v>
      </c>
      <c r="F28" s="50">
        <f>VLOOKUP($A28,'Data Vlaue (Cr)'!$C:$FB,146)*100</f>
        <v>-0.8</v>
      </c>
      <c r="G28" s="49">
        <f>VLOOKUP($A28,'Data Vlaue (Cr)'!$C:$FB,43)</f>
        <v>1342</v>
      </c>
      <c r="H28" s="49">
        <f>VLOOKUP($A28,'Data Vlaue (Cr)'!$C:$FB,44)</f>
        <v>1425</v>
      </c>
      <c r="I28" s="49">
        <f>VLOOKUP($A28,'Data Vlaue (Cr)'!$C:$FB,46)*100</f>
        <v>-5.79</v>
      </c>
      <c r="J28" s="51">
        <f>VLOOKUP($A28,'Data Vlaue (Cr)'!$C:$FB,59)</f>
        <v>6111</v>
      </c>
      <c r="K28" s="51">
        <f>VLOOKUP($A28,'Data Vlaue (Cr)'!$C:$FB,60)</f>
        <v>6527</v>
      </c>
      <c r="L28" s="51">
        <f>VLOOKUP($A28,'Data Vlaue (Cr)'!$C:$FB,62)*100</f>
        <v>-6.370000000000001</v>
      </c>
      <c r="M28" s="51">
        <f>VLOOKUP($A28,'Data Vlaue (Cr)'!$C:$FB,63)</f>
        <v>3847</v>
      </c>
      <c r="N28" s="51">
        <f>VLOOKUP($A28,'Data Vlaue (Cr)'!$C:$FB,64)</f>
        <v>3650</v>
      </c>
      <c r="O28" s="51">
        <f>VLOOKUP($A28,'Data Vlaue (Cr)'!$C:$FB,66)*100</f>
        <v>5.42</v>
      </c>
    </row>
    <row r="29" spans="1:15" x14ac:dyDescent="0.25">
      <c r="A29" s="101" t="str">
        <f>'Data Vlaue (Cr)'!C24</f>
        <v>BANDHANBNK</v>
      </c>
      <c r="B29" s="50">
        <f>VLOOKUP($A29,'Data Vlaue (Cr)'!$C:$FB,8)</f>
        <v>161.56</v>
      </c>
      <c r="C29" s="50">
        <f>VLOOKUP($A29,'Data Vlaue (Cr)'!$C:$FB,11)*100</f>
        <v>-1</v>
      </c>
      <c r="D29" s="50">
        <f>VLOOKUP($A29,'Data Vlaue (Cr)'!$C:$FB,143)</f>
        <v>1144.4000000000001</v>
      </c>
      <c r="E29" s="50">
        <f>VLOOKUP($A29,'Data Vlaue (Cr)'!$C:$FB,144)</f>
        <v>1112.17</v>
      </c>
      <c r="F29" s="50">
        <f>VLOOKUP($A29,'Data Vlaue (Cr)'!$C:$FB,146)*100</f>
        <v>2.9000000000000004</v>
      </c>
      <c r="G29" s="49">
        <f>VLOOKUP($A29,'Data Vlaue (Cr)'!$C:$FB,43)</f>
        <v>303</v>
      </c>
      <c r="H29" s="49">
        <f>VLOOKUP($A29,'Data Vlaue (Cr)'!$C:$FB,44)</f>
        <v>399</v>
      </c>
      <c r="I29" s="49">
        <f>VLOOKUP($A29,'Data Vlaue (Cr)'!$C:$FB,46)*100</f>
        <v>-24.21</v>
      </c>
      <c r="J29" s="51">
        <f>VLOOKUP($A29,'Data Vlaue (Cr)'!$C:$FB,59)</f>
        <v>557</v>
      </c>
      <c r="K29" s="51">
        <f>VLOOKUP($A29,'Data Vlaue (Cr)'!$C:$FB,60)</f>
        <v>445</v>
      </c>
      <c r="L29" s="51">
        <f>VLOOKUP($A29,'Data Vlaue (Cr)'!$C:$FB,62)*100</f>
        <v>24.98</v>
      </c>
      <c r="M29" s="51">
        <f>VLOOKUP($A29,'Data Vlaue (Cr)'!$C:$FB,63)</f>
        <v>255</v>
      </c>
      <c r="N29" s="51">
        <f>VLOOKUP($A29,'Data Vlaue (Cr)'!$C:$FB,64)</f>
        <v>230</v>
      </c>
      <c r="O29" s="51">
        <f>VLOOKUP($A29,'Data Vlaue (Cr)'!$C:$FB,66)*100</f>
        <v>10.75</v>
      </c>
    </row>
    <row r="30" spans="1:15" x14ac:dyDescent="0.25">
      <c r="A30" s="101" t="str">
        <f>'Data Vlaue (Cr)'!C25</f>
        <v>BANKBARODA</v>
      </c>
      <c r="B30" s="50">
        <f>VLOOKUP($A30,'Data Vlaue (Cr)'!$C:$FB,8)</f>
        <v>266.14999999999998</v>
      </c>
      <c r="C30" s="50">
        <f>VLOOKUP($A30,'Data Vlaue (Cr)'!$C:$FB,11)*100</f>
        <v>-0.84</v>
      </c>
      <c r="D30" s="50">
        <f>VLOOKUP($A30,'Data Vlaue (Cr)'!$C:$FB,143)</f>
        <v>1830.49</v>
      </c>
      <c r="E30" s="50">
        <f>VLOOKUP($A30,'Data Vlaue (Cr)'!$C:$FB,144)</f>
        <v>2858.29</v>
      </c>
      <c r="F30" s="50">
        <f>VLOOKUP($A30,'Data Vlaue (Cr)'!$C:$FB,146)*100</f>
        <v>-35.96</v>
      </c>
      <c r="G30" s="49">
        <f>VLOOKUP($A30,'Data Vlaue (Cr)'!$C:$FB,43)</f>
        <v>424</v>
      </c>
      <c r="H30" s="49">
        <f>VLOOKUP($A30,'Data Vlaue (Cr)'!$C:$FB,44)</f>
        <v>540</v>
      </c>
      <c r="I30" s="49">
        <f>VLOOKUP($A30,'Data Vlaue (Cr)'!$C:$FB,46)*100</f>
        <v>-21.490000000000002</v>
      </c>
      <c r="J30" s="51">
        <f>VLOOKUP($A30,'Data Vlaue (Cr)'!$C:$FB,59)</f>
        <v>902</v>
      </c>
      <c r="K30" s="51">
        <f>VLOOKUP($A30,'Data Vlaue (Cr)'!$C:$FB,60)</f>
        <v>1411</v>
      </c>
      <c r="L30" s="51">
        <f>VLOOKUP($A30,'Data Vlaue (Cr)'!$C:$FB,62)*100</f>
        <v>-36.059999999999995</v>
      </c>
      <c r="M30" s="51">
        <f>VLOOKUP($A30,'Data Vlaue (Cr)'!$C:$FB,63)</f>
        <v>469</v>
      </c>
      <c r="N30" s="51">
        <f>VLOOKUP($A30,'Data Vlaue (Cr)'!$C:$FB,64)</f>
        <v>849</v>
      </c>
      <c r="O30" s="51">
        <f>VLOOKUP($A30,'Data Vlaue (Cr)'!$C:$FB,66)*100</f>
        <v>-44.79</v>
      </c>
    </row>
    <row r="31" spans="1:15" x14ac:dyDescent="0.25">
      <c r="A31" s="101" t="str">
        <f>'Data Vlaue (Cr)'!C26</f>
        <v>BANKINDIA</v>
      </c>
      <c r="B31" s="50">
        <f>VLOOKUP($A31,'Data Vlaue (Cr)'!$C:$FB,8)</f>
        <v>125.42</v>
      </c>
      <c r="C31" s="50">
        <f>VLOOKUP($A31,'Data Vlaue (Cr)'!$C:$FB,11)*100</f>
        <v>-0.73</v>
      </c>
      <c r="D31" s="50">
        <f>VLOOKUP($A31,'Data Vlaue (Cr)'!$C:$FB,143)</f>
        <v>458.27</v>
      </c>
      <c r="E31" s="50">
        <f>VLOOKUP($A31,'Data Vlaue (Cr)'!$C:$FB,144)</f>
        <v>480.69</v>
      </c>
      <c r="F31" s="50">
        <f>VLOOKUP($A31,'Data Vlaue (Cr)'!$C:$FB,146)*100</f>
        <v>-4.66</v>
      </c>
      <c r="G31" s="49">
        <f>VLOOKUP($A31,'Data Vlaue (Cr)'!$C:$FB,43)</f>
        <v>175</v>
      </c>
      <c r="H31" s="49">
        <f>VLOOKUP($A31,'Data Vlaue (Cr)'!$C:$FB,44)</f>
        <v>178</v>
      </c>
      <c r="I31" s="49">
        <f>VLOOKUP($A31,'Data Vlaue (Cr)'!$C:$FB,46)*100</f>
        <v>-1.69</v>
      </c>
      <c r="J31" s="51">
        <f>VLOOKUP($A31,'Data Vlaue (Cr)'!$C:$FB,59)</f>
        <v>205</v>
      </c>
      <c r="K31" s="51">
        <f>VLOOKUP($A31,'Data Vlaue (Cr)'!$C:$FB,60)</f>
        <v>226</v>
      </c>
      <c r="L31" s="51">
        <f>VLOOKUP($A31,'Data Vlaue (Cr)'!$C:$FB,62)*100</f>
        <v>-8.93</v>
      </c>
      <c r="M31" s="51">
        <f>VLOOKUP($A31,'Data Vlaue (Cr)'!$C:$FB,63)</f>
        <v>67</v>
      </c>
      <c r="N31" s="51">
        <f>VLOOKUP($A31,'Data Vlaue (Cr)'!$C:$FB,64)</f>
        <v>66</v>
      </c>
      <c r="O31" s="51">
        <f>VLOOKUP($A31,'Data Vlaue (Cr)'!$C:$FB,66)*100</f>
        <v>0.9900000000000001</v>
      </c>
    </row>
    <row r="32" spans="1:15" x14ac:dyDescent="0.25">
      <c r="A32" s="101" t="str">
        <f>'Data Vlaue (Cr)'!C27</f>
        <v>BANKNIFTY</v>
      </c>
      <c r="B32" s="50">
        <f>VLOOKUP($A32,'Data Vlaue (Cr)'!$C:$FB,8)</f>
        <v>57422.55</v>
      </c>
      <c r="C32" s="50">
        <f>VLOOKUP($A32,'Data Vlaue (Cr)'!$C:$FB,11)*100</f>
        <v>1.0999999999999999</v>
      </c>
      <c r="D32" s="50">
        <f>VLOOKUP($A32,'Data Vlaue (Cr)'!$C:$FB,143)</f>
        <v>856672.01</v>
      </c>
      <c r="E32" s="50">
        <f>VLOOKUP($A32,'Data Vlaue (Cr)'!$C:$FB,144)</f>
        <v>666876.14</v>
      </c>
      <c r="F32" s="50">
        <f>VLOOKUP($A32,'Data Vlaue (Cr)'!$C:$FB,146)*100</f>
        <v>28.46</v>
      </c>
      <c r="G32" s="49">
        <f>VLOOKUP($A32,'Data Vlaue (Cr)'!$C:$FB,43)</f>
        <v>6979</v>
      </c>
      <c r="H32" s="49">
        <f>VLOOKUP($A32,'Data Vlaue (Cr)'!$C:$FB,44)</f>
        <v>4932</v>
      </c>
      <c r="I32" s="49">
        <f>VLOOKUP($A32,'Data Vlaue (Cr)'!$C:$FB,46)*100</f>
        <v>41.52</v>
      </c>
      <c r="J32" s="51">
        <f>VLOOKUP($A32,'Data Vlaue (Cr)'!$C:$FB,59)</f>
        <v>455928</v>
      </c>
      <c r="K32" s="51">
        <f>VLOOKUP($A32,'Data Vlaue (Cr)'!$C:$FB,60)</f>
        <v>358298</v>
      </c>
      <c r="L32" s="51">
        <f>VLOOKUP($A32,'Data Vlaue (Cr)'!$C:$FB,62)*100</f>
        <v>27.250000000000004</v>
      </c>
      <c r="M32" s="51">
        <f>VLOOKUP($A32,'Data Vlaue (Cr)'!$C:$FB,63)</f>
        <v>398511</v>
      </c>
      <c r="N32" s="51">
        <f>VLOOKUP($A32,'Data Vlaue (Cr)'!$C:$FB,64)</f>
        <v>310748</v>
      </c>
      <c r="O32" s="51">
        <f>VLOOKUP($A32,'Data Vlaue (Cr)'!$C:$FB,66)*100</f>
        <v>28.24</v>
      </c>
    </row>
    <row r="33" spans="1:15" x14ac:dyDescent="0.25">
      <c r="A33" s="101" t="str">
        <f>'Data Vlaue (Cr)'!C28</f>
        <v>BDL</v>
      </c>
      <c r="B33" s="50">
        <f>VLOOKUP($A33,'Data Vlaue (Cr)'!$C:$FB,8)</f>
        <v>1504.9</v>
      </c>
      <c r="C33" s="50">
        <f>VLOOKUP($A33,'Data Vlaue (Cr)'!$C:$FB,11)*100</f>
        <v>0.27</v>
      </c>
      <c r="D33" s="50">
        <f>VLOOKUP($A33,'Data Vlaue (Cr)'!$C:$FB,143)</f>
        <v>694.01</v>
      </c>
      <c r="E33" s="50">
        <f>VLOOKUP($A33,'Data Vlaue (Cr)'!$C:$FB,144)</f>
        <v>780.09</v>
      </c>
      <c r="F33" s="50">
        <f>VLOOKUP($A33,'Data Vlaue (Cr)'!$C:$FB,146)*100</f>
        <v>-11.04</v>
      </c>
      <c r="G33" s="49">
        <f>VLOOKUP($A33,'Data Vlaue (Cr)'!$C:$FB,43)</f>
        <v>98</v>
      </c>
      <c r="H33" s="49">
        <f>VLOOKUP($A33,'Data Vlaue (Cr)'!$C:$FB,44)</f>
        <v>117</v>
      </c>
      <c r="I33" s="49">
        <f>VLOOKUP($A33,'Data Vlaue (Cr)'!$C:$FB,46)*100</f>
        <v>-16.39</v>
      </c>
      <c r="J33" s="51">
        <f>VLOOKUP($A33,'Data Vlaue (Cr)'!$C:$FB,59)</f>
        <v>461</v>
      </c>
      <c r="K33" s="51">
        <f>VLOOKUP($A33,'Data Vlaue (Cr)'!$C:$FB,60)</f>
        <v>478</v>
      </c>
      <c r="L33" s="51">
        <f>VLOOKUP($A33,'Data Vlaue (Cr)'!$C:$FB,62)*100</f>
        <v>-3.52</v>
      </c>
      <c r="M33" s="51">
        <f>VLOOKUP($A33,'Data Vlaue (Cr)'!$C:$FB,63)</f>
        <v>111</v>
      </c>
      <c r="N33" s="51">
        <f>VLOOKUP($A33,'Data Vlaue (Cr)'!$C:$FB,64)</f>
        <v>160</v>
      </c>
      <c r="O33" s="51">
        <f>VLOOKUP($A33,'Data Vlaue (Cr)'!$C:$FB,66)*100</f>
        <v>-30.37</v>
      </c>
    </row>
    <row r="34" spans="1:15" x14ac:dyDescent="0.25">
      <c r="A34" s="101" t="str">
        <f>'Data Vlaue (Cr)'!C29</f>
        <v>BEL</v>
      </c>
      <c r="B34" s="50">
        <f>VLOOKUP($A34,'Data Vlaue (Cr)'!$C:$FB,8)</f>
        <v>411.8</v>
      </c>
      <c r="C34" s="50">
        <f>VLOOKUP($A34,'Data Vlaue (Cr)'!$C:$FB,11)*100</f>
        <v>0.91</v>
      </c>
      <c r="D34" s="50">
        <f>VLOOKUP($A34,'Data Vlaue (Cr)'!$C:$FB,143)</f>
        <v>5676.07</v>
      </c>
      <c r="E34" s="50">
        <f>VLOOKUP($A34,'Data Vlaue (Cr)'!$C:$FB,144)</f>
        <v>6463.91</v>
      </c>
      <c r="F34" s="50">
        <f>VLOOKUP($A34,'Data Vlaue (Cr)'!$C:$FB,146)*100</f>
        <v>-12.19</v>
      </c>
      <c r="G34" s="49">
        <f>VLOOKUP($A34,'Data Vlaue (Cr)'!$C:$FB,43)</f>
        <v>784</v>
      </c>
      <c r="H34" s="49">
        <f>VLOOKUP($A34,'Data Vlaue (Cr)'!$C:$FB,44)</f>
        <v>857</v>
      </c>
      <c r="I34" s="49">
        <f>VLOOKUP($A34,'Data Vlaue (Cr)'!$C:$FB,46)*100</f>
        <v>-8.52</v>
      </c>
      <c r="J34" s="51">
        <f>VLOOKUP($A34,'Data Vlaue (Cr)'!$C:$FB,59)</f>
        <v>3149</v>
      </c>
      <c r="K34" s="51">
        <f>VLOOKUP($A34,'Data Vlaue (Cr)'!$C:$FB,60)</f>
        <v>3629</v>
      </c>
      <c r="L34" s="51">
        <f>VLOOKUP($A34,'Data Vlaue (Cr)'!$C:$FB,62)*100</f>
        <v>-13.23</v>
      </c>
      <c r="M34" s="51">
        <f>VLOOKUP($A34,'Data Vlaue (Cr)'!$C:$FB,63)</f>
        <v>1670</v>
      </c>
      <c r="N34" s="51">
        <f>VLOOKUP($A34,'Data Vlaue (Cr)'!$C:$FB,64)</f>
        <v>1934</v>
      </c>
      <c r="O34" s="51">
        <f>VLOOKUP($A34,'Data Vlaue (Cr)'!$C:$FB,66)*100</f>
        <v>-13.66</v>
      </c>
    </row>
    <row r="35" spans="1:15" x14ac:dyDescent="0.25">
      <c r="A35" s="101" t="str">
        <f>'Data Vlaue (Cr)'!C30</f>
        <v>BHARATFORG</v>
      </c>
      <c r="B35" s="50">
        <f>VLOOKUP($A35,'Data Vlaue (Cr)'!$C:$FB,8)</f>
        <v>1265.2</v>
      </c>
      <c r="C35" s="50">
        <f>VLOOKUP($A35,'Data Vlaue (Cr)'!$C:$FB,11)*100</f>
        <v>2.64</v>
      </c>
      <c r="D35" s="50">
        <f>VLOOKUP($A35,'Data Vlaue (Cr)'!$C:$FB,143)</f>
        <v>4078.07</v>
      </c>
      <c r="E35" s="50">
        <f>VLOOKUP($A35,'Data Vlaue (Cr)'!$C:$FB,144)</f>
        <v>1247.33</v>
      </c>
      <c r="F35" s="50">
        <f>VLOOKUP($A35,'Data Vlaue (Cr)'!$C:$FB,146)*100</f>
        <v>226.94</v>
      </c>
      <c r="G35" s="49">
        <f>VLOOKUP($A35,'Data Vlaue (Cr)'!$C:$FB,43)</f>
        <v>736</v>
      </c>
      <c r="H35" s="49">
        <f>VLOOKUP($A35,'Data Vlaue (Cr)'!$C:$FB,44)</f>
        <v>357</v>
      </c>
      <c r="I35" s="49">
        <f>VLOOKUP($A35,'Data Vlaue (Cr)'!$C:$FB,46)*100</f>
        <v>106.05</v>
      </c>
      <c r="J35" s="51">
        <f>VLOOKUP($A35,'Data Vlaue (Cr)'!$C:$FB,59)</f>
        <v>2567</v>
      </c>
      <c r="K35" s="51">
        <f>VLOOKUP($A35,'Data Vlaue (Cr)'!$C:$FB,60)</f>
        <v>651</v>
      </c>
      <c r="L35" s="51">
        <f>VLOOKUP($A35,'Data Vlaue (Cr)'!$C:$FB,62)*100</f>
        <v>294.18</v>
      </c>
      <c r="M35" s="51">
        <f>VLOOKUP($A35,'Data Vlaue (Cr)'!$C:$FB,63)</f>
        <v>730</v>
      </c>
      <c r="N35" s="51">
        <f>VLOOKUP($A35,'Data Vlaue (Cr)'!$C:$FB,64)</f>
        <v>258</v>
      </c>
      <c r="O35" s="51">
        <f>VLOOKUP($A35,'Data Vlaue (Cr)'!$C:$FB,66)*100</f>
        <v>182.32999999999998</v>
      </c>
    </row>
    <row r="36" spans="1:15" x14ac:dyDescent="0.25">
      <c r="A36" s="101" t="str">
        <f>'Data Vlaue (Cr)'!C31</f>
        <v>BHARTIARTL</v>
      </c>
      <c r="B36" s="50">
        <f>VLOOKUP($A36,'Data Vlaue (Cr)'!$C:$FB,8)</f>
        <v>1967.4</v>
      </c>
      <c r="C36" s="50">
        <f>VLOOKUP($A36,'Data Vlaue (Cr)'!$C:$FB,11)*100</f>
        <v>-0.06</v>
      </c>
      <c r="D36" s="50">
        <f>VLOOKUP($A36,'Data Vlaue (Cr)'!$C:$FB,143)</f>
        <v>7559.41</v>
      </c>
      <c r="E36" s="50">
        <f>VLOOKUP($A36,'Data Vlaue (Cr)'!$C:$FB,144)</f>
        <v>7747.61</v>
      </c>
      <c r="F36" s="50">
        <f>VLOOKUP($A36,'Data Vlaue (Cr)'!$C:$FB,146)*100</f>
        <v>-2.4299999999999997</v>
      </c>
      <c r="G36" s="49">
        <f>VLOOKUP($A36,'Data Vlaue (Cr)'!$C:$FB,43)</f>
        <v>1306</v>
      </c>
      <c r="H36" s="49">
        <f>VLOOKUP($A36,'Data Vlaue (Cr)'!$C:$FB,44)</f>
        <v>911</v>
      </c>
      <c r="I36" s="49">
        <f>VLOOKUP($A36,'Data Vlaue (Cr)'!$C:$FB,46)*100</f>
        <v>43.26</v>
      </c>
      <c r="J36" s="51">
        <f>VLOOKUP($A36,'Data Vlaue (Cr)'!$C:$FB,59)</f>
        <v>3999</v>
      </c>
      <c r="K36" s="51">
        <f>VLOOKUP($A36,'Data Vlaue (Cr)'!$C:$FB,60)</f>
        <v>4453</v>
      </c>
      <c r="L36" s="51">
        <f>VLOOKUP($A36,'Data Vlaue (Cr)'!$C:$FB,62)*100</f>
        <v>-10.190000000000001</v>
      </c>
      <c r="M36" s="51">
        <f>VLOOKUP($A36,'Data Vlaue (Cr)'!$C:$FB,63)</f>
        <v>2174</v>
      </c>
      <c r="N36" s="51">
        <f>VLOOKUP($A36,'Data Vlaue (Cr)'!$C:$FB,64)</f>
        <v>2342</v>
      </c>
      <c r="O36" s="51">
        <f>VLOOKUP($A36,'Data Vlaue (Cr)'!$C:$FB,66)*100</f>
        <v>-7.16</v>
      </c>
    </row>
    <row r="37" spans="1:15" x14ac:dyDescent="0.25">
      <c r="A37" s="101" t="str">
        <f>'Data Vlaue (Cr)'!C32</f>
        <v>BHEL</v>
      </c>
      <c r="B37" s="50">
        <f>VLOOKUP($A37,'Data Vlaue (Cr)'!$C:$FB,8)</f>
        <v>236.17</v>
      </c>
      <c r="C37" s="50">
        <f>VLOOKUP($A37,'Data Vlaue (Cr)'!$C:$FB,11)*100</f>
        <v>0.16</v>
      </c>
      <c r="D37" s="50">
        <f>VLOOKUP($A37,'Data Vlaue (Cr)'!$C:$FB,143)</f>
        <v>989.84</v>
      </c>
      <c r="E37" s="50">
        <f>VLOOKUP($A37,'Data Vlaue (Cr)'!$C:$FB,144)</f>
        <v>1319.66</v>
      </c>
      <c r="F37" s="50">
        <f>VLOOKUP($A37,'Data Vlaue (Cr)'!$C:$FB,146)*100</f>
        <v>-24.990000000000002</v>
      </c>
      <c r="G37" s="49">
        <f>VLOOKUP($A37,'Data Vlaue (Cr)'!$C:$FB,43)</f>
        <v>189</v>
      </c>
      <c r="H37" s="49">
        <f>VLOOKUP($A37,'Data Vlaue (Cr)'!$C:$FB,44)</f>
        <v>227</v>
      </c>
      <c r="I37" s="49">
        <f>VLOOKUP($A37,'Data Vlaue (Cr)'!$C:$FB,46)*100</f>
        <v>-16.5</v>
      </c>
      <c r="J37" s="51">
        <f>VLOOKUP($A37,'Data Vlaue (Cr)'!$C:$FB,59)</f>
        <v>538</v>
      </c>
      <c r="K37" s="51">
        <f>VLOOKUP($A37,'Data Vlaue (Cr)'!$C:$FB,60)</f>
        <v>695</v>
      </c>
      <c r="L37" s="51">
        <f>VLOOKUP($A37,'Data Vlaue (Cr)'!$C:$FB,62)*100</f>
        <v>-22.61</v>
      </c>
      <c r="M37" s="51">
        <f>VLOOKUP($A37,'Data Vlaue (Cr)'!$C:$FB,63)</f>
        <v>243</v>
      </c>
      <c r="N37" s="51">
        <f>VLOOKUP($A37,'Data Vlaue (Cr)'!$C:$FB,64)</f>
        <v>374</v>
      </c>
      <c r="O37" s="51">
        <f>VLOOKUP($A37,'Data Vlaue (Cr)'!$C:$FB,66)*100</f>
        <v>-35.099999999999994</v>
      </c>
    </row>
    <row r="38" spans="1:15" x14ac:dyDescent="0.25">
      <c r="A38" s="101" t="str">
        <f>'Data Vlaue (Cr)'!C33</f>
        <v>BIOCON</v>
      </c>
      <c r="B38" s="50">
        <f>VLOOKUP($A38,'Data Vlaue (Cr)'!$C:$FB,8)</f>
        <v>358.2</v>
      </c>
      <c r="C38" s="50">
        <f>VLOOKUP($A38,'Data Vlaue (Cr)'!$C:$FB,11)*100</f>
        <v>0.51</v>
      </c>
      <c r="D38" s="50">
        <f>VLOOKUP($A38,'Data Vlaue (Cr)'!$C:$FB,143)</f>
        <v>1196</v>
      </c>
      <c r="E38" s="50">
        <f>VLOOKUP($A38,'Data Vlaue (Cr)'!$C:$FB,144)</f>
        <v>1043.73</v>
      </c>
      <c r="F38" s="50">
        <f>VLOOKUP($A38,'Data Vlaue (Cr)'!$C:$FB,146)*100</f>
        <v>14.59</v>
      </c>
      <c r="G38" s="49">
        <f>VLOOKUP($A38,'Data Vlaue (Cr)'!$C:$FB,43)</f>
        <v>239</v>
      </c>
      <c r="H38" s="49">
        <f>VLOOKUP($A38,'Data Vlaue (Cr)'!$C:$FB,44)</f>
        <v>185</v>
      </c>
      <c r="I38" s="49">
        <f>VLOOKUP($A38,'Data Vlaue (Cr)'!$C:$FB,46)*100</f>
        <v>29.630000000000003</v>
      </c>
      <c r="J38" s="51">
        <f>VLOOKUP($A38,'Data Vlaue (Cr)'!$C:$FB,59)</f>
        <v>609</v>
      </c>
      <c r="K38" s="51">
        <f>VLOOKUP($A38,'Data Vlaue (Cr)'!$C:$FB,60)</f>
        <v>584</v>
      </c>
      <c r="L38" s="51">
        <f>VLOOKUP($A38,'Data Vlaue (Cr)'!$C:$FB,62)*100</f>
        <v>4.22</v>
      </c>
      <c r="M38" s="51">
        <f>VLOOKUP($A38,'Data Vlaue (Cr)'!$C:$FB,63)</f>
        <v>334</v>
      </c>
      <c r="N38" s="51">
        <f>VLOOKUP($A38,'Data Vlaue (Cr)'!$C:$FB,64)</f>
        <v>269</v>
      </c>
      <c r="O38" s="51">
        <f>VLOOKUP($A38,'Data Vlaue (Cr)'!$C:$FB,66)*100</f>
        <v>24.11</v>
      </c>
    </row>
    <row r="39" spans="1:15" x14ac:dyDescent="0.25">
      <c r="A39" s="101" t="str">
        <f>'Data Vlaue (Cr)'!C34</f>
        <v>BLUESTARCO</v>
      </c>
      <c r="B39" s="50">
        <f>VLOOKUP($A39,'Data Vlaue (Cr)'!$C:$FB,8)</f>
        <v>1957.6</v>
      </c>
      <c r="C39" s="50">
        <f>VLOOKUP($A39,'Data Vlaue (Cr)'!$C:$FB,11)*100</f>
        <v>2.3199999999999998</v>
      </c>
      <c r="D39" s="50">
        <f>VLOOKUP($A39,'Data Vlaue (Cr)'!$C:$FB,143)</f>
        <v>535.04</v>
      </c>
      <c r="E39" s="50">
        <f>VLOOKUP($A39,'Data Vlaue (Cr)'!$C:$FB,144)</f>
        <v>266.51</v>
      </c>
      <c r="F39" s="50">
        <f>VLOOKUP($A39,'Data Vlaue (Cr)'!$C:$FB,146)*100</f>
        <v>100.76</v>
      </c>
      <c r="G39" s="49">
        <f>VLOOKUP($A39,'Data Vlaue (Cr)'!$C:$FB,43)</f>
        <v>132</v>
      </c>
      <c r="H39" s="49">
        <f>VLOOKUP($A39,'Data Vlaue (Cr)'!$C:$FB,44)</f>
        <v>104</v>
      </c>
      <c r="I39" s="49">
        <f>VLOOKUP($A39,'Data Vlaue (Cr)'!$C:$FB,46)*100</f>
        <v>26.340000000000003</v>
      </c>
      <c r="J39" s="51">
        <f>VLOOKUP($A39,'Data Vlaue (Cr)'!$C:$FB,59)</f>
        <v>290</v>
      </c>
      <c r="K39" s="51">
        <f>VLOOKUP($A39,'Data Vlaue (Cr)'!$C:$FB,60)</f>
        <v>130</v>
      </c>
      <c r="L39" s="51">
        <f>VLOOKUP($A39,'Data Vlaue (Cr)'!$C:$FB,62)*100</f>
        <v>122.77</v>
      </c>
      <c r="M39" s="51">
        <f>VLOOKUP($A39,'Data Vlaue (Cr)'!$C:$FB,63)</f>
        <v>109</v>
      </c>
      <c r="N39" s="51">
        <f>VLOOKUP($A39,'Data Vlaue (Cr)'!$C:$FB,64)</f>
        <v>35</v>
      </c>
      <c r="O39" s="51">
        <f>VLOOKUP($A39,'Data Vlaue (Cr)'!$C:$FB,66)*100</f>
        <v>214.73</v>
      </c>
    </row>
    <row r="40" spans="1:15" x14ac:dyDescent="0.25">
      <c r="A40" s="101" t="str">
        <f>'Data Vlaue (Cr)'!C35</f>
        <v>BOSCHLTD</v>
      </c>
      <c r="B40" s="50">
        <f>VLOOKUP($A40,'Data Vlaue (Cr)'!$C:$FB,8)</f>
        <v>38510</v>
      </c>
      <c r="C40" s="50">
        <f>VLOOKUP($A40,'Data Vlaue (Cr)'!$C:$FB,11)*100</f>
        <v>0.33999999999999997</v>
      </c>
      <c r="D40" s="50">
        <f>VLOOKUP($A40,'Data Vlaue (Cr)'!$C:$FB,143)</f>
        <v>542.28</v>
      </c>
      <c r="E40" s="50">
        <f>VLOOKUP($A40,'Data Vlaue (Cr)'!$C:$FB,144)</f>
        <v>867.19</v>
      </c>
      <c r="F40" s="50">
        <f>VLOOKUP($A40,'Data Vlaue (Cr)'!$C:$FB,146)*100</f>
        <v>-37.47</v>
      </c>
      <c r="G40" s="49">
        <f>VLOOKUP($A40,'Data Vlaue (Cr)'!$C:$FB,43)</f>
        <v>81</v>
      </c>
      <c r="H40" s="49">
        <f>VLOOKUP($A40,'Data Vlaue (Cr)'!$C:$FB,44)</f>
        <v>136</v>
      </c>
      <c r="I40" s="49">
        <f>VLOOKUP($A40,'Data Vlaue (Cr)'!$C:$FB,46)*100</f>
        <v>-40.36</v>
      </c>
      <c r="J40" s="51">
        <f>VLOOKUP($A40,'Data Vlaue (Cr)'!$C:$FB,59)</f>
        <v>318</v>
      </c>
      <c r="K40" s="51">
        <f>VLOOKUP($A40,'Data Vlaue (Cr)'!$C:$FB,60)</f>
        <v>482</v>
      </c>
      <c r="L40" s="51">
        <f>VLOOKUP($A40,'Data Vlaue (Cr)'!$C:$FB,62)*100</f>
        <v>-34.08</v>
      </c>
      <c r="M40" s="51">
        <f>VLOOKUP($A40,'Data Vlaue (Cr)'!$C:$FB,63)</f>
        <v>129</v>
      </c>
      <c r="N40" s="51">
        <f>VLOOKUP($A40,'Data Vlaue (Cr)'!$C:$FB,64)</f>
        <v>232</v>
      </c>
      <c r="O40" s="51">
        <f>VLOOKUP($A40,'Data Vlaue (Cr)'!$C:$FB,66)*100</f>
        <v>-44.17</v>
      </c>
    </row>
    <row r="41" spans="1:15" x14ac:dyDescent="0.25">
      <c r="A41" s="101" t="str">
        <f>'Data Vlaue (Cr)'!C36</f>
        <v>BPCL</v>
      </c>
      <c r="B41" s="50">
        <f>VLOOKUP($A41,'Data Vlaue (Cr)'!$C:$FB,8)</f>
        <v>335.9</v>
      </c>
      <c r="C41" s="50">
        <f>VLOOKUP($A41,'Data Vlaue (Cr)'!$C:$FB,11)*100</f>
        <v>-0.59</v>
      </c>
      <c r="D41" s="50">
        <f>VLOOKUP($A41,'Data Vlaue (Cr)'!$C:$FB,143)</f>
        <v>1179.55</v>
      </c>
      <c r="E41" s="50">
        <f>VLOOKUP($A41,'Data Vlaue (Cr)'!$C:$FB,144)</f>
        <v>2218.35</v>
      </c>
      <c r="F41" s="50">
        <f>VLOOKUP($A41,'Data Vlaue (Cr)'!$C:$FB,146)*100</f>
        <v>-46.83</v>
      </c>
      <c r="G41" s="49">
        <f>VLOOKUP($A41,'Data Vlaue (Cr)'!$C:$FB,43)</f>
        <v>258</v>
      </c>
      <c r="H41" s="49">
        <f>VLOOKUP($A41,'Data Vlaue (Cr)'!$C:$FB,44)</f>
        <v>407</v>
      </c>
      <c r="I41" s="49">
        <f>VLOOKUP($A41,'Data Vlaue (Cr)'!$C:$FB,46)*100</f>
        <v>-36.520000000000003</v>
      </c>
      <c r="J41" s="51">
        <f>VLOOKUP($A41,'Data Vlaue (Cr)'!$C:$FB,59)</f>
        <v>628</v>
      </c>
      <c r="K41" s="51">
        <f>VLOOKUP($A41,'Data Vlaue (Cr)'!$C:$FB,60)</f>
        <v>1086</v>
      </c>
      <c r="L41" s="51">
        <f>VLOOKUP($A41,'Data Vlaue (Cr)'!$C:$FB,62)*100</f>
        <v>-42.13</v>
      </c>
      <c r="M41" s="51">
        <f>VLOOKUP($A41,'Data Vlaue (Cr)'!$C:$FB,63)</f>
        <v>269</v>
      </c>
      <c r="N41" s="51">
        <f>VLOOKUP($A41,'Data Vlaue (Cr)'!$C:$FB,64)</f>
        <v>684</v>
      </c>
      <c r="O41" s="51">
        <f>VLOOKUP($A41,'Data Vlaue (Cr)'!$C:$FB,66)*100</f>
        <v>-60.629999999999995</v>
      </c>
    </row>
    <row r="42" spans="1:15" x14ac:dyDescent="0.25">
      <c r="A42" s="101" t="str">
        <f>'Data Vlaue (Cr)'!C37</f>
        <v>BRITANNIA</v>
      </c>
      <c r="B42" s="50">
        <f>VLOOKUP($A42,'Data Vlaue (Cr)'!$C:$FB,8)</f>
        <v>6025.5</v>
      </c>
      <c r="C42" s="50">
        <f>VLOOKUP($A42,'Data Vlaue (Cr)'!$C:$FB,11)*100</f>
        <v>2.87</v>
      </c>
      <c r="D42" s="50">
        <f>VLOOKUP($A42,'Data Vlaue (Cr)'!$C:$FB,143)</f>
        <v>2855.27</v>
      </c>
      <c r="E42" s="50">
        <f>VLOOKUP($A42,'Data Vlaue (Cr)'!$C:$FB,144)</f>
        <v>1150.46</v>
      </c>
      <c r="F42" s="50">
        <f>VLOOKUP($A42,'Data Vlaue (Cr)'!$C:$FB,146)*100</f>
        <v>148.19</v>
      </c>
      <c r="G42" s="49">
        <f>VLOOKUP($A42,'Data Vlaue (Cr)'!$C:$FB,43)</f>
        <v>384</v>
      </c>
      <c r="H42" s="49">
        <f>VLOOKUP($A42,'Data Vlaue (Cr)'!$C:$FB,44)</f>
        <v>234</v>
      </c>
      <c r="I42" s="49">
        <f>VLOOKUP($A42,'Data Vlaue (Cr)'!$C:$FB,46)*100</f>
        <v>63.859999999999992</v>
      </c>
      <c r="J42" s="51">
        <f>VLOOKUP($A42,'Data Vlaue (Cr)'!$C:$FB,59)</f>
        <v>1924</v>
      </c>
      <c r="K42" s="51">
        <f>VLOOKUP($A42,'Data Vlaue (Cr)'!$C:$FB,60)</f>
        <v>676</v>
      </c>
      <c r="L42" s="51">
        <f>VLOOKUP($A42,'Data Vlaue (Cr)'!$C:$FB,62)*100</f>
        <v>184.69</v>
      </c>
      <c r="M42" s="51">
        <f>VLOOKUP($A42,'Data Vlaue (Cr)'!$C:$FB,63)</f>
        <v>533</v>
      </c>
      <c r="N42" s="51">
        <f>VLOOKUP($A42,'Data Vlaue (Cr)'!$C:$FB,64)</f>
        <v>257</v>
      </c>
      <c r="O42" s="51">
        <f>VLOOKUP($A42,'Data Vlaue (Cr)'!$C:$FB,66)*100</f>
        <v>107.54999999999998</v>
      </c>
    </row>
    <row r="43" spans="1:15" x14ac:dyDescent="0.25">
      <c r="A43" s="101" t="str">
        <f>'Data Vlaue (Cr)'!C38</f>
        <v>BSE</v>
      </c>
      <c r="B43" s="50">
        <f>VLOOKUP($A43,'Data Vlaue (Cr)'!$C:$FB,8)</f>
        <v>2509.1999999999998</v>
      </c>
      <c r="C43" s="50">
        <f>VLOOKUP($A43,'Data Vlaue (Cr)'!$C:$FB,11)*100</f>
        <v>2.15</v>
      </c>
      <c r="D43" s="50">
        <f>VLOOKUP($A43,'Data Vlaue (Cr)'!$C:$FB,143)</f>
        <v>18102.57</v>
      </c>
      <c r="E43" s="50">
        <f>VLOOKUP($A43,'Data Vlaue (Cr)'!$C:$FB,144)</f>
        <v>5991.07</v>
      </c>
      <c r="F43" s="50">
        <f>VLOOKUP($A43,'Data Vlaue (Cr)'!$C:$FB,146)*100</f>
        <v>202.16</v>
      </c>
      <c r="G43" s="49">
        <f>VLOOKUP($A43,'Data Vlaue (Cr)'!$C:$FB,43)</f>
        <v>1696</v>
      </c>
      <c r="H43" s="49">
        <f>VLOOKUP($A43,'Data Vlaue (Cr)'!$C:$FB,44)</f>
        <v>594</v>
      </c>
      <c r="I43" s="49">
        <f>VLOOKUP($A43,'Data Vlaue (Cr)'!$C:$FB,46)*100</f>
        <v>185.35999999999999</v>
      </c>
      <c r="J43" s="51">
        <f>VLOOKUP($A43,'Data Vlaue (Cr)'!$C:$FB,59)</f>
        <v>10866</v>
      </c>
      <c r="K43" s="51">
        <f>VLOOKUP($A43,'Data Vlaue (Cr)'!$C:$FB,60)</f>
        <v>3350</v>
      </c>
      <c r="L43" s="51">
        <f>VLOOKUP($A43,'Data Vlaue (Cr)'!$C:$FB,62)*100</f>
        <v>224.32</v>
      </c>
      <c r="M43" s="51">
        <f>VLOOKUP($A43,'Data Vlaue (Cr)'!$C:$FB,63)</f>
        <v>5062</v>
      </c>
      <c r="N43" s="51">
        <f>VLOOKUP($A43,'Data Vlaue (Cr)'!$C:$FB,64)</f>
        <v>2067</v>
      </c>
      <c r="O43" s="51">
        <f>VLOOKUP($A43,'Data Vlaue (Cr)'!$C:$FB,66)*100</f>
        <v>144.87</v>
      </c>
    </row>
    <row r="44" spans="1:15" x14ac:dyDescent="0.25">
      <c r="A44" s="101" t="str">
        <f>'Data Vlaue (Cr)'!C39</f>
        <v>CAMS</v>
      </c>
      <c r="B44" s="50">
        <f>VLOOKUP($A44,'Data Vlaue (Cr)'!$C:$FB,8)</f>
        <v>3830.8</v>
      </c>
      <c r="C44" s="50">
        <f>VLOOKUP($A44,'Data Vlaue (Cr)'!$C:$FB,11)*100</f>
        <v>-0.13999999999999999</v>
      </c>
      <c r="D44" s="50">
        <f>VLOOKUP($A44,'Data Vlaue (Cr)'!$C:$FB,143)</f>
        <v>703.77</v>
      </c>
      <c r="E44" s="50">
        <f>VLOOKUP($A44,'Data Vlaue (Cr)'!$C:$FB,144)</f>
        <v>997.64</v>
      </c>
      <c r="F44" s="50">
        <f>VLOOKUP($A44,'Data Vlaue (Cr)'!$C:$FB,146)*100</f>
        <v>-29.459999999999997</v>
      </c>
      <c r="G44" s="49">
        <f>VLOOKUP($A44,'Data Vlaue (Cr)'!$C:$FB,43)</f>
        <v>168</v>
      </c>
      <c r="H44" s="49">
        <f>VLOOKUP($A44,'Data Vlaue (Cr)'!$C:$FB,44)</f>
        <v>180</v>
      </c>
      <c r="I44" s="49">
        <f>VLOOKUP($A44,'Data Vlaue (Cr)'!$C:$FB,46)*100</f>
        <v>-6.92</v>
      </c>
      <c r="J44" s="51">
        <f>VLOOKUP($A44,'Data Vlaue (Cr)'!$C:$FB,59)</f>
        <v>385</v>
      </c>
      <c r="K44" s="51">
        <f>VLOOKUP($A44,'Data Vlaue (Cr)'!$C:$FB,60)</f>
        <v>593</v>
      </c>
      <c r="L44" s="51">
        <f>VLOOKUP($A44,'Data Vlaue (Cr)'!$C:$FB,62)*100</f>
        <v>-35.18</v>
      </c>
      <c r="M44" s="51">
        <f>VLOOKUP($A44,'Data Vlaue (Cr)'!$C:$FB,63)</f>
        <v>129</v>
      </c>
      <c r="N44" s="51">
        <f>VLOOKUP($A44,'Data Vlaue (Cr)'!$C:$FB,64)</f>
        <v>192</v>
      </c>
      <c r="O44" s="51">
        <f>VLOOKUP($A44,'Data Vlaue (Cr)'!$C:$FB,66)*100</f>
        <v>-32.89</v>
      </c>
    </row>
    <row r="45" spans="1:15" x14ac:dyDescent="0.25">
      <c r="A45" s="101" t="str">
        <f>'Data Vlaue (Cr)'!C40</f>
        <v>CANBK</v>
      </c>
      <c r="B45" s="50">
        <f>VLOOKUP($A45,'Data Vlaue (Cr)'!$C:$FB,8)</f>
        <v>127.37</v>
      </c>
      <c r="C45" s="50">
        <f>VLOOKUP($A45,'Data Vlaue (Cr)'!$C:$FB,11)*100</f>
        <v>-0.80999999999999994</v>
      </c>
      <c r="D45" s="50">
        <f>VLOOKUP($A45,'Data Vlaue (Cr)'!$C:$FB,143)</f>
        <v>4496.2</v>
      </c>
      <c r="E45" s="50">
        <f>VLOOKUP($A45,'Data Vlaue (Cr)'!$C:$FB,144)</f>
        <v>3507.71</v>
      </c>
      <c r="F45" s="50">
        <f>VLOOKUP($A45,'Data Vlaue (Cr)'!$C:$FB,146)*100</f>
        <v>28.18</v>
      </c>
      <c r="G45" s="49">
        <f>VLOOKUP($A45,'Data Vlaue (Cr)'!$C:$FB,43)</f>
        <v>853</v>
      </c>
      <c r="H45" s="49">
        <f>VLOOKUP($A45,'Data Vlaue (Cr)'!$C:$FB,44)</f>
        <v>815</v>
      </c>
      <c r="I45" s="49">
        <f>VLOOKUP($A45,'Data Vlaue (Cr)'!$C:$FB,46)*100</f>
        <v>4.6399999999999997</v>
      </c>
      <c r="J45" s="51">
        <f>VLOOKUP($A45,'Data Vlaue (Cr)'!$C:$FB,59)</f>
        <v>2216</v>
      </c>
      <c r="K45" s="51">
        <f>VLOOKUP($A45,'Data Vlaue (Cr)'!$C:$FB,60)</f>
        <v>1665</v>
      </c>
      <c r="L45" s="51">
        <f>VLOOKUP($A45,'Data Vlaue (Cr)'!$C:$FB,62)*100</f>
        <v>33.119999999999997</v>
      </c>
      <c r="M45" s="51">
        <f>VLOOKUP($A45,'Data Vlaue (Cr)'!$C:$FB,63)</f>
        <v>1323</v>
      </c>
      <c r="N45" s="51">
        <f>VLOOKUP($A45,'Data Vlaue (Cr)'!$C:$FB,64)</f>
        <v>985</v>
      </c>
      <c r="O45" s="51">
        <f>VLOOKUP($A45,'Data Vlaue (Cr)'!$C:$FB,66)*100</f>
        <v>34.31</v>
      </c>
    </row>
    <row r="46" spans="1:15" x14ac:dyDescent="0.25">
      <c r="A46" s="101" t="str">
        <f>'Data Vlaue (Cr)'!C41</f>
        <v>CDSL</v>
      </c>
      <c r="B46" s="50">
        <f>VLOOKUP($A46,'Data Vlaue (Cr)'!$C:$FB,8)</f>
        <v>1620.3</v>
      </c>
      <c r="C46" s="50">
        <f>VLOOKUP($A46,'Data Vlaue (Cr)'!$C:$FB,11)*100</f>
        <v>-0.1</v>
      </c>
      <c r="D46" s="50">
        <f>VLOOKUP($A46,'Data Vlaue (Cr)'!$C:$FB,143)</f>
        <v>2192.9499999999998</v>
      </c>
      <c r="E46" s="50">
        <f>VLOOKUP($A46,'Data Vlaue (Cr)'!$C:$FB,144)</f>
        <v>2915.19</v>
      </c>
      <c r="F46" s="50">
        <f>VLOOKUP($A46,'Data Vlaue (Cr)'!$C:$FB,146)*100</f>
        <v>-24.779999999999998</v>
      </c>
      <c r="G46" s="49">
        <f>VLOOKUP($A46,'Data Vlaue (Cr)'!$C:$FB,43)</f>
        <v>289</v>
      </c>
      <c r="H46" s="49">
        <f>VLOOKUP($A46,'Data Vlaue (Cr)'!$C:$FB,44)</f>
        <v>317</v>
      </c>
      <c r="I46" s="49">
        <f>VLOOKUP($A46,'Data Vlaue (Cr)'!$C:$FB,46)*100</f>
        <v>-9.07</v>
      </c>
      <c r="J46" s="51">
        <f>VLOOKUP($A46,'Data Vlaue (Cr)'!$C:$FB,59)</f>
        <v>1261</v>
      </c>
      <c r="K46" s="51">
        <f>VLOOKUP($A46,'Data Vlaue (Cr)'!$C:$FB,60)</f>
        <v>1729</v>
      </c>
      <c r="L46" s="51">
        <f>VLOOKUP($A46,'Data Vlaue (Cr)'!$C:$FB,62)*100</f>
        <v>-27.060000000000002</v>
      </c>
      <c r="M46" s="51">
        <f>VLOOKUP($A46,'Data Vlaue (Cr)'!$C:$FB,63)</f>
        <v>597</v>
      </c>
      <c r="N46" s="51">
        <f>VLOOKUP($A46,'Data Vlaue (Cr)'!$C:$FB,64)</f>
        <v>812</v>
      </c>
      <c r="O46" s="51">
        <f>VLOOKUP($A46,'Data Vlaue (Cr)'!$C:$FB,66)*100</f>
        <v>-26.479999999999997</v>
      </c>
    </row>
    <row r="47" spans="1:15" x14ac:dyDescent="0.25">
      <c r="A47" s="101" t="str">
        <f>'Data Vlaue (Cr)'!C42</f>
        <v>CGPOWER</v>
      </c>
      <c r="B47" s="50">
        <f>VLOOKUP($A47,'Data Vlaue (Cr)'!$C:$FB,8)</f>
        <v>760.6</v>
      </c>
      <c r="C47" s="50">
        <f>VLOOKUP($A47,'Data Vlaue (Cr)'!$C:$FB,11)*100</f>
        <v>0.44</v>
      </c>
      <c r="D47" s="50">
        <f>VLOOKUP($A47,'Data Vlaue (Cr)'!$C:$FB,143)</f>
        <v>908.59</v>
      </c>
      <c r="E47" s="50">
        <f>VLOOKUP($A47,'Data Vlaue (Cr)'!$C:$FB,144)</f>
        <v>901.18</v>
      </c>
      <c r="F47" s="50">
        <f>VLOOKUP($A47,'Data Vlaue (Cr)'!$C:$FB,146)*100</f>
        <v>0.82000000000000006</v>
      </c>
      <c r="G47" s="49">
        <f>VLOOKUP($A47,'Data Vlaue (Cr)'!$C:$FB,43)</f>
        <v>234</v>
      </c>
      <c r="H47" s="49">
        <f>VLOOKUP($A47,'Data Vlaue (Cr)'!$C:$FB,44)</f>
        <v>198</v>
      </c>
      <c r="I47" s="49">
        <f>VLOOKUP($A47,'Data Vlaue (Cr)'!$C:$FB,46)*100</f>
        <v>18.02</v>
      </c>
      <c r="J47" s="51">
        <f>VLOOKUP($A47,'Data Vlaue (Cr)'!$C:$FB,59)</f>
        <v>479</v>
      </c>
      <c r="K47" s="51">
        <f>VLOOKUP($A47,'Data Vlaue (Cr)'!$C:$FB,60)</f>
        <v>507</v>
      </c>
      <c r="L47" s="51">
        <f>VLOOKUP($A47,'Data Vlaue (Cr)'!$C:$FB,62)*100</f>
        <v>-5.45</v>
      </c>
      <c r="M47" s="51">
        <f>VLOOKUP($A47,'Data Vlaue (Cr)'!$C:$FB,63)</f>
        <v>178</v>
      </c>
      <c r="N47" s="51">
        <f>VLOOKUP($A47,'Data Vlaue (Cr)'!$C:$FB,64)</f>
        <v>184</v>
      </c>
      <c r="O47" s="51">
        <f>VLOOKUP($A47,'Data Vlaue (Cr)'!$C:$FB,66)*100</f>
        <v>-3.27</v>
      </c>
    </row>
    <row r="48" spans="1:15" x14ac:dyDescent="0.25">
      <c r="A48" s="101" t="str">
        <f>'Data Vlaue (Cr)'!C43</f>
        <v>CHOLAFIN</v>
      </c>
      <c r="B48" s="50">
        <f>VLOOKUP($A48,'Data Vlaue (Cr)'!$C:$FB,8)</f>
        <v>1668.1</v>
      </c>
      <c r="C48" s="50">
        <f>VLOOKUP($A48,'Data Vlaue (Cr)'!$C:$FB,11)*100</f>
        <v>-1.78</v>
      </c>
      <c r="D48" s="50">
        <f>VLOOKUP($A48,'Data Vlaue (Cr)'!$C:$FB,143)</f>
        <v>3890.28</v>
      </c>
      <c r="E48" s="50">
        <f>VLOOKUP($A48,'Data Vlaue (Cr)'!$C:$FB,144)</f>
        <v>4262.0200000000004</v>
      </c>
      <c r="F48" s="50">
        <f>VLOOKUP($A48,'Data Vlaue (Cr)'!$C:$FB,146)*100</f>
        <v>-8.7200000000000006</v>
      </c>
      <c r="G48" s="49">
        <f>VLOOKUP($A48,'Data Vlaue (Cr)'!$C:$FB,43)</f>
        <v>1040</v>
      </c>
      <c r="H48" s="49">
        <f>VLOOKUP($A48,'Data Vlaue (Cr)'!$C:$FB,44)</f>
        <v>691</v>
      </c>
      <c r="I48" s="49">
        <f>VLOOKUP($A48,'Data Vlaue (Cr)'!$C:$FB,46)*100</f>
        <v>50.44</v>
      </c>
      <c r="J48" s="51">
        <f>VLOOKUP($A48,'Data Vlaue (Cr)'!$C:$FB,59)</f>
        <v>2055</v>
      </c>
      <c r="K48" s="51">
        <f>VLOOKUP($A48,'Data Vlaue (Cr)'!$C:$FB,60)</f>
        <v>2616</v>
      </c>
      <c r="L48" s="51">
        <f>VLOOKUP($A48,'Data Vlaue (Cr)'!$C:$FB,62)*100</f>
        <v>-21.41</v>
      </c>
      <c r="M48" s="51">
        <f>VLOOKUP($A48,'Data Vlaue (Cr)'!$C:$FB,63)</f>
        <v>743</v>
      </c>
      <c r="N48" s="51">
        <f>VLOOKUP($A48,'Data Vlaue (Cr)'!$C:$FB,64)</f>
        <v>870</v>
      </c>
      <c r="O48" s="51">
        <f>VLOOKUP($A48,'Data Vlaue (Cr)'!$C:$FB,66)*100</f>
        <v>-14.57</v>
      </c>
    </row>
    <row r="49" spans="1:15" x14ac:dyDescent="0.25">
      <c r="A49" s="101" t="str">
        <f>'Data Vlaue (Cr)'!C44</f>
        <v>CIPLA</v>
      </c>
      <c r="B49" s="50">
        <f>VLOOKUP($A49,'Data Vlaue (Cr)'!$C:$FB,8)</f>
        <v>1569.4</v>
      </c>
      <c r="C49" s="50">
        <f>VLOOKUP($A49,'Data Vlaue (Cr)'!$C:$FB,11)*100</f>
        <v>0.69</v>
      </c>
      <c r="D49" s="50">
        <f>VLOOKUP($A49,'Data Vlaue (Cr)'!$C:$FB,143)</f>
        <v>1480.93</v>
      </c>
      <c r="E49" s="50">
        <f>VLOOKUP($A49,'Data Vlaue (Cr)'!$C:$FB,144)</f>
        <v>1451.8</v>
      </c>
      <c r="F49" s="50">
        <f>VLOOKUP($A49,'Data Vlaue (Cr)'!$C:$FB,146)*100</f>
        <v>2.0099999999999998</v>
      </c>
      <c r="G49" s="49">
        <f>VLOOKUP($A49,'Data Vlaue (Cr)'!$C:$FB,43)</f>
        <v>179</v>
      </c>
      <c r="H49" s="49">
        <f>VLOOKUP($A49,'Data Vlaue (Cr)'!$C:$FB,44)</f>
        <v>268</v>
      </c>
      <c r="I49" s="49">
        <f>VLOOKUP($A49,'Data Vlaue (Cr)'!$C:$FB,46)*100</f>
        <v>-33</v>
      </c>
      <c r="J49" s="51">
        <f>VLOOKUP($A49,'Data Vlaue (Cr)'!$C:$FB,59)</f>
        <v>1025</v>
      </c>
      <c r="K49" s="51">
        <f>VLOOKUP($A49,'Data Vlaue (Cr)'!$C:$FB,60)</f>
        <v>922</v>
      </c>
      <c r="L49" s="51">
        <f>VLOOKUP($A49,'Data Vlaue (Cr)'!$C:$FB,62)*100</f>
        <v>11.17</v>
      </c>
      <c r="M49" s="51">
        <f>VLOOKUP($A49,'Data Vlaue (Cr)'!$C:$FB,63)</f>
        <v>246</v>
      </c>
      <c r="N49" s="51">
        <f>VLOOKUP($A49,'Data Vlaue (Cr)'!$C:$FB,64)</f>
        <v>237</v>
      </c>
      <c r="O49" s="51">
        <f>VLOOKUP($A49,'Data Vlaue (Cr)'!$C:$FB,66)*100</f>
        <v>3.7800000000000002</v>
      </c>
    </row>
    <row r="50" spans="1:15" x14ac:dyDescent="0.25">
      <c r="A50" s="101" t="str">
        <f>'Data Vlaue (Cr)'!C45</f>
        <v>COALINDIA</v>
      </c>
      <c r="B50" s="50">
        <f>VLOOKUP($A50,'Data Vlaue (Cr)'!$C:$FB,8)</f>
        <v>387.6</v>
      </c>
      <c r="C50" s="50">
        <f>VLOOKUP($A50,'Data Vlaue (Cr)'!$C:$FB,11)*100</f>
        <v>0.86999999999999988</v>
      </c>
      <c r="D50" s="50">
        <f>VLOOKUP($A50,'Data Vlaue (Cr)'!$C:$FB,143)</f>
        <v>1480.72</v>
      </c>
      <c r="E50" s="50">
        <f>VLOOKUP($A50,'Data Vlaue (Cr)'!$C:$FB,144)</f>
        <v>1594.87</v>
      </c>
      <c r="F50" s="50">
        <f>VLOOKUP($A50,'Data Vlaue (Cr)'!$C:$FB,146)*100</f>
        <v>-7.16</v>
      </c>
      <c r="G50" s="49">
        <f>VLOOKUP($A50,'Data Vlaue (Cr)'!$C:$FB,43)</f>
        <v>230</v>
      </c>
      <c r="H50" s="49">
        <f>VLOOKUP($A50,'Data Vlaue (Cr)'!$C:$FB,44)</f>
        <v>272</v>
      </c>
      <c r="I50" s="49">
        <f>VLOOKUP($A50,'Data Vlaue (Cr)'!$C:$FB,46)*100</f>
        <v>-15.370000000000001</v>
      </c>
      <c r="J50" s="51">
        <f>VLOOKUP($A50,'Data Vlaue (Cr)'!$C:$FB,59)</f>
        <v>724</v>
      </c>
      <c r="K50" s="51">
        <f>VLOOKUP($A50,'Data Vlaue (Cr)'!$C:$FB,60)</f>
        <v>774</v>
      </c>
      <c r="L50" s="51">
        <f>VLOOKUP($A50,'Data Vlaue (Cr)'!$C:$FB,62)*100</f>
        <v>-6.5500000000000007</v>
      </c>
      <c r="M50" s="51">
        <f>VLOOKUP($A50,'Data Vlaue (Cr)'!$C:$FB,63)</f>
        <v>517</v>
      </c>
      <c r="N50" s="51">
        <f>VLOOKUP($A50,'Data Vlaue (Cr)'!$C:$FB,64)</f>
        <v>543</v>
      </c>
      <c r="O50" s="51">
        <f>VLOOKUP($A50,'Data Vlaue (Cr)'!$C:$FB,66)*100</f>
        <v>-4.7699999999999996</v>
      </c>
    </row>
    <row r="51" spans="1:15" x14ac:dyDescent="0.25">
      <c r="A51" s="101" t="str">
        <f>'Data Vlaue (Cr)'!C46</f>
        <v>COFORGE</v>
      </c>
      <c r="B51" s="50">
        <f>VLOOKUP($A51,'Data Vlaue (Cr)'!$C:$FB,8)</f>
        <v>1761.5</v>
      </c>
      <c r="C51" s="50">
        <f>VLOOKUP($A51,'Data Vlaue (Cr)'!$C:$FB,11)*100</f>
        <v>-0.22</v>
      </c>
      <c r="D51" s="50">
        <f>VLOOKUP($A51,'Data Vlaue (Cr)'!$C:$FB,143)</f>
        <v>1334.94</v>
      </c>
      <c r="E51" s="50">
        <f>VLOOKUP($A51,'Data Vlaue (Cr)'!$C:$FB,144)</f>
        <v>4935.24</v>
      </c>
      <c r="F51" s="50">
        <f>VLOOKUP($A51,'Data Vlaue (Cr)'!$C:$FB,146)*100</f>
        <v>-72.95</v>
      </c>
      <c r="G51" s="49">
        <f>VLOOKUP($A51,'Data Vlaue (Cr)'!$C:$FB,43)</f>
        <v>237</v>
      </c>
      <c r="H51" s="49">
        <f>VLOOKUP($A51,'Data Vlaue (Cr)'!$C:$FB,44)</f>
        <v>681</v>
      </c>
      <c r="I51" s="49">
        <f>VLOOKUP($A51,'Data Vlaue (Cr)'!$C:$FB,46)*100</f>
        <v>-65.25</v>
      </c>
      <c r="J51" s="51">
        <f>VLOOKUP($A51,'Data Vlaue (Cr)'!$C:$FB,59)</f>
        <v>731</v>
      </c>
      <c r="K51" s="51">
        <f>VLOOKUP($A51,'Data Vlaue (Cr)'!$C:$FB,60)</f>
        <v>3330</v>
      </c>
      <c r="L51" s="51">
        <f>VLOOKUP($A51,'Data Vlaue (Cr)'!$C:$FB,62)*100</f>
        <v>-78.05</v>
      </c>
      <c r="M51" s="51">
        <f>VLOOKUP($A51,'Data Vlaue (Cr)'!$C:$FB,63)</f>
        <v>337</v>
      </c>
      <c r="N51" s="51">
        <f>VLOOKUP($A51,'Data Vlaue (Cr)'!$C:$FB,64)</f>
        <v>822</v>
      </c>
      <c r="O51" s="51">
        <f>VLOOKUP($A51,'Data Vlaue (Cr)'!$C:$FB,66)*100</f>
        <v>-59.06</v>
      </c>
    </row>
    <row r="52" spans="1:15" x14ac:dyDescent="0.25">
      <c r="A52" s="101" t="str">
        <f>'Data Vlaue (Cr)'!C47</f>
        <v>COLPAL</v>
      </c>
      <c r="B52" s="50">
        <f>VLOOKUP($A52,'Data Vlaue (Cr)'!$C:$FB,8)</f>
        <v>2285.8000000000002</v>
      </c>
      <c r="C52" s="50">
        <f>VLOOKUP($A52,'Data Vlaue (Cr)'!$C:$FB,11)*100</f>
        <v>2.64</v>
      </c>
      <c r="D52" s="50">
        <f>VLOOKUP($A52,'Data Vlaue (Cr)'!$C:$FB,143)</f>
        <v>1890.33</v>
      </c>
      <c r="E52" s="50">
        <f>VLOOKUP($A52,'Data Vlaue (Cr)'!$C:$FB,144)</f>
        <v>723.32</v>
      </c>
      <c r="F52" s="50">
        <f>VLOOKUP($A52,'Data Vlaue (Cr)'!$C:$FB,146)*100</f>
        <v>161.34</v>
      </c>
      <c r="G52" s="49">
        <f>VLOOKUP($A52,'Data Vlaue (Cr)'!$C:$FB,43)</f>
        <v>357</v>
      </c>
      <c r="H52" s="49">
        <f>VLOOKUP($A52,'Data Vlaue (Cr)'!$C:$FB,44)</f>
        <v>160</v>
      </c>
      <c r="I52" s="49">
        <f>VLOOKUP($A52,'Data Vlaue (Cr)'!$C:$FB,46)*100</f>
        <v>123.13000000000001</v>
      </c>
      <c r="J52" s="51">
        <f>VLOOKUP($A52,'Data Vlaue (Cr)'!$C:$FB,59)</f>
        <v>1165</v>
      </c>
      <c r="K52" s="51">
        <f>VLOOKUP($A52,'Data Vlaue (Cr)'!$C:$FB,60)</f>
        <v>419</v>
      </c>
      <c r="L52" s="51">
        <f>VLOOKUP($A52,'Data Vlaue (Cr)'!$C:$FB,62)*100</f>
        <v>178</v>
      </c>
      <c r="M52" s="51">
        <f>VLOOKUP($A52,'Data Vlaue (Cr)'!$C:$FB,63)</f>
        <v>359</v>
      </c>
      <c r="N52" s="51">
        <f>VLOOKUP($A52,'Data Vlaue (Cr)'!$C:$FB,64)</f>
        <v>151</v>
      </c>
      <c r="O52" s="51">
        <f>VLOOKUP($A52,'Data Vlaue (Cr)'!$C:$FB,66)*100</f>
        <v>138.13</v>
      </c>
    </row>
    <row r="53" spans="1:15" x14ac:dyDescent="0.25">
      <c r="A53" s="101" t="str">
        <f>'Data Vlaue (Cr)'!C48</f>
        <v>CONCOR</v>
      </c>
      <c r="B53" s="50">
        <f>VLOOKUP($A53,'Data Vlaue (Cr)'!$C:$FB,8)</f>
        <v>534.1</v>
      </c>
      <c r="C53" s="50">
        <f>VLOOKUP($A53,'Data Vlaue (Cr)'!$C:$FB,11)*100</f>
        <v>0.77999999999999992</v>
      </c>
      <c r="D53" s="50">
        <f>VLOOKUP($A53,'Data Vlaue (Cr)'!$C:$FB,143)</f>
        <v>582.69000000000005</v>
      </c>
      <c r="E53" s="50">
        <f>VLOOKUP($A53,'Data Vlaue (Cr)'!$C:$FB,144)</f>
        <v>531.80999999999995</v>
      </c>
      <c r="F53" s="50">
        <f>VLOOKUP($A53,'Data Vlaue (Cr)'!$C:$FB,146)*100</f>
        <v>9.5699999999999985</v>
      </c>
      <c r="G53" s="49">
        <f>VLOOKUP($A53,'Data Vlaue (Cr)'!$C:$FB,43)</f>
        <v>154</v>
      </c>
      <c r="H53" s="49">
        <f>VLOOKUP($A53,'Data Vlaue (Cr)'!$C:$FB,44)</f>
        <v>151</v>
      </c>
      <c r="I53" s="49">
        <f>VLOOKUP($A53,'Data Vlaue (Cr)'!$C:$FB,46)*100</f>
        <v>1.91</v>
      </c>
      <c r="J53" s="51">
        <f>VLOOKUP($A53,'Data Vlaue (Cr)'!$C:$FB,59)</f>
        <v>310</v>
      </c>
      <c r="K53" s="51">
        <f>VLOOKUP($A53,'Data Vlaue (Cr)'!$C:$FB,60)</f>
        <v>284</v>
      </c>
      <c r="L53" s="51">
        <f>VLOOKUP($A53,'Data Vlaue (Cr)'!$C:$FB,62)*100</f>
        <v>8.86</v>
      </c>
      <c r="M53" s="51">
        <f>VLOOKUP($A53,'Data Vlaue (Cr)'!$C:$FB,63)</f>
        <v>111</v>
      </c>
      <c r="N53" s="51">
        <f>VLOOKUP($A53,'Data Vlaue (Cr)'!$C:$FB,64)</f>
        <v>90</v>
      </c>
      <c r="O53" s="51">
        <f>VLOOKUP($A53,'Data Vlaue (Cr)'!$C:$FB,66)*100</f>
        <v>22.68</v>
      </c>
    </row>
    <row r="54" spans="1:15" x14ac:dyDescent="0.25">
      <c r="A54" s="101" t="str">
        <f>'Data Vlaue (Cr)'!C49</f>
        <v>CROMPTON</v>
      </c>
      <c r="B54" s="50">
        <f>VLOOKUP($A54,'Data Vlaue (Cr)'!$C:$FB,8)</f>
        <v>288.60000000000002</v>
      </c>
      <c r="C54" s="50">
        <f>VLOOKUP($A54,'Data Vlaue (Cr)'!$C:$FB,11)*100</f>
        <v>6.9999999999999993E-2</v>
      </c>
      <c r="D54" s="50">
        <f>VLOOKUP($A54,'Data Vlaue (Cr)'!$C:$FB,143)</f>
        <v>659.6</v>
      </c>
      <c r="E54" s="50">
        <f>VLOOKUP($A54,'Data Vlaue (Cr)'!$C:$FB,144)</f>
        <v>1245.71</v>
      </c>
      <c r="F54" s="50">
        <f>VLOOKUP($A54,'Data Vlaue (Cr)'!$C:$FB,146)*100</f>
        <v>-47.05</v>
      </c>
      <c r="G54" s="49">
        <f>VLOOKUP($A54,'Data Vlaue (Cr)'!$C:$FB,43)</f>
        <v>136</v>
      </c>
      <c r="H54" s="49">
        <f>VLOOKUP($A54,'Data Vlaue (Cr)'!$C:$FB,44)</f>
        <v>232</v>
      </c>
      <c r="I54" s="49">
        <f>VLOOKUP($A54,'Data Vlaue (Cr)'!$C:$FB,46)*100</f>
        <v>-41.19</v>
      </c>
      <c r="J54" s="51">
        <f>VLOOKUP($A54,'Data Vlaue (Cr)'!$C:$FB,59)</f>
        <v>395</v>
      </c>
      <c r="K54" s="51">
        <f>VLOOKUP($A54,'Data Vlaue (Cr)'!$C:$FB,60)</f>
        <v>762</v>
      </c>
      <c r="L54" s="51">
        <f>VLOOKUP($A54,'Data Vlaue (Cr)'!$C:$FB,62)*100</f>
        <v>-48.11</v>
      </c>
      <c r="M54" s="51">
        <f>VLOOKUP($A54,'Data Vlaue (Cr)'!$C:$FB,63)</f>
        <v>107</v>
      </c>
      <c r="N54" s="51">
        <f>VLOOKUP($A54,'Data Vlaue (Cr)'!$C:$FB,64)</f>
        <v>224</v>
      </c>
      <c r="O54" s="51">
        <f>VLOOKUP($A54,'Data Vlaue (Cr)'!$C:$FB,66)*100</f>
        <v>-52.370000000000005</v>
      </c>
    </row>
    <row r="55" spans="1:15" x14ac:dyDescent="0.25">
      <c r="A55" s="101" t="str">
        <f>'Data Vlaue (Cr)'!C50</f>
        <v>CUMMINSIND</v>
      </c>
      <c r="B55" s="50">
        <f>VLOOKUP($A55,'Data Vlaue (Cr)'!$C:$FB,8)</f>
        <v>3940.6</v>
      </c>
      <c r="C55" s="50">
        <f>VLOOKUP($A55,'Data Vlaue (Cr)'!$C:$FB,11)*100</f>
        <v>-0.42</v>
      </c>
      <c r="D55" s="50">
        <f>VLOOKUP($A55,'Data Vlaue (Cr)'!$C:$FB,143)</f>
        <v>866.81</v>
      </c>
      <c r="E55" s="50">
        <f>VLOOKUP($A55,'Data Vlaue (Cr)'!$C:$FB,144)</f>
        <v>580.16</v>
      </c>
      <c r="F55" s="50">
        <f>VLOOKUP($A55,'Data Vlaue (Cr)'!$C:$FB,146)*100</f>
        <v>49.41</v>
      </c>
      <c r="G55" s="49">
        <f>VLOOKUP($A55,'Data Vlaue (Cr)'!$C:$FB,43)</f>
        <v>245</v>
      </c>
      <c r="H55" s="49">
        <f>VLOOKUP($A55,'Data Vlaue (Cr)'!$C:$FB,44)</f>
        <v>120</v>
      </c>
      <c r="I55" s="49">
        <f>VLOOKUP($A55,'Data Vlaue (Cr)'!$C:$FB,46)*100</f>
        <v>104.36000000000001</v>
      </c>
      <c r="J55" s="51">
        <f>VLOOKUP($A55,'Data Vlaue (Cr)'!$C:$FB,59)</f>
        <v>481</v>
      </c>
      <c r="K55" s="51">
        <f>VLOOKUP($A55,'Data Vlaue (Cr)'!$C:$FB,60)</f>
        <v>333</v>
      </c>
      <c r="L55" s="51">
        <f>VLOOKUP($A55,'Data Vlaue (Cr)'!$C:$FB,62)*100</f>
        <v>44.15</v>
      </c>
      <c r="M55" s="51">
        <f>VLOOKUP($A55,'Data Vlaue (Cr)'!$C:$FB,63)</f>
        <v>125</v>
      </c>
      <c r="N55" s="51">
        <f>VLOOKUP($A55,'Data Vlaue (Cr)'!$C:$FB,64)</f>
        <v>114</v>
      </c>
      <c r="O55" s="51">
        <f>VLOOKUP($A55,'Data Vlaue (Cr)'!$C:$FB,66)*100</f>
        <v>9.98</v>
      </c>
    </row>
    <row r="56" spans="1:15" x14ac:dyDescent="0.25">
      <c r="A56" s="101" t="str">
        <f>'Data Vlaue (Cr)'!C51</f>
        <v>CYIENT</v>
      </c>
      <c r="B56" s="50">
        <f>VLOOKUP($A56,'Data Vlaue (Cr)'!$C:$FB,8)</f>
        <v>1180.5999999999999</v>
      </c>
      <c r="C56" s="50">
        <f>VLOOKUP($A56,'Data Vlaue (Cr)'!$C:$FB,11)*100</f>
        <v>4.9399999999999995</v>
      </c>
      <c r="D56" s="50">
        <f>VLOOKUP($A56,'Data Vlaue (Cr)'!$C:$FB,143)</f>
        <v>5150.83</v>
      </c>
      <c r="E56" s="50">
        <f>VLOOKUP($A56,'Data Vlaue (Cr)'!$C:$FB,144)</f>
        <v>1183.53</v>
      </c>
      <c r="F56" s="50">
        <f>VLOOKUP($A56,'Data Vlaue (Cr)'!$C:$FB,146)*100</f>
        <v>335.21000000000004</v>
      </c>
      <c r="G56" s="49">
        <f>VLOOKUP($A56,'Data Vlaue (Cr)'!$C:$FB,43)</f>
        <v>884</v>
      </c>
      <c r="H56" s="49">
        <f>VLOOKUP($A56,'Data Vlaue (Cr)'!$C:$FB,44)</f>
        <v>280</v>
      </c>
      <c r="I56" s="49">
        <f>VLOOKUP($A56,'Data Vlaue (Cr)'!$C:$FB,46)*100</f>
        <v>215.33</v>
      </c>
      <c r="J56" s="51">
        <f>VLOOKUP($A56,'Data Vlaue (Cr)'!$C:$FB,59)</f>
        <v>2633</v>
      </c>
      <c r="K56" s="51">
        <f>VLOOKUP($A56,'Data Vlaue (Cr)'!$C:$FB,60)</f>
        <v>486</v>
      </c>
      <c r="L56" s="51">
        <f>VLOOKUP($A56,'Data Vlaue (Cr)'!$C:$FB,62)*100</f>
        <v>441.71</v>
      </c>
      <c r="M56" s="51">
        <f>VLOOKUP($A56,'Data Vlaue (Cr)'!$C:$FB,63)</f>
        <v>1590</v>
      </c>
      <c r="N56" s="51">
        <f>VLOOKUP($A56,'Data Vlaue (Cr)'!$C:$FB,64)</f>
        <v>416</v>
      </c>
      <c r="O56" s="51">
        <f>VLOOKUP($A56,'Data Vlaue (Cr)'!$C:$FB,66)*100</f>
        <v>282.64</v>
      </c>
    </row>
    <row r="57" spans="1:15" x14ac:dyDescent="0.25">
      <c r="A57" s="101" t="str">
        <f>'Data Vlaue (Cr)'!C52</f>
        <v>DABUR</v>
      </c>
      <c r="B57" s="50">
        <f>VLOOKUP($A57,'Data Vlaue (Cr)'!$C:$FB,8)</f>
        <v>500.75</v>
      </c>
      <c r="C57" s="50">
        <f>VLOOKUP($A57,'Data Vlaue (Cr)'!$C:$FB,11)*100</f>
        <v>1.54</v>
      </c>
      <c r="D57" s="50">
        <f>VLOOKUP($A57,'Data Vlaue (Cr)'!$C:$FB,143)</f>
        <v>1370.09</v>
      </c>
      <c r="E57" s="50">
        <f>VLOOKUP($A57,'Data Vlaue (Cr)'!$C:$FB,144)</f>
        <v>909.36</v>
      </c>
      <c r="F57" s="50">
        <f>VLOOKUP($A57,'Data Vlaue (Cr)'!$C:$FB,146)*100</f>
        <v>50.660000000000004</v>
      </c>
      <c r="G57" s="49">
        <f>VLOOKUP($A57,'Data Vlaue (Cr)'!$C:$FB,43)</f>
        <v>214</v>
      </c>
      <c r="H57" s="49">
        <f>VLOOKUP($A57,'Data Vlaue (Cr)'!$C:$FB,44)</f>
        <v>157</v>
      </c>
      <c r="I57" s="49">
        <f>VLOOKUP($A57,'Data Vlaue (Cr)'!$C:$FB,46)*100</f>
        <v>36.29</v>
      </c>
      <c r="J57" s="51">
        <f>VLOOKUP($A57,'Data Vlaue (Cr)'!$C:$FB,59)</f>
        <v>788</v>
      </c>
      <c r="K57" s="51">
        <f>VLOOKUP($A57,'Data Vlaue (Cr)'!$C:$FB,60)</f>
        <v>524</v>
      </c>
      <c r="L57" s="51">
        <f>VLOOKUP($A57,'Data Vlaue (Cr)'!$C:$FB,62)*100</f>
        <v>50.529999999999994</v>
      </c>
      <c r="M57" s="51">
        <f>VLOOKUP($A57,'Data Vlaue (Cr)'!$C:$FB,63)</f>
        <v>356</v>
      </c>
      <c r="N57" s="51">
        <f>VLOOKUP($A57,'Data Vlaue (Cr)'!$C:$FB,64)</f>
        <v>227</v>
      </c>
      <c r="O57" s="51">
        <f>VLOOKUP($A57,'Data Vlaue (Cr)'!$C:$FB,66)*100</f>
        <v>56.910000000000004</v>
      </c>
    </row>
    <row r="58" spans="1:15" x14ac:dyDescent="0.25">
      <c r="A58" s="101" t="str">
        <f>'Data Vlaue (Cr)'!C53</f>
        <v>DALBHARAT</v>
      </c>
      <c r="B58" s="50">
        <f>VLOOKUP($A58,'Data Vlaue (Cr)'!$C:$FB,8)</f>
        <v>2224.4</v>
      </c>
      <c r="C58" s="50">
        <f>VLOOKUP($A58,'Data Vlaue (Cr)'!$C:$FB,11)*100</f>
        <v>0.22999999999999998</v>
      </c>
      <c r="D58" s="50">
        <f>VLOOKUP($A58,'Data Vlaue (Cr)'!$C:$FB,143)</f>
        <v>232.21</v>
      </c>
      <c r="E58" s="50">
        <f>VLOOKUP($A58,'Data Vlaue (Cr)'!$C:$FB,144)</f>
        <v>249.42</v>
      </c>
      <c r="F58" s="50">
        <f>VLOOKUP($A58,'Data Vlaue (Cr)'!$C:$FB,146)*100</f>
        <v>-6.9</v>
      </c>
      <c r="G58" s="49">
        <f>VLOOKUP($A58,'Data Vlaue (Cr)'!$C:$FB,43)</f>
        <v>89</v>
      </c>
      <c r="H58" s="49">
        <f>VLOOKUP($A58,'Data Vlaue (Cr)'!$C:$FB,44)</f>
        <v>85</v>
      </c>
      <c r="I58" s="49">
        <f>VLOOKUP($A58,'Data Vlaue (Cr)'!$C:$FB,46)*100</f>
        <v>4.41</v>
      </c>
      <c r="J58" s="51">
        <f>VLOOKUP($A58,'Data Vlaue (Cr)'!$C:$FB,59)</f>
        <v>97</v>
      </c>
      <c r="K58" s="51">
        <f>VLOOKUP($A58,'Data Vlaue (Cr)'!$C:$FB,60)</f>
        <v>96</v>
      </c>
      <c r="L58" s="51">
        <f>VLOOKUP($A58,'Data Vlaue (Cr)'!$C:$FB,62)*100</f>
        <v>1.1299999999999999</v>
      </c>
      <c r="M58" s="51">
        <f>VLOOKUP($A58,'Data Vlaue (Cr)'!$C:$FB,63)</f>
        <v>41</v>
      </c>
      <c r="N58" s="51">
        <f>VLOOKUP($A58,'Data Vlaue (Cr)'!$C:$FB,64)</f>
        <v>68</v>
      </c>
      <c r="O58" s="51">
        <f>VLOOKUP($A58,'Data Vlaue (Cr)'!$C:$FB,66)*100</f>
        <v>-39.14</v>
      </c>
    </row>
    <row r="59" spans="1:15" x14ac:dyDescent="0.25">
      <c r="A59" s="101" t="str">
        <f>'Data Vlaue (Cr)'!C54</f>
        <v>DELHIVERY</v>
      </c>
      <c r="B59" s="50">
        <f>VLOOKUP($A59,'Data Vlaue (Cr)'!$C:$FB,8)</f>
        <v>446.8</v>
      </c>
      <c r="C59" s="50">
        <f>VLOOKUP($A59,'Data Vlaue (Cr)'!$C:$FB,11)*100</f>
        <v>-3.0300000000000002</v>
      </c>
      <c r="D59" s="50">
        <f>VLOOKUP($A59,'Data Vlaue (Cr)'!$C:$FB,143)</f>
        <v>1593.75</v>
      </c>
      <c r="E59" s="50">
        <f>VLOOKUP($A59,'Data Vlaue (Cr)'!$C:$FB,144)</f>
        <v>1067.42</v>
      </c>
      <c r="F59" s="50">
        <f>VLOOKUP($A59,'Data Vlaue (Cr)'!$C:$FB,146)*100</f>
        <v>49.309999999999995</v>
      </c>
      <c r="G59" s="49">
        <f>VLOOKUP($A59,'Data Vlaue (Cr)'!$C:$FB,43)</f>
        <v>265</v>
      </c>
      <c r="H59" s="49">
        <f>VLOOKUP($A59,'Data Vlaue (Cr)'!$C:$FB,44)</f>
        <v>194</v>
      </c>
      <c r="I59" s="49">
        <f>VLOOKUP($A59,'Data Vlaue (Cr)'!$C:$FB,46)*100</f>
        <v>36.68</v>
      </c>
      <c r="J59" s="51">
        <f>VLOOKUP($A59,'Data Vlaue (Cr)'!$C:$FB,59)</f>
        <v>885</v>
      </c>
      <c r="K59" s="51">
        <f>VLOOKUP($A59,'Data Vlaue (Cr)'!$C:$FB,60)</f>
        <v>526</v>
      </c>
      <c r="L59" s="51">
        <f>VLOOKUP($A59,'Data Vlaue (Cr)'!$C:$FB,62)*100</f>
        <v>68.16</v>
      </c>
      <c r="M59" s="51">
        <f>VLOOKUP($A59,'Data Vlaue (Cr)'!$C:$FB,63)</f>
        <v>376</v>
      </c>
      <c r="N59" s="51">
        <f>VLOOKUP($A59,'Data Vlaue (Cr)'!$C:$FB,64)</f>
        <v>287</v>
      </c>
      <c r="O59" s="51">
        <f>VLOOKUP($A59,'Data Vlaue (Cr)'!$C:$FB,66)*100</f>
        <v>30.84</v>
      </c>
    </row>
    <row r="60" spans="1:15" x14ac:dyDescent="0.25">
      <c r="A60" s="101" t="str">
        <f>'Data Vlaue (Cr)'!C55</f>
        <v>DIVISLAB</v>
      </c>
      <c r="B60" s="50">
        <f>VLOOKUP($A60,'Data Vlaue (Cr)'!$C:$FB,8)</f>
        <v>6600.5</v>
      </c>
      <c r="C60" s="50">
        <f>VLOOKUP($A60,'Data Vlaue (Cr)'!$C:$FB,11)*100</f>
        <v>0.42</v>
      </c>
      <c r="D60" s="50">
        <f>VLOOKUP($A60,'Data Vlaue (Cr)'!$C:$FB,143)</f>
        <v>3189.76</v>
      </c>
      <c r="E60" s="50">
        <f>VLOOKUP($A60,'Data Vlaue (Cr)'!$C:$FB,144)</f>
        <v>2257.5500000000002</v>
      </c>
      <c r="F60" s="50">
        <f>VLOOKUP($A60,'Data Vlaue (Cr)'!$C:$FB,146)*100</f>
        <v>41.29</v>
      </c>
      <c r="G60" s="49">
        <f>VLOOKUP($A60,'Data Vlaue (Cr)'!$C:$FB,43)</f>
        <v>287</v>
      </c>
      <c r="H60" s="49">
        <f>VLOOKUP($A60,'Data Vlaue (Cr)'!$C:$FB,44)</f>
        <v>328</v>
      </c>
      <c r="I60" s="49">
        <f>VLOOKUP($A60,'Data Vlaue (Cr)'!$C:$FB,46)*100</f>
        <v>-12.46</v>
      </c>
      <c r="J60" s="51">
        <f>VLOOKUP($A60,'Data Vlaue (Cr)'!$C:$FB,59)</f>
        <v>1812</v>
      </c>
      <c r="K60" s="51">
        <f>VLOOKUP($A60,'Data Vlaue (Cr)'!$C:$FB,60)</f>
        <v>1133</v>
      </c>
      <c r="L60" s="51">
        <f>VLOOKUP($A60,'Data Vlaue (Cr)'!$C:$FB,62)*100</f>
        <v>59.919999999999995</v>
      </c>
      <c r="M60" s="51">
        <f>VLOOKUP($A60,'Data Vlaue (Cr)'!$C:$FB,63)</f>
        <v>1078</v>
      </c>
      <c r="N60" s="51">
        <f>VLOOKUP($A60,'Data Vlaue (Cr)'!$C:$FB,64)</f>
        <v>796</v>
      </c>
      <c r="O60" s="51">
        <f>VLOOKUP($A60,'Data Vlaue (Cr)'!$C:$FB,66)*100</f>
        <v>35.339999999999996</v>
      </c>
    </row>
    <row r="61" spans="1:15" x14ac:dyDescent="0.25">
      <c r="A61" s="101" t="str">
        <f>'Data Vlaue (Cr)'!C56</f>
        <v>DIXON</v>
      </c>
      <c r="B61" s="50">
        <f>VLOOKUP($A61,'Data Vlaue (Cr)'!$C:$FB,8)</f>
        <v>16844</v>
      </c>
      <c r="C61" s="50">
        <f>VLOOKUP($A61,'Data Vlaue (Cr)'!$C:$FB,11)*100</f>
        <v>0.4</v>
      </c>
      <c r="D61" s="50">
        <f>VLOOKUP($A61,'Data Vlaue (Cr)'!$C:$FB,143)</f>
        <v>4948.78</v>
      </c>
      <c r="E61" s="50">
        <f>VLOOKUP($A61,'Data Vlaue (Cr)'!$C:$FB,144)</f>
        <v>7949.26</v>
      </c>
      <c r="F61" s="50">
        <f>VLOOKUP($A61,'Data Vlaue (Cr)'!$C:$FB,146)*100</f>
        <v>-37.75</v>
      </c>
      <c r="G61" s="49">
        <f>VLOOKUP($A61,'Data Vlaue (Cr)'!$C:$FB,43)</f>
        <v>627</v>
      </c>
      <c r="H61" s="49">
        <f>VLOOKUP($A61,'Data Vlaue (Cr)'!$C:$FB,44)</f>
        <v>768</v>
      </c>
      <c r="I61" s="49">
        <f>VLOOKUP($A61,'Data Vlaue (Cr)'!$C:$FB,46)*100</f>
        <v>-18.34</v>
      </c>
      <c r="J61" s="51">
        <f>VLOOKUP($A61,'Data Vlaue (Cr)'!$C:$FB,59)</f>
        <v>2735</v>
      </c>
      <c r="K61" s="51">
        <f>VLOOKUP($A61,'Data Vlaue (Cr)'!$C:$FB,60)</f>
        <v>4600</v>
      </c>
      <c r="L61" s="51">
        <f>VLOOKUP($A61,'Data Vlaue (Cr)'!$C:$FB,62)*100</f>
        <v>-40.550000000000004</v>
      </c>
      <c r="M61" s="51">
        <f>VLOOKUP($A61,'Data Vlaue (Cr)'!$C:$FB,63)</f>
        <v>1496</v>
      </c>
      <c r="N61" s="51">
        <f>VLOOKUP($A61,'Data Vlaue (Cr)'!$C:$FB,64)</f>
        <v>2449</v>
      </c>
      <c r="O61" s="51">
        <f>VLOOKUP($A61,'Data Vlaue (Cr)'!$C:$FB,66)*100</f>
        <v>-38.93</v>
      </c>
    </row>
    <row r="62" spans="1:15" x14ac:dyDescent="0.25">
      <c r="A62" s="101" t="str">
        <f>'Data Vlaue (Cr)'!C57</f>
        <v>DLF</v>
      </c>
      <c r="B62" s="50">
        <f>VLOOKUP($A62,'Data Vlaue (Cr)'!$C:$FB,8)</f>
        <v>769.7</v>
      </c>
      <c r="C62" s="50">
        <f>VLOOKUP($A62,'Data Vlaue (Cr)'!$C:$FB,11)*100</f>
        <v>1.77</v>
      </c>
      <c r="D62" s="50">
        <f>VLOOKUP($A62,'Data Vlaue (Cr)'!$C:$FB,143)</f>
        <v>3346.97</v>
      </c>
      <c r="E62" s="50">
        <f>VLOOKUP($A62,'Data Vlaue (Cr)'!$C:$FB,144)</f>
        <v>5209.58</v>
      </c>
      <c r="F62" s="50">
        <f>VLOOKUP($A62,'Data Vlaue (Cr)'!$C:$FB,146)*100</f>
        <v>-35.75</v>
      </c>
      <c r="G62" s="49">
        <f>VLOOKUP($A62,'Data Vlaue (Cr)'!$C:$FB,43)</f>
        <v>520</v>
      </c>
      <c r="H62" s="49">
        <f>VLOOKUP($A62,'Data Vlaue (Cr)'!$C:$FB,44)</f>
        <v>747</v>
      </c>
      <c r="I62" s="49">
        <f>VLOOKUP($A62,'Data Vlaue (Cr)'!$C:$FB,46)*100</f>
        <v>-30.37</v>
      </c>
      <c r="J62" s="51">
        <f>VLOOKUP($A62,'Data Vlaue (Cr)'!$C:$FB,59)</f>
        <v>1984</v>
      </c>
      <c r="K62" s="51">
        <f>VLOOKUP($A62,'Data Vlaue (Cr)'!$C:$FB,60)</f>
        <v>3083</v>
      </c>
      <c r="L62" s="51">
        <f>VLOOKUP($A62,'Data Vlaue (Cr)'!$C:$FB,62)*100</f>
        <v>-35.64</v>
      </c>
      <c r="M62" s="51">
        <f>VLOOKUP($A62,'Data Vlaue (Cr)'!$C:$FB,63)</f>
        <v>818</v>
      </c>
      <c r="N62" s="51">
        <f>VLOOKUP($A62,'Data Vlaue (Cr)'!$C:$FB,64)</f>
        <v>1388</v>
      </c>
      <c r="O62" s="51">
        <f>VLOOKUP($A62,'Data Vlaue (Cr)'!$C:$FB,66)*100</f>
        <v>-41.05</v>
      </c>
    </row>
    <row r="63" spans="1:15" x14ac:dyDescent="0.25">
      <c r="A63" s="101" t="str">
        <f>'Data Vlaue (Cr)'!C58</f>
        <v>DMART</v>
      </c>
      <c r="B63" s="50">
        <f>VLOOKUP($A63,'Data Vlaue (Cr)'!$C:$FB,8)</f>
        <v>4316.1000000000004</v>
      </c>
      <c r="C63" s="50">
        <f>VLOOKUP($A63,'Data Vlaue (Cr)'!$C:$FB,11)*100</f>
        <v>1.3299999999999998</v>
      </c>
      <c r="D63" s="50">
        <f>VLOOKUP($A63,'Data Vlaue (Cr)'!$C:$FB,143)</f>
        <v>3478.7</v>
      </c>
      <c r="E63" s="50">
        <f>VLOOKUP($A63,'Data Vlaue (Cr)'!$C:$FB,144)</f>
        <v>2276.83</v>
      </c>
      <c r="F63" s="50">
        <f>VLOOKUP($A63,'Data Vlaue (Cr)'!$C:$FB,146)*100</f>
        <v>52.790000000000006</v>
      </c>
      <c r="G63" s="49">
        <f>VLOOKUP($A63,'Data Vlaue (Cr)'!$C:$FB,43)</f>
        <v>437</v>
      </c>
      <c r="H63" s="49">
        <f>VLOOKUP($A63,'Data Vlaue (Cr)'!$C:$FB,44)</f>
        <v>300</v>
      </c>
      <c r="I63" s="49">
        <f>VLOOKUP($A63,'Data Vlaue (Cr)'!$C:$FB,46)*100</f>
        <v>45.5</v>
      </c>
      <c r="J63" s="51">
        <f>VLOOKUP($A63,'Data Vlaue (Cr)'!$C:$FB,59)</f>
        <v>2203</v>
      </c>
      <c r="K63" s="51">
        <f>VLOOKUP($A63,'Data Vlaue (Cr)'!$C:$FB,60)</f>
        <v>1455</v>
      </c>
      <c r="L63" s="51">
        <f>VLOOKUP($A63,'Data Vlaue (Cr)'!$C:$FB,62)*100</f>
        <v>51.42</v>
      </c>
      <c r="M63" s="51">
        <f>VLOOKUP($A63,'Data Vlaue (Cr)'!$C:$FB,63)</f>
        <v>761</v>
      </c>
      <c r="N63" s="51">
        <f>VLOOKUP($A63,'Data Vlaue (Cr)'!$C:$FB,64)</f>
        <v>492</v>
      </c>
      <c r="O63" s="51">
        <f>VLOOKUP($A63,'Data Vlaue (Cr)'!$C:$FB,66)*100</f>
        <v>54.66</v>
      </c>
    </row>
    <row r="64" spans="1:15" x14ac:dyDescent="0.25">
      <c r="A64" s="101" t="str">
        <f>'Data Vlaue (Cr)'!C59</f>
        <v>DRREDDY</v>
      </c>
      <c r="B64" s="50">
        <f>VLOOKUP($A64,'Data Vlaue (Cr)'!$C:$FB,8)</f>
        <v>1240.2</v>
      </c>
      <c r="C64" s="50">
        <f>VLOOKUP($A64,'Data Vlaue (Cr)'!$C:$FB,11)*100</f>
        <v>0.63</v>
      </c>
      <c r="D64" s="50">
        <f>VLOOKUP($A64,'Data Vlaue (Cr)'!$C:$FB,143)</f>
        <v>747.25</v>
      </c>
      <c r="E64" s="50">
        <f>VLOOKUP($A64,'Data Vlaue (Cr)'!$C:$FB,144)</f>
        <v>940.16</v>
      </c>
      <c r="F64" s="50">
        <f>VLOOKUP($A64,'Data Vlaue (Cr)'!$C:$FB,146)*100</f>
        <v>-20.52</v>
      </c>
      <c r="G64" s="49">
        <f>VLOOKUP($A64,'Data Vlaue (Cr)'!$C:$FB,43)</f>
        <v>219</v>
      </c>
      <c r="H64" s="49">
        <f>VLOOKUP($A64,'Data Vlaue (Cr)'!$C:$FB,44)</f>
        <v>209</v>
      </c>
      <c r="I64" s="49">
        <f>VLOOKUP($A64,'Data Vlaue (Cr)'!$C:$FB,46)*100</f>
        <v>4.5</v>
      </c>
      <c r="J64" s="51">
        <f>VLOOKUP($A64,'Data Vlaue (Cr)'!$C:$FB,59)</f>
        <v>362</v>
      </c>
      <c r="K64" s="51">
        <f>VLOOKUP($A64,'Data Vlaue (Cr)'!$C:$FB,60)</f>
        <v>464</v>
      </c>
      <c r="L64" s="51">
        <f>VLOOKUP($A64,'Data Vlaue (Cr)'!$C:$FB,62)*100</f>
        <v>-22.17</v>
      </c>
      <c r="M64" s="51">
        <f>VLOOKUP($A64,'Data Vlaue (Cr)'!$C:$FB,63)</f>
        <v>157</v>
      </c>
      <c r="N64" s="51">
        <f>VLOOKUP($A64,'Data Vlaue (Cr)'!$C:$FB,64)</f>
        <v>254</v>
      </c>
      <c r="O64" s="51">
        <f>VLOOKUP($A64,'Data Vlaue (Cr)'!$C:$FB,66)*100</f>
        <v>-38.32</v>
      </c>
    </row>
    <row r="65" spans="1:15" x14ac:dyDescent="0.25">
      <c r="A65" s="101" t="str">
        <f>'Data Vlaue (Cr)'!C60</f>
        <v>EICHERMOT</v>
      </c>
      <c r="B65" s="50">
        <f>VLOOKUP($A65,'Data Vlaue (Cr)'!$C:$FB,8)</f>
        <v>6988</v>
      </c>
      <c r="C65" s="50">
        <f>VLOOKUP($A65,'Data Vlaue (Cr)'!$C:$FB,11)*100</f>
        <v>1.35</v>
      </c>
      <c r="D65" s="50">
        <f>VLOOKUP($A65,'Data Vlaue (Cr)'!$C:$FB,143)</f>
        <v>4572.17</v>
      </c>
      <c r="E65" s="50">
        <f>VLOOKUP($A65,'Data Vlaue (Cr)'!$C:$FB,144)</f>
        <v>2397.83</v>
      </c>
      <c r="F65" s="50">
        <f>VLOOKUP($A65,'Data Vlaue (Cr)'!$C:$FB,146)*100</f>
        <v>90.68</v>
      </c>
      <c r="G65" s="49">
        <f>VLOOKUP($A65,'Data Vlaue (Cr)'!$C:$FB,43)</f>
        <v>348</v>
      </c>
      <c r="H65" s="49">
        <f>VLOOKUP($A65,'Data Vlaue (Cr)'!$C:$FB,44)</f>
        <v>284</v>
      </c>
      <c r="I65" s="49">
        <f>VLOOKUP($A65,'Data Vlaue (Cr)'!$C:$FB,46)*100</f>
        <v>22.64</v>
      </c>
      <c r="J65" s="51">
        <f>VLOOKUP($A65,'Data Vlaue (Cr)'!$C:$FB,59)</f>
        <v>3051</v>
      </c>
      <c r="K65" s="51">
        <f>VLOOKUP($A65,'Data Vlaue (Cr)'!$C:$FB,60)</f>
        <v>1391</v>
      </c>
      <c r="L65" s="51">
        <f>VLOOKUP($A65,'Data Vlaue (Cr)'!$C:$FB,62)*100</f>
        <v>119.36</v>
      </c>
      <c r="M65" s="51">
        <f>VLOOKUP($A65,'Data Vlaue (Cr)'!$C:$FB,63)</f>
        <v>1122</v>
      </c>
      <c r="N65" s="51">
        <f>VLOOKUP($A65,'Data Vlaue (Cr)'!$C:$FB,64)</f>
        <v>716</v>
      </c>
      <c r="O65" s="51">
        <f>VLOOKUP($A65,'Data Vlaue (Cr)'!$C:$FB,66)*100</f>
        <v>56.69</v>
      </c>
    </row>
    <row r="66" spans="1:15" x14ac:dyDescent="0.25">
      <c r="A66" s="101" t="str">
        <f>'Data Vlaue (Cr)'!C61</f>
        <v>ETERNAL</v>
      </c>
      <c r="B66" s="50">
        <f>VLOOKUP($A66,'Data Vlaue (Cr)'!$C:$FB,8)</f>
        <v>347.85</v>
      </c>
      <c r="C66" s="50">
        <f>VLOOKUP($A66,'Data Vlaue (Cr)'!$C:$FB,11)*100</f>
        <v>-1.83</v>
      </c>
      <c r="D66" s="50">
        <f>VLOOKUP($A66,'Data Vlaue (Cr)'!$C:$FB,143)</f>
        <v>39062.019999999997</v>
      </c>
      <c r="E66" s="50">
        <f>VLOOKUP($A66,'Data Vlaue (Cr)'!$C:$FB,144)</f>
        <v>5800.37</v>
      </c>
      <c r="F66" s="50">
        <f>VLOOKUP($A66,'Data Vlaue (Cr)'!$C:$FB,146)*100</f>
        <v>573.43999999999994</v>
      </c>
      <c r="G66" s="49">
        <f>VLOOKUP($A66,'Data Vlaue (Cr)'!$C:$FB,43)</f>
        <v>6425</v>
      </c>
      <c r="H66" s="49">
        <f>VLOOKUP($A66,'Data Vlaue (Cr)'!$C:$FB,44)</f>
        <v>1000</v>
      </c>
      <c r="I66" s="49">
        <f>VLOOKUP($A66,'Data Vlaue (Cr)'!$C:$FB,46)*100</f>
        <v>542.76</v>
      </c>
      <c r="J66" s="51">
        <f>VLOOKUP($A66,'Data Vlaue (Cr)'!$C:$FB,59)</f>
        <v>19403</v>
      </c>
      <c r="K66" s="51">
        <f>VLOOKUP($A66,'Data Vlaue (Cr)'!$C:$FB,60)</f>
        <v>3206</v>
      </c>
      <c r="L66" s="51">
        <f>VLOOKUP($A66,'Data Vlaue (Cr)'!$C:$FB,62)*100</f>
        <v>505.15</v>
      </c>
      <c r="M66" s="51">
        <f>VLOOKUP($A66,'Data Vlaue (Cr)'!$C:$FB,63)</f>
        <v>11799</v>
      </c>
      <c r="N66" s="51">
        <f>VLOOKUP($A66,'Data Vlaue (Cr)'!$C:$FB,64)</f>
        <v>1414</v>
      </c>
      <c r="O66" s="51">
        <f>VLOOKUP($A66,'Data Vlaue (Cr)'!$C:$FB,66)*100</f>
        <v>734.53</v>
      </c>
    </row>
    <row r="67" spans="1:15" x14ac:dyDescent="0.25">
      <c r="A67" s="101" t="str">
        <f>'Data Vlaue (Cr)'!C62</f>
        <v>EXIDEIND</v>
      </c>
      <c r="B67" s="50">
        <f>VLOOKUP($A67,'Data Vlaue (Cr)'!$C:$FB,8)</f>
        <v>397.85</v>
      </c>
      <c r="C67" s="50">
        <f>VLOOKUP($A67,'Data Vlaue (Cr)'!$C:$FB,11)*100</f>
        <v>1.8599999999999999</v>
      </c>
      <c r="D67" s="50">
        <f>VLOOKUP($A67,'Data Vlaue (Cr)'!$C:$FB,143)</f>
        <v>1242.31</v>
      </c>
      <c r="E67" s="50">
        <f>VLOOKUP($A67,'Data Vlaue (Cr)'!$C:$FB,144)</f>
        <v>699.67</v>
      </c>
      <c r="F67" s="50">
        <f>VLOOKUP($A67,'Data Vlaue (Cr)'!$C:$FB,146)*100</f>
        <v>77.56</v>
      </c>
      <c r="G67" s="49">
        <f>VLOOKUP($A67,'Data Vlaue (Cr)'!$C:$FB,43)</f>
        <v>220</v>
      </c>
      <c r="H67" s="49">
        <f>VLOOKUP($A67,'Data Vlaue (Cr)'!$C:$FB,44)</f>
        <v>127</v>
      </c>
      <c r="I67" s="49">
        <f>VLOOKUP($A67,'Data Vlaue (Cr)'!$C:$FB,46)*100</f>
        <v>73.33</v>
      </c>
      <c r="J67" s="51">
        <f>VLOOKUP($A67,'Data Vlaue (Cr)'!$C:$FB,59)</f>
        <v>662</v>
      </c>
      <c r="K67" s="51">
        <f>VLOOKUP($A67,'Data Vlaue (Cr)'!$C:$FB,60)</f>
        <v>347</v>
      </c>
      <c r="L67" s="51">
        <f>VLOOKUP($A67,'Data Vlaue (Cr)'!$C:$FB,62)*100</f>
        <v>90.53</v>
      </c>
      <c r="M67" s="51">
        <f>VLOOKUP($A67,'Data Vlaue (Cr)'!$C:$FB,63)</f>
        <v>348</v>
      </c>
      <c r="N67" s="51">
        <f>VLOOKUP($A67,'Data Vlaue (Cr)'!$C:$FB,64)</f>
        <v>221</v>
      </c>
      <c r="O67" s="51">
        <f>VLOOKUP($A67,'Data Vlaue (Cr)'!$C:$FB,66)*100</f>
        <v>57.720000000000006</v>
      </c>
    </row>
    <row r="68" spans="1:15" x14ac:dyDescent="0.25">
      <c r="A68" s="101" t="str">
        <f>'Data Vlaue (Cr)'!C63</f>
        <v>FEDERALBNK</v>
      </c>
      <c r="B68" s="50">
        <f>VLOOKUP($A68,'Data Vlaue (Cr)'!$C:$FB,8)</f>
        <v>214.5</v>
      </c>
      <c r="C68" s="50">
        <f>VLOOKUP($A68,'Data Vlaue (Cr)'!$C:$FB,11)*100</f>
        <v>-0.85000000000000009</v>
      </c>
      <c r="D68" s="50">
        <f>VLOOKUP($A68,'Data Vlaue (Cr)'!$C:$FB,143)</f>
        <v>2432.88</v>
      </c>
      <c r="E68" s="50">
        <f>VLOOKUP($A68,'Data Vlaue (Cr)'!$C:$FB,144)</f>
        <v>3760.71</v>
      </c>
      <c r="F68" s="50">
        <f>VLOOKUP($A68,'Data Vlaue (Cr)'!$C:$FB,146)*100</f>
        <v>-35.31</v>
      </c>
      <c r="G68" s="49">
        <f>VLOOKUP($A68,'Data Vlaue (Cr)'!$C:$FB,43)</f>
        <v>539</v>
      </c>
      <c r="H68" s="49">
        <f>VLOOKUP($A68,'Data Vlaue (Cr)'!$C:$FB,44)</f>
        <v>644</v>
      </c>
      <c r="I68" s="49">
        <f>VLOOKUP($A68,'Data Vlaue (Cr)'!$C:$FB,46)*100</f>
        <v>-16.259999999999998</v>
      </c>
      <c r="J68" s="51">
        <f>VLOOKUP($A68,'Data Vlaue (Cr)'!$C:$FB,59)</f>
        <v>1272</v>
      </c>
      <c r="K68" s="51">
        <f>VLOOKUP($A68,'Data Vlaue (Cr)'!$C:$FB,60)</f>
        <v>2058</v>
      </c>
      <c r="L68" s="51">
        <f>VLOOKUP($A68,'Data Vlaue (Cr)'!$C:$FB,62)*100</f>
        <v>-38.21</v>
      </c>
      <c r="M68" s="51">
        <f>VLOOKUP($A68,'Data Vlaue (Cr)'!$C:$FB,63)</f>
        <v>567</v>
      </c>
      <c r="N68" s="51">
        <f>VLOOKUP($A68,'Data Vlaue (Cr)'!$C:$FB,64)</f>
        <v>972</v>
      </c>
      <c r="O68" s="51">
        <f>VLOOKUP($A68,'Data Vlaue (Cr)'!$C:$FB,66)*100</f>
        <v>-41.620000000000005</v>
      </c>
    </row>
    <row r="69" spans="1:15" x14ac:dyDescent="0.25">
      <c r="A69" s="101" t="str">
        <f>'Data Vlaue (Cr)'!C64</f>
        <v>FINNIFTY</v>
      </c>
      <c r="B69" s="50">
        <f>VLOOKUP($A69,'Data Vlaue (Cr)'!$C:$FB,8)</f>
        <v>27381.200000000001</v>
      </c>
      <c r="C69" s="50">
        <f>VLOOKUP($A69,'Data Vlaue (Cr)'!$C:$FB,11)*100</f>
        <v>1.1400000000000001</v>
      </c>
      <c r="D69" s="50">
        <f>VLOOKUP($A69,'Data Vlaue (Cr)'!$C:$FB,143)</f>
        <v>15883.8</v>
      </c>
      <c r="E69" s="50">
        <f>VLOOKUP($A69,'Data Vlaue (Cr)'!$C:$FB,144)</f>
        <v>12966.6</v>
      </c>
      <c r="F69" s="50">
        <f>VLOOKUP($A69,'Data Vlaue (Cr)'!$C:$FB,146)*100</f>
        <v>22.5</v>
      </c>
      <c r="G69" s="49">
        <f>VLOOKUP($A69,'Data Vlaue (Cr)'!$C:$FB,43)</f>
        <v>74</v>
      </c>
      <c r="H69" s="49">
        <f>VLOOKUP($A69,'Data Vlaue (Cr)'!$C:$FB,44)</f>
        <v>100</v>
      </c>
      <c r="I69" s="49">
        <f>VLOOKUP($A69,'Data Vlaue (Cr)'!$C:$FB,46)*100</f>
        <v>-25.4</v>
      </c>
      <c r="J69" s="51">
        <f>VLOOKUP($A69,'Data Vlaue (Cr)'!$C:$FB,59)</f>
        <v>9859</v>
      </c>
      <c r="K69" s="51">
        <f>VLOOKUP($A69,'Data Vlaue (Cr)'!$C:$FB,60)</f>
        <v>7433</v>
      </c>
      <c r="L69" s="51">
        <f>VLOOKUP($A69,'Data Vlaue (Cr)'!$C:$FB,62)*100</f>
        <v>32.64</v>
      </c>
      <c r="M69" s="51">
        <f>VLOOKUP($A69,'Data Vlaue (Cr)'!$C:$FB,63)</f>
        <v>5931</v>
      </c>
      <c r="N69" s="51">
        <f>VLOOKUP($A69,'Data Vlaue (Cr)'!$C:$FB,64)</f>
        <v>5551</v>
      </c>
      <c r="O69" s="51">
        <f>VLOOKUP($A69,'Data Vlaue (Cr)'!$C:$FB,66)*100</f>
        <v>6.84</v>
      </c>
    </row>
    <row r="70" spans="1:15" x14ac:dyDescent="0.25">
      <c r="A70" s="101" t="str">
        <f>'Data Vlaue (Cr)'!C65</f>
        <v>FORTIS</v>
      </c>
      <c r="B70" s="50">
        <f>VLOOKUP($A70,'Data Vlaue (Cr)'!$C:$FB,8)</f>
        <v>1095.25</v>
      </c>
      <c r="C70" s="50">
        <f>VLOOKUP($A70,'Data Vlaue (Cr)'!$C:$FB,11)*100</f>
        <v>0.70000000000000007</v>
      </c>
      <c r="D70" s="50">
        <f>VLOOKUP($A70,'Data Vlaue (Cr)'!$C:$FB,143)</f>
        <v>905.28</v>
      </c>
      <c r="E70" s="50">
        <f>VLOOKUP($A70,'Data Vlaue (Cr)'!$C:$FB,144)</f>
        <v>842.68</v>
      </c>
      <c r="F70" s="50">
        <f>VLOOKUP($A70,'Data Vlaue (Cr)'!$C:$FB,146)*100</f>
        <v>7.4300000000000006</v>
      </c>
      <c r="G70" s="49">
        <f>VLOOKUP($A70,'Data Vlaue (Cr)'!$C:$FB,43)</f>
        <v>186</v>
      </c>
      <c r="H70" s="49">
        <f>VLOOKUP($A70,'Data Vlaue (Cr)'!$C:$FB,44)</f>
        <v>162</v>
      </c>
      <c r="I70" s="49">
        <f>VLOOKUP($A70,'Data Vlaue (Cr)'!$C:$FB,46)*100</f>
        <v>14.69</v>
      </c>
      <c r="J70" s="51">
        <f>VLOOKUP($A70,'Data Vlaue (Cr)'!$C:$FB,59)</f>
        <v>481</v>
      </c>
      <c r="K70" s="51">
        <f>VLOOKUP($A70,'Data Vlaue (Cr)'!$C:$FB,60)</f>
        <v>426</v>
      </c>
      <c r="L70" s="51">
        <f>VLOOKUP($A70,'Data Vlaue (Cr)'!$C:$FB,62)*100</f>
        <v>12.78</v>
      </c>
      <c r="M70" s="51">
        <f>VLOOKUP($A70,'Data Vlaue (Cr)'!$C:$FB,63)</f>
        <v>234</v>
      </c>
      <c r="N70" s="51">
        <f>VLOOKUP($A70,'Data Vlaue (Cr)'!$C:$FB,64)</f>
        <v>251</v>
      </c>
      <c r="O70" s="51">
        <f>VLOOKUP($A70,'Data Vlaue (Cr)'!$C:$FB,66)*100</f>
        <v>-6.69</v>
      </c>
    </row>
    <row r="71" spans="1:15" x14ac:dyDescent="0.25">
      <c r="A71" s="101" t="str">
        <f>'Data Vlaue (Cr)'!C66</f>
        <v>GAIL</v>
      </c>
      <c r="B71" s="50">
        <f>VLOOKUP($A71,'Data Vlaue (Cr)'!$C:$FB,8)</f>
        <v>179.17</v>
      </c>
      <c r="C71" s="50">
        <f>VLOOKUP($A71,'Data Vlaue (Cr)'!$C:$FB,11)*100</f>
        <v>1.01</v>
      </c>
      <c r="D71" s="50">
        <f>VLOOKUP($A71,'Data Vlaue (Cr)'!$C:$FB,143)</f>
        <v>1363.68</v>
      </c>
      <c r="E71" s="50">
        <f>VLOOKUP($A71,'Data Vlaue (Cr)'!$C:$FB,144)</f>
        <v>1235.8</v>
      </c>
      <c r="F71" s="50">
        <f>VLOOKUP($A71,'Data Vlaue (Cr)'!$C:$FB,146)*100</f>
        <v>10.35</v>
      </c>
      <c r="G71" s="49">
        <f>VLOOKUP($A71,'Data Vlaue (Cr)'!$C:$FB,43)</f>
        <v>279</v>
      </c>
      <c r="H71" s="49">
        <f>VLOOKUP($A71,'Data Vlaue (Cr)'!$C:$FB,44)</f>
        <v>292</v>
      </c>
      <c r="I71" s="49">
        <f>VLOOKUP($A71,'Data Vlaue (Cr)'!$C:$FB,46)*100</f>
        <v>-4.2799999999999994</v>
      </c>
      <c r="J71" s="51">
        <f>VLOOKUP($A71,'Data Vlaue (Cr)'!$C:$FB,59)</f>
        <v>685</v>
      </c>
      <c r="K71" s="51">
        <f>VLOOKUP($A71,'Data Vlaue (Cr)'!$C:$FB,60)</f>
        <v>631</v>
      </c>
      <c r="L71" s="51">
        <f>VLOOKUP($A71,'Data Vlaue (Cr)'!$C:$FB,62)*100</f>
        <v>8.51</v>
      </c>
      <c r="M71" s="51">
        <f>VLOOKUP($A71,'Data Vlaue (Cr)'!$C:$FB,63)</f>
        <v>378</v>
      </c>
      <c r="N71" s="51">
        <f>VLOOKUP($A71,'Data Vlaue (Cr)'!$C:$FB,64)</f>
        <v>299</v>
      </c>
      <c r="O71" s="51">
        <f>VLOOKUP($A71,'Data Vlaue (Cr)'!$C:$FB,66)*100</f>
        <v>26.22</v>
      </c>
    </row>
    <row r="72" spans="1:15" x14ac:dyDescent="0.25">
      <c r="A72" s="101" t="str">
        <f>'Data Vlaue (Cr)'!C67</f>
        <v>GLENMARK</v>
      </c>
      <c r="B72" s="50">
        <f>VLOOKUP($A72,'Data Vlaue (Cr)'!$C:$FB,8)</f>
        <v>1864.4</v>
      </c>
      <c r="C72" s="50">
        <f>VLOOKUP($A72,'Data Vlaue (Cr)'!$C:$FB,11)*100</f>
        <v>-1.5699999999999998</v>
      </c>
      <c r="D72" s="50">
        <f>VLOOKUP($A72,'Data Vlaue (Cr)'!$C:$FB,143)</f>
        <v>934.25</v>
      </c>
      <c r="E72" s="50">
        <f>VLOOKUP($A72,'Data Vlaue (Cr)'!$C:$FB,144)</f>
        <v>668.83</v>
      </c>
      <c r="F72" s="50">
        <f>VLOOKUP($A72,'Data Vlaue (Cr)'!$C:$FB,146)*100</f>
        <v>39.68</v>
      </c>
      <c r="G72" s="49">
        <f>VLOOKUP($A72,'Data Vlaue (Cr)'!$C:$FB,43)</f>
        <v>252</v>
      </c>
      <c r="H72" s="49">
        <f>VLOOKUP($A72,'Data Vlaue (Cr)'!$C:$FB,44)</f>
        <v>121</v>
      </c>
      <c r="I72" s="49">
        <f>VLOOKUP($A72,'Data Vlaue (Cr)'!$C:$FB,46)*100</f>
        <v>109.01</v>
      </c>
      <c r="J72" s="51">
        <f>VLOOKUP($A72,'Data Vlaue (Cr)'!$C:$FB,59)</f>
        <v>451</v>
      </c>
      <c r="K72" s="51">
        <f>VLOOKUP($A72,'Data Vlaue (Cr)'!$C:$FB,60)</f>
        <v>353</v>
      </c>
      <c r="L72" s="51">
        <f>VLOOKUP($A72,'Data Vlaue (Cr)'!$C:$FB,62)*100</f>
        <v>27.500000000000004</v>
      </c>
      <c r="M72" s="51">
        <f>VLOOKUP($A72,'Data Vlaue (Cr)'!$C:$FB,63)</f>
        <v>201</v>
      </c>
      <c r="N72" s="51">
        <f>VLOOKUP($A72,'Data Vlaue (Cr)'!$C:$FB,64)</f>
        <v>166</v>
      </c>
      <c r="O72" s="51">
        <f>VLOOKUP($A72,'Data Vlaue (Cr)'!$C:$FB,66)*100</f>
        <v>21.19</v>
      </c>
    </row>
    <row r="73" spans="1:15" x14ac:dyDescent="0.25">
      <c r="A73" s="101" t="str">
        <f>'Data Vlaue (Cr)'!C68</f>
        <v>GMRAIRPORT</v>
      </c>
      <c r="B73" s="50">
        <f>VLOOKUP($A73,'Data Vlaue (Cr)'!$C:$FB,8)</f>
        <v>90.87</v>
      </c>
      <c r="C73" s="50">
        <f>VLOOKUP($A73,'Data Vlaue (Cr)'!$C:$FB,11)*100</f>
        <v>0.79</v>
      </c>
      <c r="D73" s="50">
        <f>VLOOKUP($A73,'Data Vlaue (Cr)'!$C:$FB,143)</f>
        <v>855.53</v>
      </c>
      <c r="E73" s="50">
        <f>VLOOKUP($A73,'Data Vlaue (Cr)'!$C:$FB,144)</f>
        <v>569.1</v>
      </c>
      <c r="F73" s="50">
        <f>VLOOKUP($A73,'Data Vlaue (Cr)'!$C:$FB,146)*100</f>
        <v>50.33</v>
      </c>
      <c r="G73" s="49">
        <f>VLOOKUP($A73,'Data Vlaue (Cr)'!$C:$FB,43)</f>
        <v>185</v>
      </c>
      <c r="H73" s="49">
        <f>VLOOKUP($A73,'Data Vlaue (Cr)'!$C:$FB,44)</f>
        <v>115</v>
      </c>
      <c r="I73" s="49">
        <f>VLOOKUP($A73,'Data Vlaue (Cr)'!$C:$FB,46)*100</f>
        <v>61.21</v>
      </c>
      <c r="J73" s="51">
        <f>VLOOKUP($A73,'Data Vlaue (Cr)'!$C:$FB,59)</f>
        <v>429</v>
      </c>
      <c r="K73" s="51">
        <f>VLOOKUP($A73,'Data Vlaue (Cr)'!$C:$FB,60)</f>
        <v>323</v>
      </c>
      <c r="L73" s="51">
        <f>VLOOKUP($A73,'Data Vlaue (Cr)'!$C:$FB,62)*100</f>
        <v>32.97</v>
      </c>
      <c r="M73" s="51">
        <f>VLOOKUP($A73,'Data Vlaue (Cr)'!$C:$FB,63)</f>
        <v>229</v>
      </c>
      <c r="N73" s="51">
        <f>VLOOKUP($A73,'Data Vlaue (Cr)'!$C:$FB,64)</f>
        <v>124</v>
      </c>
      <c r="O73" s="51">
        <f>VLOOKUP($A73,'Data Vlaue (Cr)'!$C:$FB,66)*100</f>
        <v>85.05</v>
      </c>
    </row>
    <row r="74" spans="1:15" x14ac:dyDescent="0.25">
      <c r="A74" s="101" t="str">
        <f>'Data Vlaue (Cr)'!C69</f>
        <v>GODREJCP</v>
      </c>
      <c r="B74" s="50">
        <f>VLOOKUP($A74,'Data Vlaue (Cr)'!$C:$FB,8)</f>
        <v>1120.0999999999999</v>
      </c>
      <c r="C74" s="50">
        <f>VLOOKUP($A74,'Data Vlaue (Cr)'!$C:$FB,11)*100</f>
        <v>0.86</v>
      </c>
      <c r="D74" s="50">
        <f>VLOOKUP($A74,'Data Vlaue (Cr)'!$C:$FB,143)</f>
        <v>901.95</v>
      </c>
      <c r="E74" s="50">
        <f>VLOOKUP($A74,'Data Vlaue (Cr)'!$C:$FB,144)</f>
        <v>470.65</v>
      </c>
      <c r="F74" s="50">
        <f>VLOOKUP($A74,'Data Vlaue (Cr)'!$C:$FB,146)*100</f>
        <v>91.64</v>
      </c>
      <c r="G74" s="49">
        <f>VLOOKUP($A74,'Data Vlaue (Cr)'!$C:$FB,43)</f>
        <v>193</v>
      </c>
      <c r="H74" s="49">
        <f>VLOOKUP($A74,'Data Vlaue (Cr)'!$C:$FB,44)</f>
        <v>127</v>
      </c>
      <c r="I74" s="49">
        <f>VLOOKUP($A74,'Data Vlaue (Cr)'!$C:$FB,46)*100</f>
        <v>52.480000000000004</v>
      </c>
      <c r="J74" s="51">
        <f>VLOOKUP($A74,'Data Vlaue (Cr)'!$C:$FB,59)</f>
        <v>567</v>
      </c>
      <c r="K74" s="51">
        <f>VLOOKUP($A74,'Data Vlaue (Cr)'!$C:$FB,60)</f>
        <v>249</v>
      </c>
      <c r="L74" s="51">
        <f>VLOOKUP($A74,'Data Vlaue (Cr)'!$C:$FB,62)*100</f>
        <v>127.88999999999999</v>
      </c>
      <c r="M74" s="51">
        <f>VLOOKUP($A74,'Data Vlaue (Cr)'!$C:$FB,63)</f>
        <v>116</v>
      </c>
      <c r="N74" s="51">
        <f>VLOOKUP($A74,'Data Vlaue (Cr)'!$C:$FB,64)</f>
        <v>89</v>
      </c>
      <c r="O74" s="51">
        <f>VLOOKUP($A74,'Data Vlaue (Cr)'!$C:$FB,66)*100</f>
        <v>30.159999999999997</v>
      </c>
    </row>
    <row r="75" spans="1:15" x14ac:dyDescent="0.25">
      <c r="A75" s="101" t="str">
        <f>'Data Vlaue (Cr)'!C70</f>
        <v>GODREJPROP</v>
      </c>
      <c r="B75" s="50">
        <f>VLOOKUP($A75,'Data Vlaue (Cr)'!$C:$FB,8)</f>
        <v>2205.3000000000002</v>
      </c>
      <c r="C75" s="50">
        <f>VLOOKUP($A75,'Data Vlaue (Cr)'!$C:$FB,11)*100</f>
        <v>3.26</v>
      </c>
      <c r="D75" s="50">
        <f>VLOOKUP($A75,'Data Vlaue (Cr)'!$C:$FB,143)</f>
        <v>3852.95</v>
      </c>
      <c r="E75" s="50">
        <f>VLOOKUP($A75,'Data Vlaue (Cr)'!$C:$FB,144)</f>
        <v>3764.25</v>
      </c>
      <c r="F75" s="50">
        <f>VLOOKUP($A75,'Data Vlaue (Cr)'!$C:$FB,146)*100</f>
        <v>2.36</v>
      </c>
      <c r="G75" s="49">
        <f>VLOOKUP($A75,'Data Vlaue (Cr)'!$C:$FB,43)</f>
        <v>574</v>
      </c>
      <c r="H75" s="49">
        <f>VLOOKUP($A75,'Data Vlaue (Cr)'!$C:$FB,44)</f>
        <v>511</v>
      </c>
      <c r="I75" s="49">
        <f>VLOOKUP($A75,'Data Vlaue (Cr)'!$C:$FB,46)*100</f>
        <v>12.36</v>
      </c>
      <c r="J75" s="51">
        <f>VLOOKUP($A75,'Data Vlaue (Cr)'!$C:$FB,59)</f>
        <v>2222</v>
      </c>
      <c r="K75" s="51">
        <f>VLOOKUP($A75,'Data Vlaue (Cr)'!$C:$FB,60)</f>
        <v>2418</v>
      </c>
      <c r="L75" s="51">
        <f>VLOOKUP($A75,'Data Vlaue (Cr)'!$C:$FB,62)*100</f>
        <v>-8.08</v>
      </c>
      <c r="M75" s="51">
        <f>VLOOKUP($A75,'Data Vlaue (Cr)'!$C:$FB,63)</f>
        <v>1040</v>
      </c>
      <c r="N75" s="51">
        <f>VLOOKUP($A75,'Data Vlaue (Cr)'!$C:$FB,64)</f>
        <v>908</v>
      </c>
      <c r="O75" s="51">
        <f>VLOOKUP($A75,'Data Vlaue (Cr)'!$C:$FB,66)*100</f>
        <v>14.46</v>
      </c>
    </row>
    <row r="76" spans="1:15" x14ac:dyDescent="0.25">
      <c r="A76" s="101" t="str">
        <f>'Data Vlaue (Cr)'!C71</f>
        <v>GRASIM</v>
      </c>
      <c r="B76" s="50">
        <f>VLOOKUP($A76,'Data Vlaue (Cr)'!$C:$FB,8)</f>
        <v>2859.8</v>
      </c>
      <c r="C76" s="50">
        <f>VLOOKUP($A76,'Data Vlaue (Cr)'!$C:$FB,11)*100</f>
        <v>1.53</v>
      </c>
      <c r="D76" s="50">
        <f>VLOOKUP($A76,'Data Vlaue (Cr)'!$C:$FB,143)</f>
        <v>2012.82</v>
      </c>
      <c r="E76" s="50">
        <f>VLOOKUP($A76,'Data Vlaue (Cr)'!$C:$FB,144)</f>
        <v>911.59</v>
      </c>
      <c r="F76" s="50">
        <f>VLOOKUP($A76,'Data Vlaue (Cr)'!$C:$FB,146)*100</f>
        <v>120.8</v>
      </c>
      <c r="G76" s="49">
        <f>VLOOKUP($A76,'Data Vlaue (Cr)'!$C:$FB,43)</f>
        <v>427</v>
      </c>
      <c r="H76" s="49">
        <f>VLOOKUP($A76,'Data Vlaue (Cr)'!$C:$FB,44)</f>
        <v>223</v>
      </c>
      <c r="I76" s="49">
        <f>VLOOKUP($A76,'Data Vlaue (Cr)'!$C:$FB,46)*100</f>
        <v>91.100000000000009</v>
      </c>
      <c r="J76" s="51">
        <f>VLOOKUP($A76,'Data Vlaue (Cr)'!$C:$FB,59)</f>
        <v>1075</v>
      </c>
      <c r="K76" s="51">
        <f>VLOOKUP($A76,'Data Vlaue (Cr)'!$C:$FB,60)</f>
        <v>477</v>
      </c>
      <c r="L76" s="51">
        <f>VLOOKUP($A76,'Data Vlaue (Cr)'!$C:$FB,62)*100</f>
        <v>125.38</v>
      </c>
      <c r="M76" s="51">
        <f>VLOOKUP($A76,'Data Vlaue (Cr)'!$C:$FB,63)</f>
        <v>502</v>
      </c>
      <c r="N76" s="51">
        <f>VLOOKUP($A76,'Data Vlaue (Cr)'!$C:$FB,64)</f>
        <v>212</v>
      </c>
      <c r="O76" s="51">
        <f>VLOOKUP($A76,'Data Vlaue (Cr)'!$C:$FB,66)*100</f>
        <v>136.82000000000002</v>
      </c>
    </row>
    <row r="77" spans="1:15" x14ac:dyDescent="0.25">
      <c r="A77" s="101" t="str">
        <f>'Data Vlaue (Cr)'!C72</f>
        <v>HAL</v>
      </c>
      <c r="B77" s="50">
        <f>VLOOKUP($A77,'Data Vlaue (Cr)'!$C:$FB,8)</f>
        <v>4861.3</v>
      </c>
      <c r="C77" s="50">
        <f>VLOOKUP($A77,'Data Vlaue (Cr)'!$C:$FB,11)*100</f>
        <v>0.33</v>
      </c>
      <c r="D77" s="50">
        <f>VLOOKUP($A77,'Data Vlaue (Cr)'!$C:$FB,143)</f>
        <v>3923.97</v>
      </c>
      <c r="E77" s="50">
        <f>VLOOKUP($A77,'Data Vlaue (Cr)'!$C:$FB,144)</f>
        <v>6957.79</v>
      </c>
      <c r="F77" s="50">
        <f>VLOOKUP($A77,'Data Vlaue (Cr)'!$C:$FB,146)*100</f>
        <v>-43.6</v>
      </c>
      <c r="G77" s="49">
        <f>VLOOKUP($A77,'Data Vlaue (Cr)'!$C:$FB,43)</f>
        <v>583</v>
      </c>
      <c r="H77" s="49">
        <f>VLOOKUP($A77,'Data Vlaue (Cr)'!$C:$FB,44)</f>
        <v>908</v>
      </c>
      <c r="I77" s="49">
        <f>VLOOKUP($A77,'Data Vlaue (Cr)'!$C:$FB,46)*100</f>
        <v>-35.86</v>
      </c>
      <c r="J77" s="51">
        <f>VLOOKUP($A77,'Data Vlaue (Cr)'!$C:$FB,59)</f>
        <v>2299</v>
      </c>
      <c r="K77" s="51">
        <f>VLOOKUP($A77,'Data Vlaue (Cr)'!$C:$FB,60)</f>
        <v>4170</v>
      </c>
      <c r="L77" s="51">
        <f>VLOOKUP($A77,'Data Vlaue (Cr)'!$C:$FB,62)*100</f>
        <v>-44.87</v>
      </c>
      <c r="M77" s="51">
        <f>VLOOKUP($A77,'Data Vlaue (Cr)'!$C:$FB,63)</f>
        <v>983</v>
      </c>
      <c r="N77" s="51">
        <f>VLOOKUP($A77,'Data Vlaue (Cr)'!$C:$FB,64)</f>
        <v>1808</v>
      </c>
      <c r="O77" s="51">
        <f>VLOOKUP($A77,'Data Vlaue (Cr)'!$C:$FB,66)*100</f>
        <v>-45.61</v>
      </c>
    </row>
    <row r="78" spans="1:15" x14ac:dyDescent="0.25">
      <c r="A78" s="101" t="str">
        <f>'Data Vlaue (Cr)'!C73</f>
        <v>HAVELLS</v>
      </c>
      <c r="B78" s="50">
        <f>VLOOKUP($A78,'Data Vlaue (Cr)'!$C:$FB,8)</f>
        <v>1475.8</v>
      </c>
      <c r="C78" s="50">
        <f>VLOOKUP($A78,'Data Vlaue (Cr)'!$C:$FB,11)*100</f>
        <v>0.79</v>
      </c>
      <c r="D78" s="50">
        <f>VLOOKUP($A78,'Data Vlaue (Cr)'!$C:$FB,143)</f>
        <v>1229.78</v>
      </c>
      <c r="E78" s="50">
        <f>VLOOKUP($A78,'Data Vlaue (Cr)'!$C:$FB,144)</f>
        <v>792.38</v>
      </c>
      <c r="F78" s="50">
        <f>VLOOKUP($A78,'Data Vlaue (Cr)'!$C:$FB,146)*100</f>
        <v>55.2</v>
      </c>
      <c r="G78" s="49">
        <f>VLOOKUP($A78,'Data Vlaue (Cr)'!$C:$FB,43)</f>
        <v>338</v>
      </c>
      <c r="H78" s="49">
        <f>VLOOKUP($A78,'Data Vlaue (Cr)'!$C:$FB,44)</f>
        <v>193</v>
      </c>
      <c r="I78" s="49">
        <f>VLOOKUP($A78,'Data Vlaue (Cr)'!$C:$FB,46)*100</f>
        <v>74.819999999999993</v>
      </c>
      <c r="J78" s="51">
        <f>VLOOKUP($A78,'Data Vlaue (Cr)'!$C:$FB,59)</f>
        <v>653</v>
      </c>
      <c r="K78" s="51">
        <f>VLOOKUP($A78,'Data Vlaue (Cr)'!$C:$FB,60)</f>
        <v>425</v>
      </c>
      <c r="L78" s="51">
        <f>VLOOKUP($A78,'Data Vlaue (Cr)'!$C:$FB,62)*100</f>
        <v>53.55</v>
      </c>
      <c r="M78" s="51">
        <f>VLOOKUP($A78,'Data Vlaue (Cr)'!$C:$FB,63)</f>
        <v>220</v>
      </c>
      <c r="N78" s="51">
        <f>VLOOKUP($A78,'Data Vlaue (Cr)'!$C:$FB,64)</f>
        <v>167</v>
      </c>
      <c r="O78" s="51">
        <f>VLOOKUP($A78,'Data Vlaue (Cr)'!$C:$FB,66)*100</f>
        <v>32.33</v>
      </c>
    </row>
    <row r="79" spans="1:15" x14ac:dyDescent="0.25">
      <c r="A79" s="101" t="str">
        <f>'Data Vlaue (Cr)'!C74</f>
        <v>HCLTECH</v>
      </c>
      <c r="B79" s="50">
        <f>VLOOKUP($A79,'Data Vlaue (Cr)'!$C:$FB,8)</f>
        <v>1515</v>
      </c>
      <c r="C79" s="50">
        <f>VLOOKUP($A79,'Data Vlaue (Cr)'!$C:$FB,11)*100</f>
        <v>1.29</v>
      </c>
      <c r="D79" s="50">
        <f>VLOOKUP($A79,'Data Vlaue (Cr)'!$C:$FB,143)</f>
        <v>4321.3100000000004</v>
      </c>
      <c r="E79" s="50">
        <f>VLOOKUP($A79,'Data Vlaue (Cr)'!$C:$FB,144)</f>
        <v>5256.29</v>
      </c>
      <c r="F79" s="50">
        <f>VLOOKUP($A79,'Data Vlaue (Cr)'!$C:$FB,146)*100</f>
        <v>-17.79</v>
      </c>
      <c r="G79" s="49">
        <f>VLOOKUP($A79,'Data Vlaue (Cr)'!$C:$FB,43)</f>
        <v>529</v>
      </c>
      <c r="H79" s="49">
        <f>VLOOKUP($A79,'Data Vlaue (Cr)'!$C:$FB,44)</f>
        <v>499</v>
      </c>
      <c r="I79" s="49">
        <f>VLOOKUP($A79,'Data Vlaue (Cr)'!$C:$FB,46)*100</f>
        <v>5.96</v>
      </c>
      <c r="J79" s="51">
        <f>VLOOKUP($A79,'Data Vlaue (Cr)'!$C:$FB,59)</f>
        <v>2393</v>
      </c>
      <c r="K79" s="51">
        <f>VLOOKUP($A79,'Data Vlaue (Cr)'!$C:$FB,60)</f>
        <v>3081</v>
      </c>
      <c r="L79" s="51">
        <f>VLOOKUP($A79,'Data Vlaue (Cr)'!$C:$FB,62)*100</f>
        <v>-22.35</v>
      </c>
      <c r="M79" s="51">
        <f>VLOOKUP($A79,'Data Vlaue (Cr)'!$C:$FB,63)</f>
        <v>1355</v>
      </c>
      <c r="N79" s="51">
        <f>VLOOKUP($A79,'Data Vlaue (Cr)'!$C:$FB,64)</f>
        <v>1638</v>
      </c>
      <c r="O79" s="51">
        <f>VLOOKUP($A79,'Data Vlaue (Cr)'!$C:$FB,66)*100</f>
        <v>-17.27</v>
      </c>
    </row>
    <row r="80" spans="1:15" x14ac:dyDescent="0.25">
      <c r="A80" s="101" t="str">
        <f>'Data Vlaue (Cr)'!C75</f>
        <v>HDFCAMC</v>
      </c>
      <c r="B80" s="50">
        <f>VLOOKUP($A80,'Data Vlaue (Cr)'!$C:$FB,8)</f>
        <v>5803.5</v>
      </c>
      <c r="C80" s="50">
        <f>VLOOKUP($A80,'Data Vlaue (Cr)'!$C:$FB,11)*100</f>
        <v>0.69</v>
      </c>
      <c r="D80" s="50">
        <f>VLOOKUP($A80,'Data Vlaue (Cr)'!$C:$FB,143)</f>
        <v>26680.57</v>
      </c>
      <c r="E80" s="50">
        <f>VLOOKUP($A80,'Data Vlaue (Cr)'!$C:$FB,144)</f>
        <v>13958.67</v>
      </c>
      <c r="F80" s="50">
        <f>VLOOKUP($A80,'Data Vlaue (Cr)'!$C:$FB,146)*100</f>
        <v>91.14</v>
      </c>
      <c r="G80" s="49">
        <f>VLOOKUP($A80,'Data Vlaue (Cr)'!$C:$FB,43)</f>
        <v>1413</v>
      </c>
      <c r="H80" s="49">
        <f>VLOOKUP($A80,'Data Vlaue (Cr)'!$C:$FB,44)</f>
        <v>1288</v>
      </c>
      <c r="I80" s="49">
        <f>VLOOKUP($A80,'Data Vlaue (Cr)'!$C:$FB,46)*100</f>
        <v>9.74</v>
      </c>
      <c r="J80" s="51">
        <f>VLOOKUP($A80,'Data Vlaue (Cr)'!$C:$FB,59)</f>
        <v>17713</v>
      </c>
      <c r="K80" s="51">
        <f>VLOOKUP($A80,'Data Vlaue (Cr)'!$C:$FB,60)</f>
        <v>9604</v>
      </c>
      <c r="L80" s="51">
        <f>VLOOKUP($A80,'Data Vlaue (Cr)'!$C:$FB,62)*100</f>
        <v>84.43</v>
      </c>
      <c r="M80" s="51">
        <f>VLOOKUP($A80,'Data Vlaue (Cr)'!$C:$FB,63)</f>
        <v>7167</v>
      </c>
      <c r="N80" s="51">
        <f>VLOOKUP($A80,'Data Vlaue (Cr)'!$C:$FB,64)</f>
        <v>2924</v>
      </c>
      <c r="O80" s="51">
        <f>VLOOKUP($A80,'Data Vlaue (Cr)'!$C:$FB,66)*100</f>
        <v>145.13</v>
      </c>
    </row>
    <row r="81" spans="1:15" x14ac:dyDescent="0.25">
      <c r="A81" s="101" t="str">
        <f>'Data Vlaue (Cr)'!C76</f>
        <v>HDFCBANK</v>
      </c>
      <c r="B81" s="50">
        <f>VLOOKUP($A81,'Data Vlaue (Cr)'!$C:$FB,8)</f>
        <v>994.35</v>
      </c>
      <c r="C81" s="50">
        <f>VLOOKUP($A81,'Data Vlaue (Cr)'!$C:$FB,11)*100</f>
        <v>1.6500000000000001</v>
      </c>
      <c r="D81" s="50">
        <f>VLOOKUP($A81,'Data Vlaue (Cr)'!$C:$FB,143)</f>
        <v>12501.13</v>
      </c>
      <c r="E81" s="50">
        <f>VLOOKUP($A81,'Data Vlaue (Cr)'!$C:$FB,144)</f>
        <v>9743.2000000000007</v>
      </c>
      <c r="F81" s="50">
        <f>VLOOKUP($A81,'Data Vlaue (Cr)'!$C:$FB,146)*100</f>
        <v>28.310000000000002</v>
      </c>
      <c r="G81" s="49">
        <f>VLOOKUP($A81,'Data Vlaue (Cr)'!$C:$FB,43)</f>
        <v>3104</v>
      </c>
      <c r="H81" s="49">
        <f>VLOOKUP($A81,'Data Vlaue (Cr)'!$C:$FB,44)</f>
        <v>2028</v>
      </c>
      <c r="I81" s="49">
        <f>VLOOKUP($A81,'Data Vlaue (Cr)'!$C:$FB,46)*100</f>
        <v>53.1</v>
      </c>
      <c r="J81" s="51">
        <f>VLOOKUP($A81,'Data Vlaue (Cr)'!$C:$FB,59)</f>
        <v>5767</v>
      </c>
      <c r="K81" s="51">
        <f>VLOOKUP($A81,'Data Vlaue (Cr)'!$C:$FB,60)</f>
        <v>4972</v>
      </c>
      <c r="L81" s="51">
        <f>VLOOKUP($A81,'Data Vlaue (Cr)'!$C:$FB,62)*100</f>
        <v>15.98</v>
      </c>
      <c r="M81" s="51">
        <f>VLOOKUP($A81,'Data Vlaue (Cr)'!$C:$FB,63)</f>
        <v>3621</v>
      </c>
      <c r="N81" s="51">
        <f>VLOOKUP($A81,'Data Vlaue (Cr)'!$C:$FB,64)</f>
        <v>2766</v>
      </c>
      <c r="O81" s="51">
        <f>VLOOKUP($A81,'Data Vlaue (Cr)'!$C:$FB,66)*100</f>
        <v>30.880000000000003</v>
      </c>
    </row>
    <row r="82" spans="1:15" x14ac:dyDescent="0.25">
      <c r="A82" s="101" t="str">
        <f>'Data Vlaue (Cr)'!C77</f>
        <v>HDFCLIFE</v>
      </c>
      <c r="B82" s="50">
        <f>VLOOKUP($A82,'Data Vlaue (Cr)'!$C:$FB,8)</f>
        <v>742.85</v>
      </c>
      <c r="C82" s="50">
        <f>VLOOKUP($A82,'Data Vlaue (Cr)'!$C:$FB,11)*100</f>
        <v>-2.4</v>
      </c>
      <c r="D82" s="50">
        <f>VLOOKUP($A82,'Data Vlaue (Cr)'!$C:$FB,143)</f>
        <v>7805.23</v>
      </c>
      <c r="E82" s="50">
        <f>VLOOKUP($A82,'Data Vlaue (Cr)'!$C:$FB,144)</f>
        <v>3879.12</v>
      </c>
      <c r="F82" s="50">
        <f>VLOOKUP($A82,'Data Vlaue (Cr)'!$C:$FB,146)*100</f>
        <v>101.21</v>
      </c>
      <c r="G82" s="49">
        <f>VLOOKUP($A82,'Data Vlaue (Cr)'!$C:$FB,43)</f>
        <v>995</v>
      </c>
      <c r="H82" s="49">
        <f>VLOOKUP($A82,'Data Vlaue (Cr)'!$C:$FB,44)</f>
        <v>417</v>
      </c>
      <c r="I82" s="49">
        <f>VLOOKUP($A82,'Data Vlaue (Cr)'!$C:$FB,46)*100</f>
        <v>138.64000000000001</v>
      </c>
      <c r="J82" s="51">
        <f>VLOOKUP($A82,'Data Vlaue (Cr)'!$C:$FB,59)</f>
        <v>4637</v>
      </c>
      <c r="K82" s="51">
        <f>VLOOKUP($A82,'Data Vlaue (Cr)'!$C:$FB,60)</f>
        <v>2372</v>
      </c>
      <c r="L82" s="51">
        <f>VLOOKUP($A82,'Data Vlaue (Cr)'!$C:$FB,62)*100</f>
        <v>95.46</v>
      </c>
      <c r="M82" s="51">
        <f>VLOOKUP($A82,'Data Vlaue (Cr)'!$C:$FB,63)</f>
        <v>1993</v>
      </c>
      <c r="N82" s="51">
        <f>VLOOKUP($A82,'Data Vlaue (Cr)'!$C:$FB,64)</f>
        <v>933</v>
      </c>
      <c r="O82" s="51">
        <f>VLOOKUP($A82,'Data Vlaue (Cr)'!$C:$FB,66)*100</f>
        <v>113.53999999999999</v>
      </c>
    </row>
    <row r="83" spans="1:15" x14ac:dyDescent="0.25">
      <c r="A83" s="101" t="str">
        <f>'Data Vlaue (Cr)'!C78</f>
        <v>HEROMOTOCO</v>
      </c>
      <c r="B83" s="50">
        <f>VLOOKUP($A83,'Data Vlaue (Cr)'!$C:$FB,8)</f>
        <v>5579.5</v>
      </c>
      <c r="C83" s="50">
        <f>VLOOKUP($A83,'Data Vlaue (Cr)'!$C:$FB,11)*100</f>
        <v>0.76</v>
      </c>
      <c r="D83" s="50">
        <f>VLOOKUP($A83,'Data Vlaue (Cr)'!$C:$FB,143)</f>
        <v>3135.32</v>
      </c>
      <c r="E83" s="50">
        <f>VLOOKUP($A83,'Data Vlaue (Cr)'!$C:$FB,144)</f>
        <v>5683.7</v>
      </c>
      <c r="F83" s="50">
        <f>VLOOKUP($A83,'Data Vlaue (Cr)'!$C:$FB,146)*100</f>
        <v>-44.84</v>
      </c>
      <c r="G83" s="49">
        <f>VLOOKUP($A83,'Data Vlaue (Cr)'!$C:$FB,43)</f>
        <v>427</v>
      </c>
      <c r="H83" s="49">
        <f>VLOOKUP($A83,'Data Vlaue (Cr)'!$C:$FB,44)</f>
        <v>613</v>
      </c>
      <c r="I83" s="49">
        <f>VLOOKUP($A83,'Data Vlaue (Cr)'!$C:$FB,46)*100</f>
        <v>-30.36</v>
      </c>
      <c r="J83" s="51">
        <f>VLOOKUP($A83,'Data Vlaue (Cr)'!$C:$FB,59)</f>
        <v>1714</v>
      </c>
      <c r="K83" s="51">
        <f>VLOOKUP($A83,'Data Vlaue (Cr)'!$C:$FB,60)</f>
        <v>3032</v>
      </c>
      <c r="L83" s="51">
        <f>VLOOKUP($A83,'Data Vlaue (Cr)'!$C:$FB,62)*100</f>
        <v>-43.480000000000004</v>
      </c>
      <c r="M83" s="51">
        <f>VLOOKUP($A83,'Data Vlaue (Cr)'!$C:$FB,63)</f>
        <v>957</v>
      </c>
      <c r="N83" s="51">
        <f>VLOOKUP($A83,'Data Vlaue (Cr)'!$C:$FB,64)</f>
        <v>1990</v>
      </c>
      <c r="O83" s="51">
        <f>VLOOKUP($A83,'Data Vlaue (Cr)'!$C:$FB,66)*100</f>
        <v>-51.93</v>
      </c>
    </row>
    <row r="84" spans="1:15" x14ac:dyDescent="0.25">
      <c r="A84" s="101" t="str">
        <f>'Data Vlaue (Cr)'!C79</f>
        <v>HFCL</v>
      </c>
      <c r="B84" s="50">
        <f>VLOOKUP($A84,'Data Vlaue (Cr)'!$C:$FB,8)</f>
        <v>77.319999999999993</v>
      </c>
      <c r="C84" s="50">
        <f>VLOOKUP($A84,'Data Vlaue (Cr)'!$C:$FB,11)*100</f>
        <v>0.12</v>
      </c>
      <c r="D84" s="50">
        <f>VLOOKUP($A84,'Data Vlaue (Cr)'!$C:$FB,143)</f>
        <v>523.83000000000004</v>
      </c>
      <c r="E84" s="50">
        <f>VLOOKUP($A84,'Data Vlaue (Cr)'!$C:$FB,144)</f>
        <v>609.75</v>
      </c>
      <c r="F84" s="50">
        <f>VLOOKUP($A84,'Data Vlaue (Cr)'!$C:$FB,146)*100</f>
        <v>-14.09</v>
      </c>
      <c r="G84" s="49">
        <f>VLOOKUP($A84,'Data Vlaue (Cr)'!$C:$FB,43)</f>
        <v>201</v>
      </c>
      <c r="H84" s="49">
        <f>VLOOKUP($A84,'Data Vlaue (Cr)'!$C:$FB,44)</f>
        <v>236</v>
      </c>
      <c r="I84" s="49">
        <f>VLOOKUP($A84,'Data Vlaue (Cr)'!$C:$FB,46)*100</f>
        <v>-14.829999999999998</v>
      </c>
      <c r="J84" s="51">
        <f>VLOOKUP($A84,'Data Vlaue (Cr)'!$C:$FB,59)</f>
        <v>215</v>
      </c>
      <c r="K84" s="51">
        <f>VLOOKUP($A84,'Data Vlaue (Cr)'!$C:$FB,60)</f>
        <v>278</v>
      </c>
      <c r="L84" s="51">
        <f>VLOOKUP($A84,'Data Vlaue (Cr)'!$C:$FB,62)*100</f>
        <v>-22.64</v>
      </c>
      <c r="M84" s="51">
        <f>VLOOKUP($A84,'Data Vlaue (Cr)'!$C:$FB,63)</f>
        <v>94</v>
      </c>
      <c r="N84" s="51">
        <f>VLOOKUP($A84,'Data Vlaue (Cr)'!$C:$FB,64)</f>
        <v>87</v>
      </c>
      <c r="O84" s="51">
        <f>VLOOKUP($A84,'Data Vlaue (Cr)'!$C:$FB,66)*100</f>
        <v>8.4599999999999991</v>
      </c>
    </row>
    <row r="85" spans="1:15" x14ac:dyDescent="0.25">
      <c r="A85" s="101" t="str">
        <f>'Data Vlaue (Cr)'!C80</f>
        <v>HINDALCO</v>
      </c>
      <c r="B85" s="50">
        <f>VLOOKUP($A85,'Data Vlaue (Cr)'!$C:$FB,8)</f>
        <v>780.1</v>
      </c>
      <c r="C85" s="50">
        <f>VLOOKUP($A85,'Data Vlaue (Cr)'!$C:$FB,11)*100</f>
        <v>2.0699999999999998</v>
      </c>
      <c r="D85" s="50">
        <f>VLOOKUP($A85,'Data Vlaue (Cr)'!$C:$FB,143)</f>
        <v>4122.18</v>
      </c>
      <c r="E85" s="50">
        <f>VLOOKUP($A85,'Data Vlaue (Cr)'!$C:$FB,144)</f>
        <v>2527.66</v>
      </c>
      <c r="F85" s="50">
        <f>VLOOKUP($A85,'Data Vlaue (Cr)'!$C:$FB,146)*100</f>
        <v>63.080000000000005</v>
      </c>
      <c r="G85" s="49">
        <f>VLOOKUP($A85,'Data Vlaue (Cr)'!$C:$FB,43)</f>
        <v>744</v>
      </c>
      <c r="H85" s="49">
        <f>VLOOKUP($A85,'Data Vlaue (Cr)'!$C:$FB,44)</f>
        <v>589</v>
      </c>
      <c r="I85" s="49">
        <f>VLOOKUP($A85,'Data Vlaue (Cr)'!$C:$FB,46)*100</f>
        <v>26.179999999999996</v>
      </c>
      <c r="J85" s="51">
        <f>VLOOKUP($A85,'Data Vlaue (Cr)'!$C:$FB,59)</f>
        <v>2115</v>
      </c>
      <c r="K85" s="51">
        <f>VLOOKUP($A85,'Data Vlaue (Cr)'!$C:$FB,60)</f>
        <v>1233</v>
      </c>
      <c r="L85" s="51">
        <f>VLOOKUP($A85,'Data Vlaue (Cr)'!$C:$FB,62)*100</f>
        <v>71.59</v>
      </c>
      <c r="M85" s="51">
        <f>VLOOKUP($A85,'Data Vlaue (Cr)'!$C:$FB,63)</f>
        <v>1242</v>
      </c>
      <c r="N85" s="51">
        <f>VLOOKUP($A85,'Data Vlaue (Cr)'!$C:$FB,64)</f>
        <v>709</v>
      </c>
      <c r="O85" s="51">
        <f>VLOOKUP($A85,'Data Vlaue (Cr)'!$C:$FB,66)*100</f>
        <v>75.290000000000006</v>
      </c>
    </row>
    <row r="86" spans="1:15" x14ac:dyDescent="0.25">
      <c r="A86" s="101" t="str">
        <f>'Data Vlaue (Cr)'!C81</f>
        <v>HINDPETRO</v>
      </c>
      <c r="B86" s="50">
        <f>VLOOKUP($A86,'Data Vlaue (Cr)'!$C:$FB,8)</f>
        <v>451.95</v>
      </c>
      <c r="C86" s="50">
        <f>VLOOKUP($A86,'Data Vlaue (Cr)'!$C:$FB,11)*100</f>
        <v>0.74</v>
      </c>
      <c r="D86" s="50">
        <f>VLOOKUP($A86,'Data Vlaue (Cr)'!$C:$FB,143)</f>
        <v>2742.9</v>
      </c>
      <c r="E86" s="50">
        <f>VLOOKUP($A86,'Data Vlaue (Cr)'!$C:$FB,144)</f>
        <v>2810.9</v>
      </c>
      <c r="F86" s="50">
        <f>VLOOKUP($A86,'Data Vlaue (Cr)'!$C:$FB,146)*100</f>
        <v>-2.42</v>
      </c>
      <c r="G86" s="49">
        <f>VLOOKUP($A86,'Data Vlaue (Cr)'!$C:$FB,43)</f>
        <v>507</v>
      </c>
      <c r="H86" s="49">
        <f>VLOOKUP($A86,'Data Vlaue (Cr)'!$C:$FB,44)</f>
        <v>494</v>
      </c>
      <c r="I86" s="49">
        <f>VLOOKUP($A86,'Data Vlaue (Cr)'!$C:$FB,46)*100</f>
        <v>2.6100000000000003</v>
      </c>
      <c r="J86" s="51">
        <f>VLOOKUP($A86,'Data Vlaue (Cr)'!$C:$FB,59)</f>
        <v>1430</v>
      </c>
      <c r="K86" s="51">
        <f>VLOOKUP($A86,'Data Vlaue (Cr)'!$C:$FB,60)</f>
        <v>1636</v>
      </c>
      <c r="L86" s="51">
        <f>VLOOKUP($A86,'Data Vlaue (Cr)'!$C:$FB,62)*100</f>
        <v>-12.57</v>
      </c>
      <c r="M86" s="51">
        <f>VLOOKUP($A86,'Data Vlaue (Cr)'!$C:$FB,63)</f>
        <v>752</v>
      </c>
      <c r="N86" s="51">
        <f>VLOOKUP($A86,'Data Vlaue (Cr)'!$C:$FB,64)</f>
        <v>616</v>
      </c>
      <c r="O86" s="51">
        <f>VLOOKUP($A86,'Data Vlaue (Cr)'!$C:$FB,66)*100</f>
        <v>22.11</v>
      </c>
    </row>
    <row r="87" spans="1:15" x14ac:dyDescent="0.25">
      <c r="A87" s="101" t="str">
        <f>'Data Vlaue (Cr)'!C82</f>
        <v>HINDUNILVR</v>
      </c>
      <c r="B87" s="50">
        <f>VLOOKUP($A87,'Data Vlaue (Cr)'!$C:$FB,8)</f>
        <v>2561.5</v>
      </c>
      <c r="C87" s="50">
        <f>VLOOKUP($A87,'Data Vlaue (Cr)'!$C:$FB,11)*100</f>
        <v>1.69</v>
      </c>
      <c r="D87" s="50">
        <f>VLOOKUP($A87,'Data Vlaue (Cr)'!$C:$FB,143)</f>
        <v>4111.3599999999997</v>
      </c>
      <c r="E87" s="50">
        <f>VLOOKUP($A87,'Data Vlaue (Cr)'!$C:$FB,144)</f>
        <v>2027.07</v>
      </c>
      <c r="F87" s="50">
        <f>VLOOKUP($A87,'Data Vlaue (Cr)'!$C:$FB,146)*100</f>
        <v>102.82</v>
      </c>
      <c r="G87" s="49">
        <f>VLOOKUP($A87,'Data Vlaue (Cr)'!$C:$FB,43)</f>
        <v>674</v>
      </c>
      <c r="H87" s="49">
        <f>VLOOKUP($A87,'Data Vlaue (Cr)'!$C:$FB,44)</f>
        <v>338</v>
      </c>
      <c r="I87" s="49">
        <f>VLOOKUP($A87,'Data Vlaue (Cr)'!$C:$FB,46)*100</f>
        <v>99.27</v>
      </c>
      <c r="J87" s="51">
        <f>VLOOKUP($A87,'Data Vlaue (Cr)'!$C:$FB,59)</f>
        <v>2246</v>
      </c>
      <c r="K87" s="51">
        <f>VLOOKUP($A87,'Data Vlaue (Cr)'!$C:$FB,60)</f>
        <v>1102</v>
      </c>
      <c r="L87" s="51">
        <f>VLOOKUP($A87,'Data Vlaue (Cr)'!$C:$FB,62)*100</f>
        <v>103.82000000000001</v>
      </c>
      <c r="M87" s="51">
        <f>VLOOKUP($A87,'Data Vlaue (Cr)'!$C:$FB,63)</f>
        <v>1171</v>
      </c>
      <c r="N87" s="51">
        <f>VLOOKUP($A87,'Data Vlaue (Cr)'!$C:$FB,64)</f>
        <v>588</v>
      </c>
      <c r="O87" s="51">
        <f>VLOOKUP($A87,'Data Vlaue (Cr)'!$C:$FB,66)*100</f>
        <v>99.18</v>
      </c>
    </row>
    <row r="88" spans="1:15" x14ac:dyDescent="0.25">
      <c r="A88" s="101" t="str">
        <f>'Data Vlaue (Cr)'!C83</f>
        <v>HINDZINC</v>
      </c>
      <c r="B88" s="50">
        <f>VLOOKUP($A88,'Data Vlaue (Cr)'!$C:$FB,8)</f>
        <v>506.7</v>
      </c>
      <c r="C88" s="50">
        <f>VLOOKUP($A88,'Data Vlaue (Cr)'!$C:$FB,11)*100</f>
        <v>-1.27</v>
      </c>
      <c r="D88" s="50">
        <f>VLOOKUP($A88,'Data Vlaue (Cr)'!$C:$FB,143)</f>
        <v>1993.13</v>
      </c>
      <c r="E88" s="50">
        <f>VLOOKUP($A88,'Data Vlaue (Cr)'!$C:$FB,144)</f>
        <v>3284.64</v>
      </c>
      <c r="F88" s="50">
        <f>VLOOKUP($A88,'Data Vlaue (Cr)'!$C:$FB,146)*100</f>
        <v>-39.32</v>
      </c>
      <c r="G88" s="49">
        <f>VLOOKUP($A88,'Data Vlaue (Cr)'!$C:$FB,43)</f>
        <v>333</v>
      </c>
      <c r="H88" s="49">
        <f>VLOOKUP($A88,'Data Vlaue (Cr)'!$C:$FB,44)</f>
        <v>515</v>
      </c>
      <c r="I88" s="49">
        <f>VLOOKUP($A88,'Data Vlaue (Cr)'!$C:$FB,46)*100</f>
        <v>-35.380000000000003</v>
      </c>
      <c r="J88" s="51">
        <f>VLOOKUP($A88,'Data Vlaue (Cr)'!$C:$FB,59)</f>
        <v>1187</v>
      </c>
      <c r="K88" s="51">
        <f>VLOOKUP($A88,'Data Vlaue (Cr)'!$C:$FB,60)</f>
        <v>2041</v>
      </c>
      <c r="L88" s="51">
        <f>VLOOKUP($A88,'Data Vlaue (Cr)'!$C:$FB,62)*100</f>
        <v>-41.83</v>
      </c>
      <c r="M88" s="51">
        <f>VLOOKUP($A88,'Data Vlaue (Cr)'!$C:$FB,63)</f>
        <v>408</v>
      </c>
      <c r="N88" s="51">
        <f>VLOOKUP($A88,'Data Vlaue (Cr)'!$C:$FB,64)</f>
        <v>613</v>
      </c>
      <c r="O88" s="51">
        <f>VLOOKUP($A88,'Data Vlaue (Cr)'!$C:$FB,66)*100</f>
        <v>-33.39</v>
      </c>
    </row>
    <row r="89" spans="1:15" x14ac:dyDescent="0.25">
      <c r="A89" s="101" t="str">
        <f>'Data Vlaue (Cr)'!C84</f>
        <v>HUDCO</v>
      </c>
      <c r="B89" s="50">
        <f>VLOOKUP($A89,'Data Vlaue (Cr)'!$C:$FB,8)</f>
        <v>227.99</v>
      </c>
      <c r="C89" s="50">
        <f>VLOOKUP($A89,'Data Vlaue (Cr)'!$C:$FB,11)*100</f>
        <v>-0.33999999999999997</v>
      </c>
      <c r="D89" s="50">
        <f>VLOOKUP($A89,'Data Vlaue (Cr)'!$C:$FB,143)</f>
        <v>721.49</v>
      </c>
      <c r="E89" s="50">
        <f>VLOOKUP($A89,'Data Vlaue (Cr)'!$C:$FB,144)</f>
        <v>598.44000000000005</v>
      </c>
      <c r="F89" s="50">
        <f>VLOOKUP($A89,'Data Vlaue (Cr)'!$C:$FB,146)*100</f>
        <v>20.560000000000002</v>
      </c>
      <c r="G89" s="49">
        <f>VLOOKUP($A89,'Data Vlaue (Cr)'!$C:$FB,43)</f>
        <v>114</v>
      </c>
      <c r="H89" s="49">
        <f>VLOOKUP($A89,'Data Vlaue (Cr)'!$C:$FB,44)</f>
        <v>123</v>
      </c>
      <c r="I89" s="49">
        <f>VLOOKUP($A89,'Data Vlaue (Cr)'!$C:$FB,46)*100</f>
        <v>-7.3800000000000008</v>
      </c>
      <c r="J89" s="51">
        <f>VLOOKUP($A89,'Data Vlaue (Cr)'!$C:$FB,59)</f>
        <v>438</v>
      </c>
      <c r="K89" s="51">
        <f>VLOOKUP($A89,'Data Vlaue (Cr)'!$C:$FB,60)</f>
        <v>321</v>
      </c>
      <c r="L89" s="51">
        <f>VLOOKUP($A89,'Data Vlaue (Cr)'!$C:$FB,62)*100</f>
        <v>36.29</v>
      </c>
      <c r="M89" s="51">
        <f>VLOOKUP($A89,'Data Vlaue (Cr)'!$C:$FB,63)</f>
        <v>145</v>
      </c>
      <c r="N89" s="51">
        <f>VLOOKUP($A89,'Data Vlaue (Cr)'!$C:$FB,64)</f>
        <v>141</v>
      </c>
      <c r="O89" s="51">
        <f>VLOOKUP($A89,'Data Vlaue (Cr)'!$C:$FB,66)*100</f>
        <v>3.0700000000000003</v>
      </c>
    </row>
    <row r="90" spans="1:15" x14ac:dyDescent="0.25">
      <c r="A90" s="101" t="str">
        <f>'Data Vlaue (Cr)'!C85</f>
        <v>ICICIBANK</v>
      </c>
      <c r="B90" s="50">
        <f>VLOOKUP($A90,'Data Vlaue (Cr)'!$C:$FB,8)</f>
        <v>1417.3</v>
      </c>
      <c r="C90" s="50">
        <f>VLOOKUP($A90,'Data Vlaue (Cr)'!$C:$FB,11)*100</f>
        <v>1.35</v>
      </c>
      <c r="D90" s="50">
        <f>VLOOKUP($A90,'Data Vlaue (Cr)'!$C:$FB,143)</f>
        <v>12740.51</v>
      </c>
      <c r="E90" s="50">
        <f>VLOOKUP($A90,'Data Vlaue (Cr)'!$C:$FB,144)</f>
        <v>9013.36</v>
      </c>
      <c r="F90" s="50">
        <f>VLOOKUP($A90,'Data Vlaue (Cr)'!$C:$FB,146)*100</f>
        <v>41.349999999999994</v>
      </c>
      <c r="G90" s="49">
        <f>VLOOKUP($A90,'Data Vlaue (Cr)'!$C:$FB,43)</f>
        <v>3088</v>
      </c>
      <c r="H90" s="49">
        <f>VLOOKUP($A90,'Data Vlaue (Cr)'!$C:$FB,44)</f>
        <v>1695</v>
      </c>
      <c r="I90" s="49">
        <f>VLOOKUP($A90,'Data Vlaue (Cr)'!$C:$FB,46)*100</f>
        <v>82.210000000000008</v>
      </c>
      <c r="J90" s="51">
        <f>VLOOKUP($A90,'Data Vlaue (Cr)'!$C:$FB,59)</f>
        <v>6374</v>
      </c>
      <c r="K90" s="51">
        <f>VLOOKUP($A90,'Data Vlaue (Cr)'!$C:$FB,60)</f>
        <v>4334</v>
      </c>
      <c r="L90" s="51">
        <f>VLOOKUP($A90,'Data Vlaue (Cr)'!$C:$FB,62)*100</f>
        <v>47.06</v>
      </c>
      <c r="M90" s="51">
        <f>VLOOKUP($A90,'Data Vlaue (Cr)'!$C:$FB,63)</f>
        <v>3236</v>
      </c>
      <c r="N90" s="51">
        <f>VLOOKUP($A90,'Data Vlaue (Cr)'!$C:$FB,64)</f>
        <v>3041</v>
      </c>
      <c r="O90" s="51">
        <f>VLOOKUP($A90,'Data Vlaue (Cr)'!$C:$FB,66)*100</f>
        <v>6.43</v>
      </c>
    </row>
    <row r="91" spans="1:15" x14ac:dyDescent="0.25">
      <c r="A91" s="101" t="str">
        <f>'Data Vlaue (Cr)'!C86</f>
        <v>ICICIGI</v>
      </c>
      <c r="B91" s="50">
        <f>VLOOKUP($A91,'Data Vlaue (Cr)'!$C:$FB,8)</f>
        <v>2010.1</v>
      </c>
      <c r="C91" s="50">
        <f>VLOOKUP($A91,'Data Vlaue (Cr)'!$C:$FB,11)*100</f>
        <v>-0.5</v>
      </c>
      <c r="D91" s="50">
        <f>VLOOKUP($A91,'Data Vlaue (Cr)'!$C:$FB,143)</f>
        <v>3279.48</v>
      </c>
      <c r="E91" s="50">
        <f>VLOOKUP($A91,'Data Vlaue (Cr)'!$C:$FB,144)</f>
        <v>16069.57</v>
      </c>
      <c r="F91" s="50">
        <f>VLOOKUP($A91,'Data Vlaue (Cr)'!$C:$FB,146)*100</f>
        <v>-79.59</v>
      </c>
      <c r="G91" s="49">
        <f>VLOOKUP($A91,'Data Vlaue (Cr)'!$C:$FB,43)</f>
        <v>289</v>
      </c>
      <c r="H91" s="49">
        <f>VLOOKUP($A91,'Data Vlaue (Cr)'!$C:$FB,44)</f>
        <v>1118</v>
      </c>
      <c r="I91" s="49">
        <f>VLOOKUP($A91,'Data Vlaue (Cr)'!$C:$FB,46)*100</f>
        <v>-74.11</v>
      </c>
      <c r="J91" s="51">
        <f>VLOOKUP($A91,'Data Vlaue (Cr)'!$C:$FB,59)</f>
        <v>1640</v>
      </c>
      <c r="K91" s="51">
        <f>VLOOKUP($A91,'Data Vlaue (Cr)'!$C:$FB,60)</f>
        <v>10186</v>
      </c>
      <c r="L91" s="51">
        <f>VLOOKUP($A91,'Data Vlaue (Cr)'!$C:$FB,62)*100</f>
        <v>-83.899999999999991</v>
      </c>
      <c r="M91" s="51">
        <f>VLOOKUP($A91,'Data Vlaue (Cr)'!$C:$FB,63)</f>
        <v>1313</v>
      </c>
      <c r="N91" s="51">
        <f>VLOOKUP($A91,'Data Vlaue (Cr)'!$C:$FB,64)</f>
        <v>4663</v>
      </c>
      <c r="O91" s="51">
        <f>VLOOKUP($A91,'Data Vlaue (Cr)'!$C:$FB,66)*100</f>
        <v>-71.850000000000009</v>
      </c>
    </row>
    <row r="92" spans="1:15" x14ac:dyDescent="0.25">
      <c r="A92" s="101" t="str">
        <f>'Data Vlaue (Cr)'!C87</f>
        <v>ICICIPRULI</v>
      </c>
      <c r="B92" s="50">
        <f>VLOOKUP($A92,'Data Vlaue (Cr)'!$C:$FB,8)</f>
        <v>587</v>
      </c>
      <c r="C92" s="50">
        <f>VLOOKUP($A92,'Data Vlaue (Cr)'!$C:$FB,11)*100</f>
        <v>-0.16999999999999998</v>
      </c>
      <c r="D92" s="50">
        <f>VLOOKUP($A92,'Data Vlaue (Cr)'!$C:$FB,143)</f>
        <v>884.66</v>
      </c>
      <c r="E92" s="50">
        <f>VLOOKUP($A92,'Data Vlaue (Cr)'!$C:$FB,144)</f>
        <v>3673.32</v>
      </c>
      <c r="F92" s="50">
        <f>VLOOKUP($A92,'Data Vlaue (Cr)'!$C:$FB,146)*100</f>
        <v>-75.92</v>
      </c>
      <c r="G92" s="49">
        <f>VLOOKUP($A92,'Data Vlaue (Cr)'!$C:$FB,43)</f>
        <v>117</v>
      </c>
      <c r="H92" s="49">
        <f>VLOOKUP($A92,'Data Vlaue (Cr)'!$C:$FB,44)</f>
        <v>423</v>
      </c>
      <c r="I92" s="49">
        <f>VLOOKUP($A92,'Data Vlaue (Cr)'!$C:$FB,46)*100</f>
        <v>-72.47</v>
      </c>
      <c r="J92" s="51">
        <f>VLOOKUP($A92,'Data Vlaue (Cr)'!$C:$FB,59)</f>
        <v>553</v>
      </c>
      <c r="K92" s="51">
        <f>VLOOKUP($A92,'Data Vlaue (Cr)'!$C:$FB,60)</f>
        <v>2193</v>
      </c>
      <c r="L92" s="51">
        <f>VLOOKUP($A92,'Data Vlaue (Cr)'!$C:$FB,62)*100</f>
        <v>-74.77000000000001</v>
      </c>
      <c r="M92" s="51">
        <f>VLOOKUP($A92,'Data Vlaue (Cr)'!$C:$FB,63)</f>
        <v>196</v>
      </c>
      <c r="N92" s="51">
        <f>VLOOKUP($A92,'Data Vlaue (Cr)'!$C:$FB,64)</f>
        <v>964</v>
      </c>
      <c r="O92" s="51">
        <f>VLOOKUP($A92,'Data Vlaue (Cr)'!$C:$FB,66)*100</f>
        <v>-79.66</v>
      </c>
    </row>
    <row r="93" spans="1:15" x14ac:dyDescent="0.25">
      <c r="A93" s="101" t="str">
        <f>'Data Vlaue (Cr)'!C88</f>
        <v>IDEA</v>
      </c>
      <c r="B93" s="50">
        <f>VLOOKUP($A93,'Data Vlaue (Cr)'!$C:$FB,8)</f>
        <v>8.85</v>
      </c>
      <c r="C93" s="50">
        <f>VLOOKUP($A93,'Data Vlaue (Cr)'!$C:$FB,11)*100</f>
        <v>1.1400000000000001</v>
      </c>
      <c r="D93" s="50">
        <f>VLOOKUP($A93,'Data Vlaue (Cr)'!$C:$FB,143)</f>
        <v>1569.59</v>
      </c>
      <c r="E93" s="50">
        <f>VLOOKUP($A93,'Data Vlaue (Cr)'!$C:$FB,144)</f>
        <v>2930.08</v>
      </c>
      <c r="F93" s="50">
        <f>VLOOKUP($A93,'Data Vlaue (Cr)'!$C:$FB,146)*100</f>
        <v>-46.43</v>
      </c>
      <c r="G93" s="49">
        <f>VLOOKUP($A93,'Data Vlaue (Cr)'!$C:$FB,43)</f>
        <v>601</v>
      </c>
      <c r="H93" s="49">
        <f>VLOOKUP($A93,'Data Vlaue (Cr)'!$C:$FB,44)</f>
        <v>971</v>
      </c>
      <c r="I93" s="49">
        <f>VLOOKUP($A93,'Data Vlaue (Cr)'!$C:$FB,46)*100</f>
        <v>-38.1</v>
      </c>
      <c r="J93" s="51">
        <f>VLOOKUP($A93,'Data Vlaue (Cr)'!$C:$FB,59)</f>
        <v>640</v>
      </c>
      <c r="K93" s="51">
        <f>VLOOKUP($A93,'Data Vlaue (Cr)'!$C:$FB,60)</f>
        <v>1542</v>
      </c>
      <c r="L93" s="51">
        <f>VLOOKUP($A93,'Data Vlaue (Cr)'!$C:$FB,62)*100</f>
        <v>-58.47</v>
      </c>
      <c r="M93" s="51">
        <f>VLOOKUP($A93,'Data Vlaue (Cr)'!$C:$FB,63)</f>
        <v>260</v>
      </c>
      <c r="N93" s="51">
        <f>VLOOKUP($A93,'Data Vlaue (Cr)'!$C:$FB,64)</f>
        <v>290</v>
      </c>
      <c r="O93" s="51">
        <f>VLOOKUP($A93,'Data Vlaue (Cr)'!$C:$FB,66)*100</f>
        <v>-10.08</v>
      </c>
    </row>
    <row r="94" spans="1:15" x14ac:dyDescent="0.25">
      <c r="A94" s="101" t="str">
        <f>'Data Vlaue (Cr)'!C89</f>
        <v>IDFCFIRSTB</v>
      </c>
      <c r="B94" s="50">
        <f>VLOOKUP($A94,'Data Vlaue (Cr)'!$C:$FB,8)</f>
        <v>71.790000000000006</v>
      </c>
      <c r="C94" s="50">
        <f>VLOOKUP($A94,'Data Vlaue (Cr)'!$C:$FB,11)*100</f>
        <v>-1.6199999999999999</v>
      </c>
      <c r="D94" s="50">
        <f>VLOOKUP($A94,'Data Vlaue (Cr)'!$C:$FB,143)</f>
        <v>2324.25</v>
      </c>
      <c r="E94" s="50">
        <f>VLOOKUP($A94,'Data Vlaue (Cr)'!$C:$FB,144)</f>
        <v>1281.8</v>
      </c>
      <c r="F94" s="50">
        <f>VLOOKUP($A94,'Data Vlaue (Cr)'!$C:$FB,146)*100</f>
        <v>81.33</v>
      </c>
      <c r="G94" s="49">
        <f>VLOOKUP($A94,'Data Vlaue (Cr)'!$C:$FB,43)</f>
        <v>701</v>
      </c>
      <c r="H94" s="49">
        <f>VLOOKUP($A94,'Data Vlaue (Cr)'!$C:$FB,44)</f>
        <v>414</v>
      </c>
      <c r="I94" s="49">
        <f>VLOOKUP($A94,'Data Vlaue (Cr)'!$C:$FB,46)*100</f>
        <v>69.45</v>
      </c>
      <c r="J94" s="51">
        <f>VLOOKUP($A94,'Data Vlaue (Cr)'!$C:$FB,59)</f>
        <v>1007</v>
      </c>
      <c r="K94" s="51">
        <f>VLOOKUP($A94,'Data Vlaue (Cr)'!$C:$FB,60)</f>
        <v>518</v>
      </c>
      <c r="L94" s="51">
        <f>VLOOKUP($A94,'Data Vlaue (Cr)'!$C:$FB,62)*100</f>
        <v>94.210000000000008</v>
      </c>
      <c r="M94" s="51">
        <f>VLOOKUP($A94,'Data Vlaue (Cr)'!$C:$FB,63)</f>
        <v>551</v>
      </c>
      <c r="N94" s="51">
        <f>VLOOKUP($A94,'Data Vlaue (Cr)'!$C:$FB,64)</f>
        <v>298</v>
      </c>
      <c r="O94" s="51">
        <f>VLOOKUP($A94,'Data Vlaue (Cr)'!$C:$FB,66)*100</f>
        <v>84.64</v>
      </c>
    </row>
    <row r="95" spans="1:15" x14ac:dyDescent="0.25">
      <c r="A95" s="101" t="str">
        <f>'Data Vlaue (Cr)'!C90</f>
        <v>IEX</v>
      </c>
      <c r="B95" s="50">
        <f>VLOOKUP($A95,'Data Vlaue (Cr)'!$C:$FB,8)</f>
        <v>134.79</v>
      </c>
      <c r="C95" s="50">
        <f>VLOOKUP($A95,'Data Vlaue (Cr)'!$C:$FB,11)*100</f>
        <v>-0.42</v>
      </c>
      <c r="D95" s="50">
        <f>VLOOKUP($A95,'Data Vlaue (Cr)'!$C:$FB,143)</f>
        <v>779.96</v>
      </c>
      <c r="E95" s="50">
        <f>VLOOKUP($A95,'Data Vlaue (Cr)'!$C:$FB,144)</f>
        <v>1095.1099999999999</v>
      </c>
      <c r="F95" s="50">
        <f>VLOOKUP($A95,'Data Vlaue (Cr)'!$C:$FB,146)*100</f>
        <v>-28.78</v>
      </c>
      <c r="G95" s="49">
        <f>VLOOKUP($A95,'Data Vlaue (Cr)'!$C:$FB,43)</f>
        <v>163</v>
      </c>
      <c r="H95" s="49">
        <f>VLOOKUP($A95,'Data Vlaue (Cr)'!$C:$FB,44)</f>
        <v>375</v>
      </c>
      <c r="I95" s="49">
        <f>VLOOKUP($A95,'Data Vlaue (Cr)'!$C:$FB,46)*100</f>
        <v>-56.63</v>
      </c>
      <c r="J95" s="51">
        <f>VLOOKUP($A95,'Data Vlaue (Cr)'!$C:$FB,59)</f>
        <v>374</v>
      </c>
      <c r="K95" s="51">
        <f>VLOOKUP($A95,'Data Vlaue (Cr)'!$C:$FB,60)</f>
        <v>405</v>
      </c>
      <c r="L95" s="51">
        <f>VLOOKUP($A95,'Data Vlaue (Cr)'!$C:$FB,62)*100</f>
        <v>-7.7700000000000005</v>
      </c>
      <c r="M95" s="51">
        <f>VLOOKUP($A95,'Data Vlaue (Cr)'!$C:$FB,63)</f>
        <v>220</v>
      </c>
      <c r="N95" s="51">
        <f>VLOOKUP($A95,'Data Vlaue (Cr)'!$C:$FB,64)</f>
        <v>278</v>
      </c>
      <c r="O95" s="51">
        <f>VLOOKUP($A95,'Data Vlaue (Cr)'!$C:$FB,66)*100</f>
        <v>-20.93</v>
      </c>
    </row>
    <row r="96" spans="1:15" x14ac:dyDescent="0.25">
      <c r="A96" s="101" t="str">
        <f>'Data Vlaue (Cr)'!C91</f>
        <v>IGL</v>
      </c>
      <c r="B96" s="50">
        <f>VLOOKUP($A96,'Data Vlaue (Cr)'!$C:$FB,8)</f>
        <v>213.67</v>
      </c>
      <c r="C96" s="50">
        <f>VLOOKUP($A96,'Data Vlaue (Cr)'!$C:$FB,11)*100</f>
        <v>0.82000000000000006</v>
      </c>
      <c r="D96" s="50">
        <f>VLOOKUP($A96,'Data Vlaue (Cr)'!$C:$FB,143)</f>
        <v>312.25</v>
      </c>
      <c r="E96" s="50">
        <f>VLOOKUP($A96,'Data Vlaue (Cr)'!$C:$FB,144)</f>
        <v>624.65</v>
      </c>
      <c r="F96" s="50">
        <f>VLOOKUP($A96,'Data Vlaue (Cr)'!$C:$FB,146)*100</f>
        <v>-50.01</v>
      </c>
      <c r="G96" s="49">
        <f>VLOOKUP($A96,'Data Vlaue (Cr)'!$C:$FB,43)</f>
        <v>69</v>
      </c>
      <c r="H96" s="49">
        <f>VLOOKUP($A96,'Data Vlaue (Cr)'!$C:$FB,44)</f>
        <v>130</v>
      </c>
      <c r="I96" s="49">
        <f>VLOOKUP($A96,'Data Vlaue (Cr)'!$C:$FB,46)*100</f>
        <v>-46.9</v>
      </c>
      <c r="J96" s="51">
        <f>VLOOKUP($A96,'Data Vlaue (Cr)'!$C:$FB,59)</f>
        <v>167</v>
      </c>
      <c r="K96" s="51">
        <f>VLOOKUP($A96,'Data Vlaue (Cr)'!$C:$FB,60)</f>
        <v>327</v>
      </c>
      <c r="L96" s="51">
        <f>VLOOKUP($A96,'Data Vlaue (Cr)'!$C:$FB,62)*100</f>
        <v>-48.9</v>
      </c>
      <c r="M96" s="51">
        <f>VLOOKUP($A96,'Data Vlaue (Cr)'!$C:$FB,63)</f>
        <v>69</v>
      </c>
      <c r="N96" s="51">
        <f>VLOOKUP($A96,'Data Vlaue (Cr)'!$C:$FB,64)</f>
        <v>156</v>
      </c>
      <c r="O96" s="51">
        <f>VLOOKUP($A96,'Data Vlaue (Cr)'!$C:$FB,66)*100</f>
        <v>-55.92</v>
      </c>
    </row>
    <row r="97" spans="1:15" x14ac:dyDescent="0.25">
      <c r="A97" s="101" t="str">
        <f>'Data Vlaue (Cr)'!C92</f>
        <v>IIFL</v>
      </c>
      <c r="B97" s="50">
        <f>VLOOKUP($A97,'Data Vlaue (Cr)'!$C:$FB,8)</f>
        <v>499.9</v>
      </c>
      <c r="C97" s="50">
        <f>VLOOKUP($A97,'Data Vlaue (Cr)'!$C:$FB,11)*100</f>
        <v>-1.25</v>
      </c>
      <c r="D97" s="50">
        <f>VLOOKUP($A97,'Data Vlaue (Cr)'!$C:$FB,143)</f>
        <v>433.33</v>
      </c>
      <c r="E97" s="50">
        <f>VLOOKUP($A97,'Data Vlaue (Cr)'!$C:$FB,144)</f>
        <v>1551.67</v>
      </c>
      <c r="F97" s="50">
        <f>VLOOKUP($A97,'Data Vlaue (Cr)'!$C:$FB,146)*100</f>
        <v>-72.070000000000007</v>
      </c>
      <c r="G97" s="49">
        <f>VLOOKUP($A97,'Data Vlaue (Cr)'!$C:$FB,43)</f>
        <v>107</v>
      </c>
      <c r="H97" s="49">
        <f>VLOOKUP($A97,'Data Vlaue (Cr)'!$C:$FB,44)</f>
        <v>276</v>
      </c>
      <c r="I97" s="49">
        <f>VLOOKUP($A97,'Data Vlaue (Cr)'!$C:$FB,46)*100</f>
        <v>-61.27</v>
      </c>
      <c r="J97" s="51">
        <f>VLOOKUP($A97,'Data Vlaue (Cr)'!$C:$FB,59)</f>
        <v>213</v>
      </c>
      <c r="K97" s="51">
        <f>VLOOKUP($A97,'Data Vlaue (Cr)'!$C:$FB,60)</f>
        <v>897</v>
      </c>
      <c r="L97" s="51">
        <f>VLOOKUP($A97,'Data Vlaue (Cr)'!$C:$FB,62)*100</f>
        <v>-76.290000000000006</v>
      </c>
      <c r="M97" s="51">
        <f>VLOOKUP($A97,'Data Vlaue (Cr)'!$C:$FB,63)</f>
        <v>106</v>
      </c>
      <c r="N97" s="51">
        <f>VLOOKUP($A97,'Data Vlaue (Cr)'!$C:$FB,64)</f>
        <v>351</v>
      </c>
      <c r="O97" s="51">
        <f>VLOOKUP($A97,'Data Vlaue (Cr)'!$C:$FB,66)*100</f>
        <v>-69.94</v>
      </c>
    </row>
    <row r="98" spans="1:15" x14ac:dyDescent="0.25">
      <c r="A98" s="101" t="str">
        <f>'Data Vlaue (Cr)'!C93</f>
        <v>INDHOTEL</v>
      </c>
      <c r="B98" s="50">
        <f>VLOOKUP($A98,'Data Vlaue (Cr)'!$C:$FB,8)</f>
        <v>738.05</v>
      </c>
      <c r="C98" s="50">
        <f>VLOOKUP($A98,'Data Vlaue (Cr)'!$C:$FB,11)*100</f>
        <v>1.4200000000000002</v>
      </c>
      <c r="D98" s="50">
        <f>VLOOKUP($A98,'Data Vlaue (Cr)'!$C:$FB,143)</f>
        <v>1750.75</v>
      </c>
      <c r="E98" s="50">
        <f>VLOOKUP($A98,'Data Vlaue (Cr)'!$C:$FB,144)</f>
        <v>2189.54</v>
      </c>
      <c r="F98" s="50">
        <f>VLOOKUP($A98,'Data Vlaue (Cr)'!$C:$FB,146)*100</f>
        <v>-20.04</v>
      </c>
      <c r="G98" s="49">
        <f>VLOOKUP($A98,'Data Vlaue (Cr)'!$C:$FB,43)</f>
        <v>306</v>
      </c>
      <c r="H98" s="49">
        <f>VLOOKUP($A98,'Data Vlaue (Cr)'!$C:$FB,44)</f>
        <v>395</v>
      </c>
      <c r="I98" s="49">
        <f>VLOOKUP($A98,'Data Vlaue (Cr)'!$C:$FB,46)*100</f>
        <v>-22.58</v>
      </c>
      <c r="J98" s="51">
        <f>VLOOKUP($A98,'Data Vlaue (Cr)'!$C:$FB,59)</f>
        <v>1018</v>
      </c>
      <c r="K98" s="51">
        <f>VLOOKUP($A98,'Data Vlaue (Cr)'!$C:$FB,60)</f>
        <v>1395</v>
      </c>
      <c r="L98" s="51">
        <f>VLOOKUP($A98,'Data Vlaue (Cr)'!$C:$FB,62)*100</f>
        <v>-27</v>
      </c>
      <c r="M98" s="51">
        <f>VLOOKUP($A98,'Data Vlaue (Cr)'!$C:$FB,63)</f>
        <v>400</v>
      </c>
      <c r="N98" s="51">
        <f>VLOOKUP($A98,'Data Vlaue (Cr)'!$C:$FB,64)</f>
        <v>376</v>
      </c>
      <c r="O98" s="51">
        <f>VLOOKUP($A98,'Data Vlaue (Cr)'!$C:$FB,66)*100</f>
        <v>6.35</v>
      </c>
    </row>
    <row r="99" spans="1:15" x14ac:dyDescent="0.25">
      <c r="A99" s="101" t="str">
        <f>'Data Vlaue (Cr)'!C94</f>
        <v>INDIANB</v>
      </c>
      <c r="B99" s="50">
        <f>VLOOKUP($A99,'Data Vlaue (Cr)'!$C:$FB,8)</f>
        <v>771.05</v>
      </c>
      <c r="C99" s="50">
        <f>VLOOKUP($A99,'Data Vlaue (Cr)'!$C:$FB,11)*100</f>
        <v>-0.54999999999999993</v>
      </c>
      <c r="D99" s="50">
        <f>VLOOKUP($A99,'Data Vlaue (Cr)'!$C:$FB,143)</f>
        <v>4860.51</v>
      </c>
      <c r="E99" s="50">
        <f>VLOOKUP($A99,'Data Vlaue (Cr)'!$C:$FB,144)</f>
        <v>500.66</v>
      </c>
      <c r="F99" s="50">
        <f>VLOOKUP($A99,'Data Vlaue (Cr)'!$C:$FB,146)*100</f>
        <v>870.81999999999994</v>
      </c>
      <c r="G99" s="49">
        <f>VLOOKUP($A99,'Data Vlaue (Cr)'!$C:$FB,43)</f>
        <v>774</v>
      </c>
      <c r="H99" s="49">
        <f>VLOOKUP($A99,'Data Vlaue (Cr)'!$C:$FB,44)</f>
        <v>145</v>
      </c>
      <c r="I99" s="49">
        <f>VLOOKUP($A99,'Data Vlaue (Cr)'!$C:$FB,46)*100</f>
        <v>434.84999999999997</v>
      </c>
      <c r="J99" s="51">
        <f>VLOOKUP($A99,'Data Vlaue (Cr)'!$C:$FB,59)</f>
        <v>2732</v>
      </c>
      <c r="K99" s="51">
        <f>VLOOKUP($A99,'Data Vlaue (Cr)'!$C:$FB,60)</f>
        <v>230</v>
      </c>
      <c r="L99" s="51">
        <f>VLOOKUP($A99,'Data Vlaue (Cr)'!$C:$FB,62)*100</f>
        <v>1086.4100000000001</v>
      </c>
      <c r="M99" s="51">
        <f>VLOOKUP($A99,'Data Vlaue (Cr)'!$C:$FB,63)</f>
        <v>1200</v>
      </c>
      <c r="N99" s="51">
        <f>VLOOKUP($A99,'Data Vlaue (Cr)'!$C:$FB,64)</f>
        <v>117</v>
      </c>
      <c r="O99" s="51">
        <f>VLOOKUP($A99,'Data Vlaue (Cr)'!$C:$FB,66)*100</f>
        <v>929.82999999999993</v>
      </c>
    </row>
    <row r="100" spans="1:15" x14ac:dyDescent="0.25">
      <c r="A100" s="101" t="str">
        <f>'Data Vlaue (Cr)'!C95</f>
        <v>INDIAVIX</v>
      </c>
      <c r="B100" s="50">
        <f>VLOOKUP($A100,'Data Vlaue (Cr)'!$C:$FB,8)</f>
        <v>10.87</v>
      </c>
      <c r="C100" s="50">
        <f>VLOOKUP($A100,'Data Vlaue (Cr)'!$C:$FB,11)*100</f>
        <v>3.18</v>
      </c>
      <c r="D100" s="50">
        <f>VLOOKUP($A100,'Data Vlaue (Cr)'!$C:$FB,143)</f>
        <v>0</v>
      </c>
      <c r="E100" s="50">
        <f>VLOOKUP($A100,'Data Vlaue (Cr)'!$C:$FB,144)</f>
        <v>0</v>
      </c>
      <c r="F100" s="50">
        <f>VLOOKUP($A100,'Data Vlaue (Cr)'!$C:$FB,146)*100</f>
        <v>0</v>
      </c>
      <c r="G100" s="49">
        <f>VLOOKUP($A100,'Data Vlaue (Cr)'!$C:$FB,43)</f>
        <v>0</v>
      </c>
      <c r="H100" s="49">
        <f>VLOOKUP($A100,'Data Vlaue (Cr)'!$C:$FB,44)</f>
        <v>0</v>
      </c>
      <c r="I100" s="49">
        <f>VLOOKUP($A100,'Data Vlaue (Cr)'!$C:$FB,46)*100</f>
        <v>0</v>
      </c>
      <c r="J100" s="51">
        <f>VLOOKUP($A100,'Data Vlaue (Cr)'!$C:$FB,59)</f>
        <v>0</v>
      </c>
      <c r="K100" s="51">
        <f>VLOOKUP($A100,'Data Vlaue (Cr)'!$C:$FB,60)</f>
        <v>0</v>
      </c>
      <c r="L100" s="51">
        <f>VLOOKUP($A100,'Data Vlaue (Cr)'!$C:$FB,62)*100</f>
        <v>0</v>
      </c>
      <c r="M100" s="51">
        <f>VLOOKUP($A100,'Data Vlaue (Cr)'!$C:$FB,63)</f>
        <v>0</v>
      </c>
      <c r="N100" s="51">
        <f>VLOOKUP($A100,'Data Vlaue (Cr)'!$C:$FB,64)</f>
        <v>0</v>
      </c>
      <c r="O100" s="51">
        <f>VLOOKUP($A100,'Data Vlaue (Cr)'!$C:$FB,66)*100</f>
        <v>0</v>
      </c>
    </row>
    <row r="101" spans="1:15" x14ac:dyDescent="0.25">
      <c r="A101" s="101" t="str">
        <f>'Data Vlaue (Cr)'!C96</f>
        <v>INDIGO</v>
      </c>
      <c r="B101" s="50">
        <f>VLOOKUP($A101,'Data Vlaue (Cr)'!$C:$FB,8)</f>
        <v>5881</v>
      </c>
      <c r="C101" s="50">
        <f>VLOOKUP($A101,'Data Vlaue (Cr)'!$C:$FB,11)*100</f>
        <v>0.35000000000000003</v>
      </c>
      <c r="D101" s="50">
        <f>VLOOKUP($A101,'Data Vlaue (Cr)'!$C:$FB,143)</f>
        <v>3243.05</v>
      </c>
      <c r="E101" s="50">
        <f>VLOOKUP($A101,'Data Vlaue (Cr)'!$C:$FB,144)</f>
        <v>5104.72</v>
      </c>
      <c r="F101" s="50">
        <f>VLOOKUP($A101,'Data Vlaue (Cr)'!$C:$FB,146)*100</f>
        <v>-36.47</v>
      </c>
      <c r="G101" s="49">
        <f>VLOOKUP($A101,'Data Vlaue (Cr)'!$C:$FB,43)</f>
        <v>590</v>
      </c>
      <c r="H101" s="49">
        <f>VLOOKUP($A101,'Data Vlaue (Cr)'!$C:$FB,44)</f>
        <v>877</v>
      </c>
      <c r="I101" s="49">
        <f>VLOOKUP($A101,'Data Vlaue (Cr)'!$C:$FB,46)*100</f>
        <v>-32.71</v>
      </c>
      <c r="J101" s="51">
        <f>VLOOKUP($A101,'Data Vlaue (Cr)'!$C:$FB,59)</f>
        <v>1769</v>
      </c>
      <c r="K101" s="51">
        <f>VLOOKUP($A101,'Data Vlaue (Cr)'!$C:$FB,60)</f>
        <v>3009</v>
      </c>
      <c r="L101" s="51">
        <f>VLOOKUP($A101,'Data Vlaue (Cr)'!$C:$FB,62)*100</f>
        <v>-41.23</v>
      </c>
      <c r="M101" s="51">
        <f>VLOOKUP($A101,'Data Vlaue (Cr)'!$C:$FB,63)</f>
        <v>869</v>
      </c>
      <c r="N101" s="51">
        <f>VLOOKUP($A101,'Data Vlaue (Cr)'!$C:$FB,64)</f>
        <v>1226</v>
      </c>
      <c r="O101" s="51">
        <f>VLOOKUP($A101,'Data Vlaue (Cr)'!$C:$FB,66)*100</f>
        <v>-29.13</v>
      </c>
    </row>
    <row r="102" spans="1:15" x14ac:dyDescent="0.25">
      <c r="A102" s="101" t="str">
        <f>'Data Vlaue (Cr)'!C97</f>
        <v>INDUSINDBK</v>
      </c>
      <c r="B102" s="50">
        <f>VLOOKUP($A102,'Data Vlaue (Cr)'!$C:$FB,8)</f>
        <v>739.5</v>
      </c>
      <c r="C102" s="50">
        <f>VLOOKUP($A102,'Data Vlaue (Cr)'!$C:$FB,11)*100</f>
        <v>-0.08</v>
      </c>
      <c r="D102" s="50">
        <f>VLOOKUP($A102,'Data Vlaue (Cr)'!$C:$FB,143)</f>
        <v>1586.74</v>
      </c>
      <c r="E102" s="50">
        <f>VLOOKUP($A102,'Data Vlaue (Cr)'!$C:$FB,144)</f>
        <v>2350.71</v>
      </c>
      <c r="F102" s="50">
        <f>VLOOKUP($A102,'Data Vlaue (Cr)'!$C:$FB,146)*100</f>
        <v>-32.5</v>
      </c>
      <c r="G102" s="49">
        <f>VLOOKUP($A102,'Data Vlaue (Cr)'!$C:$FB,43)</f>
        <v>516</v>
      </c>
      <c r="H102" s="49">
        <f>VLOOKUP($A102,'Data Vlaue (Cr)'!$C:$FB,44)</f>
        <v>661</v>
      </c>
      <c r="I102" s="49">
        <f>VLOOKUP($A102,'Data Vlaue (Cr)'!$C:$FB,46)*100</f>
        <v>-21.93</v>
      </c>
      <c r="J102" s="51">
        <f>VLOOKUP($A102,'Data Vlaue (Cr)'!$C:$FB,59)</f>
        <v>676</v>
      </c>
      <c r="K102" s="51">
        <f>VLOOKUP($A102,'Data Vlaue (Cr)'!$C:$FB,60)</f>
        <v>967</v>
      </c>
      <c r="L102" s="51">
        <f>VLOOKUP($A102,'Data Vlaue (Cr)'!$C:$FB,62)*100</f>
        <v>-30.070000000000004</v>
      </c>
      <c r="M102" s="51">
        <f>VLOOKUP($A102,'Data Vlaue (Cr)'!$C:$FB,63)</f>
        <v>353</v>
      </c>
      <c r="N102" s="51">
        <f>VLOOKUP($A102,'Data Vlaue (Cr)'!$C:$FB,64)</f>
        <v>662</v>
      </c>
      <c r="O102" s="51">
        <f>VLOOKUP($A102,'Data Vlaue (Cr)'!$C:$FB,66)*100</f>
        <v>-46.64</v>
      </c>
    </row>
    <row r="103" spans="1:15" x14ac:dyDescent="0.25">
      <c r="A103" s="101" t="str">
        <f>'Data Vlaue (Cr)'!C98</f>
        <v>INDUSTOWER</v>
      </c>
      <c r="B103" s="50">
        <f>VLOOKUP($A103,'Data Vlaue (Cr)'!$C:$FB,8)</f>
        <v>343.95</v>
      </c>
      <c r="C103" s="50">
        <f>VLOOKUP($A103,'Data Vlaue (Cr)'!$C:$FB,11)*100</f>
        <v>-0.25</v>
      </c>
      <c r="D103" s="50">
        <f>VLOOKUP($A103,'Data Vlaue (Cr)'!$C:$FB,143)</f>
        <v>617.75</v>
      </c>
      <c r="E103" s="50">
        <f>VLOOKUP($A103,'Data Vlaue (Cr)'!$C:$FB,144)</f>
        <v>1213.99</v>
      </c>
      <c r="F103" s="50">
        <f>VLOOKUP($A103,'Data Vlaue (Cr)'!$C:$FB,146)*100</f>
        <v>-49.11</v>
      </c>
      <c r="G103" s="49">
        <f>VLOOKUP($A103,'Data Vlaue (Cr)'!$C:$FB,43)</f>
        <v>155</v>
      </c>
      <c r="H103" s="49">
        <f>VLOOKUP($A103,'Data Vlaue (Cr)'!$C:$FB,44)</f>
        <v>237</v>
      </c>
      <c r="I103" s="49">
        <f>VLOOKUP($A103,'Data Vlaue (Cr)'!$C:$FB,46)*100</f>
        <v>-34.58</v>
      </c>
      <c r="J103" s="51">
        <f>VLOOKUP($A103,'Data Vlaue (Cr)'!$C:$FB,59)</f>
        <v>294</v>
      </c>
      <c r="K103" s="51">
        <f>VLOOKUP($A103,'Data Vlaue (Cr)'!$C:$FB,60)</f>
        <v>631</v>
      </c>
      <c r="L103" s="51">
        <f>VLOOKUP($A103,'Data Vlaue (Cr)'!$C:$FB,62)*100</f>
        <v>-53.42</v>
      </c>
      <c r="M103" s="51">
        <f>VLOOKUP($A103,'Data Vlaue (Cr)'!$C:$FB,63)</f>
        <v>154</v>
      </c>
      <c r="N103" s="51">
        <f>VLOOKUP($A103,'Data Vlaue (Cr)'!$C:$FB,64)</f>
        <v>317</v>
      </c>
      <c r="O103" s="51">
        <f>VLOOKUP($A103,'Data Vlaue (Cr)'!$C:$FB,66)*100</f>
        <v>-51.44</v>
      </c>
    </row>
    <row r="104" spans="1:15" x14ac:dyDescent="0.25">
      <c r="A104" s="101" t="str">
        <f>'Data Vlaue (Cr)'!C99</f>
        <v>INFY</v>
      </c>
      <c r="B104" s="50">
        <f>VLOOKUP($A104,'Data Vlaue (Cr)'!$C:$FB,8)</f>
        <v>1471.5</v>
      </c>
      <c r="C104" s="50">
        <f>VLOOKUP($A104,'Data Vlaue (Cr)'!$C:$FB,11)*100</f>
        <v>-0.2</v>
      </c>
      <c r="D104" s="50">
        <f>VLOOKUP($A104,'Data Vlaue (Cr)'!$C:$FB,143)</f>
        <v>16486.12</v>
      </c>
      <c r="E104" s="50">
        <f>VLOOKUP($A104,'Data Vlaue (Cr)'!$C:$FB,144)</f>
        <v>9832.58</v>
      </c>
      <c r="F104" s="50">
        <f>VLOOKUP($A104,'Data Vlaue (Cr)'!$C:$FB,146)*100</f>
        <v>67.67</v>
      </c>
      <c r="G104" s="49">
        <f>VLOOKUP($A104,'Data Vlaue (Cr)'!$C:$FB,43)</f>
        <v>2626</v>
      </c>
      <c r="H104" s="49">
        <f>VLOOKUP($A104,'Data Vlaue (Cr)'!$C:$FB,44)</f>
        <v>1838</v>
      </c>
      <c r="I104" s="49">
        <f>VLOOKUP($A104,'Data Vlaue (Cr)'!$C:$FB,46)*100</f>
        <v>42.88</v>
      </c>
      <c r="J104" s="51">
        <f>VLOOKUP($A104,'Data Vlaue (Cr)'!$C:$FB,59)</f>
        <v>9223</v>
      </c>
      <c r="K104" s="51">
        <f>VLOOKUP($A104,'Data Vlaue (Cr)'!$C:$FB,60)</f>
        <v>5091</v>
      </c>
      <c r="L104" s="51">
        <f>VLOOKUP($A104,'Data Vlaue (Cr)'!$C:$FB,62)*100</f>
        <v>81.17</v>
      </c>
      <c r="M104" s="51">
        <f>VLOOKUP($A104,'Data Vlaue (Cr)'!$C:$FB,63)</f>
        <v>4162</v>
      </c>
      <c r="N104" s="51">
        <f>VLOOKUP($A104,'Data Vlaue (Cr)'!$C:$FB,64)</f>
        <v>2567</v>
      </c>
      <c r="O104" s="51">
        <f>VLOOKUP($A104,'Data Vlaue (Cr)'!$C:$FB,66)*100</f>
        <v>62.1</v>
      </c>
    </row>
    <row r="105" spans="1:15" x14ac:dyDescent="0.25">
      <c r="A105" s="101" t="str">
        <f>'Data Vlaue (Cr)'!C100</f>
        <v>INOXWIND</v>
      </c>
      <c r="B105" s="50">
        <f>VLOOKUP($A105,'Data Vlaue (Cr)'!$C:$FB,8)</f>
        <v>146.84</v>
      </c>
      <c r="C105" s="50">
        <f>VLOOKUP($A105,'Data Vlaue (Cr)'!$C:$FB,11)*100</f>
        <v>-0.91</v>
      </c>
      <c r="D105" s="50">
        <f>VLOOKUP($A105,'Data Vlaue (Cr)'!$C:$FB,143)</f>
        <v>228.09</v>
      </c>
      <c r="E105" s="50">
        <f>VLOOKUP($A105,'Data Vlaue (Cr)'!$C:$FB,144)</f>
        <v>331.1</v>
      </c>
      <c r="F105" s="50">
        <f>VLOOKUP($A105,'Data Vlaue (Cr)'!$C:$FB,146)*100</f>
        <v>-31.11</v>
      </c>
      <c r="G105" s="49">
        <f>VLOOKUP($A105,'Data Vlaue (Cr)'!$C:$FB,43)</f>
        <v>78</v>
      </c>
      <c r="H105" s="49">
        <f>VLOOKUP($A105,'Data Vlaue (Cr)'!$C:$FB,44)</f>
        <v>85</v>
      </c>
      <c r="I105" s="49">
        <f>VLOOKUP($A105,'Data Vlaue (Cr)'!$C:$FB,46)*100</f>
        <v>-8.51</v>
      </c>
      <c r="J105" s="51">
        <f>VLOOKUP($A105,'Data Vlaue (Cr)'!$C:$FB,59)</f>
        <v>110</v>
      </c>
      <c r="K105" s="51">
        <f>VLOOKUP($A105,'Data Vlaue (Cr)'!$C:$FB,60)</f>
        <v>171</v>
      </c>
      <c r="L105" s="51">
        <f>VLOOKUP($A105,'Data Vlaue (Cr)'!$C:$FB,62)*100</f>
        <v>-35.709999999999994</v>
      </c>
      <c r="M105" s="51">
        <f>VLOOKUP($A105,'Data Vlaue (Cr)'!$C:$FB,63)</f>
        <v>33</v>
      </c>
      <c r="N105" s="51">
        <f>VLOOKUP($A105,'Data Vlaue (Cr)'!$C:$FB,64)</f>
        <v>64</v>
      </c>
      <c r="O105" s="51">
        <f>VLOOKUP($A105,'Data Vlaue (Cr)'!$C:$FB,66)*100</f>
        <v>-48.26</v>
      </c>
    </row>
    <row r="106" spans="1:15" x14ac:dyDescent="0.25">
      <c r="A106" s="101" t="str">
        <f>'Data Vlaue (Cr)'!C101</f>
        <v>IOC</v>
      </c>
      <c r="B106" s="50">
        <f>VLOOKUP($A106,'Data Vlaue (Cr)'!$C:$FB,8)</f>
        <v>153.66999999999999</v>
      </c>
      <c r="C106" s="50">
        <f>VLOOKUP($A106,'Data Vlaue (Cr)'!$C:$FB,11)*100</f>
        <v>-0.01</v>
      </c>
      <c r="D106" s="50">
        <f>VLOOKUP($A106,'Data Vlaue (Cr)'!$C:$FB,143)</f>
        <v>1798.95</v>
      </c>
      <c r="E106" s="50">
        <f>VLOOKUP($A106,'Data Vlaue (Cr)'!$C:$FB,144)</f>
        <v>1345.03</v>
      </c>
      <c r="F106" s="50">
        <f>VLOOKUP($A106,'Data Vlaue (Cr)'!$C:$FB,146)*100</f>
        <v>33.75</v>
      </c>
      <c r="G106" s="49">
        <f>VLOOKUP($A106,'Data Vlaue (Cr)'!$C:$FB,43)</f>
        <v>285</v>
      </c>
      <c r="H106" s="49">
        <f>VLOOKUP($A106,'Data Vlaue (Cr)'!$C:$FB,44)</f>
        <v>336</v>
      </c>
      <c r="I106" s="49">
        <f>VLOOKUP($A106,'Data Vlaue (Cr)'!$C:$FB,46)*100</f>
        <v>-15.049999999999999</v>
      </c>
      <c r="J106" s="51">
        <f>VLOOKUP($A106,'Data Vlaue (Cr)'!$C:$FB,59)</f>
        <v>944</v>
      </c>
      <c r="K106" s="51">
        <f>VLOOKUP($A106,'Data Vlaue (Cr)'!$C:$FB,60)</f>
        <v>632</v>
      </c>
      <c r="L106" s="51">
        <f>VLOOKUP($A106,'Data Vlaue (Cr)'!$C:$FB,62)*100</f>
        <v>49.39</v>
      </c>
      <c r="M106" s="51">
        <f>VLOOKUP($A106,'Data Vlaue (Cr)'!$C:$FB,63)</f>
        <v>539</v>
      </c>
      <c r="N106" s="51">
        <f>VLOOKUP($A106,'Data Vlaue (Cr)'!$C:$FB,64)</f>
        <v>356</v>
      </c>
      <c r="O106" s="51">
        <f>VLOOKUP($A106,'Data Vlaue (Cr)'!$C:$FB,66)*100</f>
        <v>51.38</v>
      </c>
    </row>
    <row r="107" spans="1:15" x14ac:dyDescent="0.25">
      <c r="A107" s="101" t="str">
        <f>'Data Vlaue (Cr)'!C102</f>
        <v>IRCTC</v>
      </c>
      <c r="B107" s="50">
        <f>VLOOKUP($A107,'Data Vlaue (Cr)'!$C:$FB,8)</f>
        <v>718.9</v>
      </c>
      <c r="C107" s="50">
        <f>VLOOKUP($A107,'Data Vlaue (Cr)'!$C:$FB,11)*100</f>
        <v>0.38</v>
      </c>
      <c r="D107" s="50">
        <f>VLOOKUP($A107,'Data Vlaue (Cr)'!$C:$FB,143)</f>
        <v>875.3</v>
      </c>
      <c r="E107" s="50">
        <f>VLOOKUP($A107,'Data Vlaue (Cr)'!$C:$FB,144)</f>
        <v>1400.45</v>
      </c>
      <c r="F107" s="50">
        <f>VLOOKUP($A107,'Data Vlaue (Cr)'!$C:$FB,146)*100</f>
        <v>-37.5</v>
      </c>
      <c r="G107" s="49">
        <f>VLOOKUP($A107,'Data Vlaue (Cr)'!$C:$FB,43)</f>
        <v>109</v>
      </c>
      <c r="H107" s="49">
        <f>VLOOKUP($A107,'Data Vlaue (Cr)'!$C:$FB,44)</f>
        <v>178</v>
      </c>
      <c r="I107" s="49">
        <f>VLOOKUP($A107,'Data Vlaue (Cr)'!$C:$FB,46)*100</f>
        <v>-38.93</v>
      </c>
      <c r="J107" s="51">
        <f>VLOOKUP($A107,'Data Vlaue (Cr)'!$C:$FB,59)</f>
        <v>585</v>
      </c>
      <c r="K107" s="51">
        <f>VLOOKUP($A107,'Data Vlaue (Cr)'!$C:$FB,60)</f>
        <v>997</v>
      </c>
      <c r="L107" s="51">
        <f>VLOOKUP($A107,'Data Vlaue (Cr)'!$C:$FB,62)*100</f>
        <v>-41.4</v>
      </c>
      <c r="M107" s="51">
        <f>VLOOKUP($A107,'Data Vlaue (Cr)'!$C:$FB,63)</f>
        <v>168</v>
      </c>
      <c r="N107" s="51">
        <f>VLOOKUP($A107,'Data Vlaue (Cr)'!$C:$FB,64)</f>
        <v>198</v>
      </c>
      <c r="O107" s="51">
        <f>VLOOKUP($A107,'Data Vlaue (Cr)'!$C:$FB,66)*100</f>
        <v>-15.190000000000001</v>
      </c>
    </row>
    <row r="108" spans="1:15" x14ac:dyDescent="0.25">
      <c r="A108" s="101" t="str">
        <f>'Data Vlaue (Cr)'!C103</f>
        <v>IREDA</v>
      </c>
      <c r="B108" s="50">
        <f>VLOOKUP($A108,'Data Vlaue (Cr)'!$C:$FB,8)</f>
        <v>153.13</v>
      </c>
      <c r="C108" s="50">
        <f>VLOOKUP($A108,'Data Vlaue (Cr)'!$C:$FB,11)*100</f>
        <v>-1.1400000000000001</v>
      </c>
      <c r="D108" s="50">
        <f>VLOOKUP($A108,'Data Vlaue (Cr)'!$C:$FB,143)</f>
        <v>1140.22</v>
      </c>
      <c r="E108" s="50">
        <f>VLOOKUP($A108,'Data Vlaue (Cr)'!$C:$FB,144)</f>
        <v>4300.68</v>
      </c>
      <c r="F108" s="50">
        <f>VLOOKUP($A108,'Data Vlaue (Cr)'!$C:$FB,146)*100</f>
        <v>-73.489999999999995</v>
      </c>
      <c r="G108" s="49">
        <f>VLOOKUP($A108,'Data Vlaue (Cr)'!$C:$FB,43)</f>
        <v>217</v>
      </c>
      <c r="H108" s="49">
        <f>VLOOKUP($A108,'Data Vlaue (Cr)'!$C:$FB,44)</f>
        <v>513</v>
      </c>
      <c r="I108" s="49">
        <f>VLOOKUP($A108,'Data Vlaue (Cr)'!$C:$FB,46)*100</f>
        <v>-57.589999999999996</v>
      </c>
      <c r="J108" s="51">
        <f>VLOOKUP($A108,'Data Vlaue (Cr)'!$C:$FB,59)</f>
        <v>686</v>
      </c>
      <c r="K108" s="51">
        <f>VLOOKUP($A108,'Data Vlaue (Cr)'!$C:$FB,60)</f>
        <v>2742</v>
      </c>
      <c r="L108" s="51">
        <f>VLOOKUP($A108,'Data Vlaue (Cr)'!$C:$FB,62)*100</f>
        <v>-74.989999999999995</v>
      </c>
      <c r="M108" s="51">
        <f>VLOOKUP($A108,'Data Vlaue (Cr)'!$C:$FB,63)</f>
        <v>192</v>
      </c>
      <c r="N108" s="51">
        <f>VLOOKUP($A108,'Data Vlaue (Cr)'!$C:$FB,64)</f>
        <v>837</v>
      </c>
      <c r="O108" s="51">
        <f>VLOOKUP($A108,'Data Vlaue (Cr)'!$C:$FB,66)*100</f>
        <v>-77.08</v>
      </c>
    </row>
    <row r="109" spans="1:15" x14ac:dyDescent="0.25">
      <c r="A109" s="101" t="str">
        <f>'Data Vlaue (Cr)'!C104</f>
        <v>IRFC</v>
      </c>
      <c r="B109" s="50">
        <f>VLOOKUP($A109,'Data Vlaue (Cr)'!$C:$FB,8)</f>
        <v>124.72</v>
      </c>
      <c r="C109" s="50">
        <f>VLOOKUP($A109,'Data Vlaue (Cr)'!$C:$FB,11)*100</f>
        <v>-0.13</v>
      </c>
      <c r="D109" s="50">
        <f>VLOOKUP($A109,'Data Vlaue (Cr)'!$C:$FB,143)</f>
        <v>750.9</v>
      </c>
      <c r="E109" s="50">
        <f>VLOOKUP($A109,'Data Vlaue (Cr)'!$C:$FB,144)</f>
        <v>2228.17</v>
      </c>
      <c r="F109" s="50">
        <f>VLOOKUP($A109,'Data Vlaue (Cr)'!$C:$FB,146)*100</f>
        <v>-66.3</v>
      </c>
      <c r="G109" s="49">
        <f>VLOOKUP($A109,'Data Vlaue (Cr)'!$C:$FB,43)</f>
        <v>145</v>
      </c>
      <c r="H109" s="49">
        <f>VLOOKUP($A109,'Data Vlaue (Cr)'!$C:$FB,44)</f>
        <v>278</v>
      </c>
      <c r="I109" s="49">
        <f>VLOOKUP($A109,'Data Vlaue (Cr)'!$C:$FB,46)*100</f>
        <v>-47.69</v>
      </c>
      <c r="J109" s="51">
        <f>VLOOKUP($A109,'Data Vlaue (Cr)'!$C:$FB,59)</f>
        <v>459</v>
      </c>
      <c r="K109" s="51">
        <f>VLOOKUP($A109,'Data Vlaue (Cr)'!$C:$FB,60)</f>
        <v>1367</v>
      </c>
      <c r="L109" s="51">
        <f>VLOOKUP($A109,'Data Vlaue (Cr)'!$C:$FB,62)*100</f>
        <v>-66.45</v>
      </c>
      <c r="M109" s="51">
        <f>VLOOKUP($A109,'Data Vlaue (Cr)'!$C:$FB,63)</f>
        <v>124</v>
      </c>
      <c r="N109" s="51">
        <f>VLOOKUP($A109,'Data Vlaue (Cr)'!$C:$FB,64)</f>
        <v>486</v>
      </c>
      <c r="O109" s="51">
        <f>VLOOKUP($A109,'Data Vlaue (Cr)'!$C:$FB,66)*100</f>
        <v>-74.460000000000008</v>
      </c>
    </row>
    <row r="110" spans="1:15" x14ac:dyDescent="0.25">
      <c r="A110" s="101" t="str">
        <f>'Data Vlaue (Cr)'!C105</f>
        <v>ITC</v>
      </c>
      <c r="B110" s="50">
        <f>VLOOKUP($A110,'Data Vlaue (Cr)'!$C:$FB,8)</f>
        <v>405.15</v>
      </c>
      <c r="C110" s="50">
        <f>VLOOKUP($A110,'Data Vlaue (Cr)'!$C:$FB,11)*100</f>
        <v>1.31</v>
      </c>
      <c r="D110" s="50">
        <f>VLOOKUP($A110,'Data Vlaue (Cr)'!$C:$FB,143)</f>
        <v>5781</v>
      </c>
      <c r="E110" s="50">
        <f>VLOOKUP($A110,'Data Vlaue (Cr)'!$C:$FB,144)</f>
        <v>3246.4</v>
      </c>
      <c r="F110" s="50">
        <f>VLOOKUP($A110,'Data Vlaue (Cr)'!$C:$FB,146)*100</f>
        <v>78.069999999999993</v>
      </c>
      <c r="G110" s="49">
        <f>VLOOKUP($A110,'Data Vlaue (Cr)'!$C:$FB,43)</f>
        <v>1269</v>
      </c>
      <c r="H110" s="49">
        <f>VLOOKUP($A110,'Data Vlaue (Cr)'!$C:$FB,44)</f>
        <v>773</v>
      </c>
      <c r="I110" s="49">
        <f>VLOOKUP($A110,'Data Vlaue (Cr)'!$C:$FB,46)*100</f>
        <v>64.180000000000007</v>
      </c>
      <c r="J110" s="51">
        <f>VLOOKUP($A110,'Data Vlaue (Cr)'!$C:$FB,59)</f>
        <v>2889</v>
      </c>
      <c r="K110" s="51">
        <f>VLOOKUP($A110,'Data Vlaue (Cr)'!$C:$FB,60)</f>
        <v>1449</v>
      </c>
      <c r="L110" s="51">
        <f>VLOOKUP($A110,'Data Vlaue (Cr)'!$C:$FB,62)*100</f>
        <v>99.36</v>
      </c>
      <c r="M110" s="51">
        <f>VLOOKUP($A110,'Data Vlaue (Cr)'!$C:$FB,63)</f>
        <v>1604</v>
      </c>
      <c r="N110" s="51">
        <f>VLOOKUP($A110,'Data Vlaue (Cr)'!$C:$FB,64)</f>
        <v>1036</v>
      </c>
      <c r="O110" s="51">
        <f>VLOOKUP($A110,'Data Vlaue (Cr)'!$C:$FB,66)*100</f>
        <v>54.87</v>
      </c>
    </row>
    <row r="111" spans="1:15" x14ac:dyDescent="0.25">
      <c r="A111" s="101" t="str">
        <f>'Data Vlaue (Cr)'!C106</f>
        <v>JINDALSTEL</v>
      </c>
      <c r="B111" s="50">
        <f>VLOOKUP($A111,'Data Vlaue (Cr)'!$C:$FB,8)</f>
        <v>1022.8</v>
      </c>
      <c r="C111" s="50">
        <f>VLOOKUP($A111,'Data Vlaue (Cr)'!$C:$FB,11)*100</f>
        <v>2.1399999999999997</v>
      </c>
      <c r="D111" s="50">
        <f>VLOOKUP($A111,'Data Vlaue (Cr)'!$C:$FB,143)</f>
        <v>1798.61</v>
      </c>
      <c r="E111" s="50">
        <f>VLOOKUP($A111,'Data Vlaue (Cr)'!$C:$FB,144)</f>
        <v>1215.49</v>
      </c>
      <c r="F111" s="50">
        <f>VLOOKUP($A111,'Data Vlaue (Cr)'!$C:$FB,146)*100</f>
        <v>47.97</v>
      </c>
      <c r="G111" s="49">
        <f>VLOOKUP($A111,'Data Vlaue (Cr)'!$C:$FB,43)</f>
        <v>305</v>
      </c>
      <c r="H111" s="49">
        <f>VLOOKUP($A111,'Data Vlaue (Cr)'!$C:$FB,44)</f>
        <v>250</v>
      </c>
      <c r="I111" s="49">
        <f>VLOOKUP($A111,'Data Vlaue (Cr)'!$C:$FB,46)*100</f>
        <v>22.009999999999998</v>
      </c>
      <c r="J111" s="51">
        <f>VLOOKUP($A111,'Data Vlaue (Cr)'!$C:$FB,59)</f>
        <v>1073</v>
      </c>
      <c r="K111" s="51">
        <f>VLOOKUP($A111,'Data Vlaue (Cr)'!$C:$FB,60)</f>
        <v>764</v>
      </c>
      <c r="L111" s="51">
        <f>VLOOKUP($A111,'Data Vlaue (Cr)'!$C:$FB,62)*100</f>
        <v>40.479999999999997</v>
      </c>
      <c r="M111" s="51">
        <f>VLOOKUP($A111,'Data Vlaue (Cr)'!$C:$FB,63)</f>
        <v>397</v>
      </c>
      <c r="N111" s="51">
        <f>VLOOKUP($A111,'Data Vlaue (Cr)'!$C:$FB,64)</f>
        <v>184</v>
      </c>
      <c r="O111" s="51">
        <f>VLOOKUP($A111,'Data Vlaue (Cr)'!$C:$FB,66)*100</f>
        <v>115.45</v>
      </c>
    </row>
    <row r="112" spans="1:15" x14ac:dyDescent="0.25">
      <c r="A112" s="101" t="str">
        <f>'Data Vlaue (Cr)'!C107</f>
        <v>JIOFIN</v>
      </c>
      <c r="B112" s="50">
        <f>VLOOKUP($A112,'Data Vlaue (Cr)'!$C:$FB,8)</f>
        <v>312.10000000000002</v>
      </c>
      <c r="C112" s="50">
        <f>VLOOKUP($A112,'Data Vlaue (Cr)'!$C:$FB,11)*100</f>
        <v>-0.18</v>
      </c>
      <c r="D112" s="50">
        <f>VLOOKUP($A112,'Data Vlaue (Cr)'!$C:$FB,143)</f>
        <v>4236.99</v>
      </c>
      <c r="E112" s="50">
        <f>VLOOKUP($A112,'Data Vlaue (Cr)'!$C:$FB,144)</f>
        <v>5820.59</v>
      </c>
      <c r="F112" s="50">
        <f>VLOOKUP($A112,'Data Vlaue (Cr)'!$C:$FB,146)*100</f>
        <v>-27.21</v>
      </c>
      <c r="G112" s="49">
        <f>VLOOKUP($A112,'Data Vlaue (Cr)'!$C:$FB,43)</f>
        <v>576</v>
      </c>
      <c r="H112" s="49">
        <f>VLOOKUP($A112,'Data Vlaue (Cr)'!$C:$FB,44)</f>
        <v>920</v>
      </c>
      <c r="I112" s="49">
        <f>VLOOKUP($A112,'Data Vlaue (Cr)'!$C:$FB,46)*100</f>
        <v>-37.4</v>
      </c>
      <c r="J112" s="51">
        <f>VLOOKUP($A112,'Data Vlaue (Cr)'!$C:$FB,59)</f>
        <v>2462</v>
      </c>
      <c r="K112" s="51">
        <f>VLOOKUP($A112,'Data Vlaue (Cr)'!$C:$FB,60)</f>
        <v>3486</v>
      </c>
      <c r="L112" s="51">
        <f>VLOOKUP($A112,'Data Vlaue (Cr)'!$C:$FB,62)*100</f>
        <v>-29.38</v>
      </c>
      <c r="M112" s="51">
        <f>VLOOKUP($A112,'Data Vlaue (Cr)'!$C:$FB,63)</f>
        <v>1092</v>
      </c>
      <c r="N112" s="51">
        <f>VLOOKUP($A112,'Data Vlaue (Cr)'!$C:$FB,64)</f>
        <v>1280</v>
      </c>
      <c r="O112" s="51">
        <f>VLOOKUP($A112,'Data Vlaue (Cr)'!$C:$FB,66)*100</f>
        <v>-14.64</v>
      </c>
    </row>
    <row r="113" spans="1:15" x14ac:dyDescent="0.25">
      <c r="A113" s="101" t="str">
        <f>'Data Vlaue (Cr)'!C108</f>
        <v>JSWENERGY</v>
      </c>
      <c r="B113" s="50">
        <f>VLOOKUP($A113,'Data Vlaue (Cr)'!$C:$FB,8)</f>
        <v>548.6</v>
      </c>
      <c r="C113" s="50">
        <f>VLOOKUP($A113,'Data Vlaue (Cr)'!$C:$FB,11)*100</f>
        <v>0.52</v>
      </c>
      <c r="D113" s="50">
        <f>VLOOKUP($A113,'Data Vlaue (Cr)'!$C:$FB,143)</f>
        <v>1069.9000000000001</v>
      </c>
      <c r="E113" s="50">
        <f>VLOOKUP($A113,'Data Vlaue (Cr)'!$C:$FB,144)</f>
        <v>609.15</v>
      </c>
      <c r="F113" s="50">
        <f>VLOOKUP($A113,'Data Vlaue (Cr)'!$C:$FB,146)*100</f>
        <v>75.64</v>
      </c>
      <c r="G113" s="49">
        <f>VLOOKUP($A113,'Data Vlaue (Cr)'!$C:$FB,43)</f>
        <v>203</v>
      </c>
      <c r="H113" s="49">
        <f>VLOOKUP($A113,'Data Vlaue (Cr)'!$C:$FB,44)</f>
        <v>140</v>
      </c>
      <c r="I113" s="49">
        <f>VLOOKUP($A113,'Data Vlaue (Cr)'!$C:$FB,46)*100</f>
        <v>44.629999999999995</v>
      </c>
      <c r="J113" s="51">
        <f>VLOOKUP($A113,'Data Vlaue (Cr)'!$C:$FB,59)</f>
        <v>683</v>
      </c>
      <c r="K113" s="51">
        <f>VLOOKUP($A113,'Data Vlaue (Cr)'!$C:$FB,60)</f>
        <v>371</v>
      </c>
      <c r="L113" s="51">
        <f>VLOOKUP($A113,'Data Vlaue (Cr)'!$C:$FB,62)*100</f>
        <v>84.09</v>
      </c>
      <c r="M113" s="51">
        <f>VLOOKUP($A113,'Data Vlaue (Cr)'!$C:$FB,63)</f>
        <v>155</v>
      </c>
      <c r="N113" s="51">
        <f>VLOOKUP($A113,'Data Vlaue (Cr)'!$C:$FB,64)</f>
        <v>85</v>
      </c>
      <c r="O113" s="51">
        <f>VLOOKUP($A113,'Data Vlaue (Cr)'!$C:$FB,66)*100</f>
        <v>81.55</v>
      </c>
    </row>
    <row r="114" spans="1:15" x14ac:dyDescent="0.25">
      <c r="A114" s="101" t="str">
        <f>'Data Vlaue (Cr)'!C109</f>
        <v>JSWSTEEL</v>
      </c>
      <c r="B114" s="50">
        <f>VLOOKUP($A114,'Data Vlaue (Cr)'!$C:$FB,8)</f>
        <v>1172.0999999999999</v>
      </c>
      <c r="C114" s="50">
        <f>VLOOKUP($A114,'Data Vlaue (Cr)'!$C:$FB,11)*100</f>
        <v>0.97</v>
      </c>
      <c r="D114" s="50">
        <f>VLOOKUP($A114,'Data Vlaue (Cr)'!$C:$FB,143)</f>
        <v>1141.7</v>
      </c>
      <c r="E114" s="50">
        <f>VLOOKUP($A114,'Data Vlaue (Cr)'!$C:$FB,144)</f>
        <v>951.29</v>
      </c>
      <c r="F114" s="50">
        <f>VLOOKUP($A114,'Data Vlaue (Cr)'!$C:$FB,146)*100</f>
        <v>20.02</v>
      </c>
      <c r="G114" s="49">
        <f>VLOOKUP($A114,'Data Vlaue (Cr)'!$C:$FB,43)</f>
        <v>253</v>
      </c>
      <c r="H114" s="49">
        <f>VLOOKUP($A114,'Data Vlaue (Cr)'!$C:$FB,44)</f>
        <v>226</v>
      </c>
      <c r="I114" s="49">
        <f>VLOOKUP($A114,'Data Vlaue (Cr)'!$C:$FB,46)*100</f>
        <v>12.17</v>
      </c>
      <c r="J114" s="51">
        <f>VLOOKUP($A114,'Data Vlaue (Cr)'!$C:$FB,59)</f>
        <v>594</v>
      </c>
      <c r="K114" s="51">
        <f>VLOOKUP($A114,'Data Vlaue (Cr)'!$C:$FB,60)</f>
        <v>490</v>
      </c>
      <c r="L114" s="51">
        <f>VLOOKUP($A114,'Data Vlaue (Cr)'!$C:$FB,62)*100</f>
        <v>21.310000000000002</v>
      </c>
      <c r="M114" s="51">
        <f>VLOOKUP($A114,'Data Vlaue (Cr)'!$C:$FB,63)</f>
        <v>284</v>
      </c>
      <c r="N114" s="51">
        <f>VLOOKUP($A114,'Data Vlaue (Cr)'!$C:$FB,64)</f>
        <v>231</v>
      </c>
      <c r="O114" s="51">
        <f>VLOOKUP($A114,'Data Vlaue (Cr)'!$C:$FB,66)*100</f>
        <v>23.189999999999998</v>
      </c>
    </row>
    <row r="115" spans="1:15" x14ac:dyDescent="0.25">
      <c r="A115" s="101" t="str">
        <f>'Data Vlaue (Cr)'!C110</f>
        <v>JUBLFOOD</v>
      </c>
      <c r="B115" s="50">
        <f>VLOOKUP($A115,'Data Vlaue (Cr)'!$C:$FB,8)</f>
        <v>595.29999999999995</v>
      </c>
      <c r="C115" s="50">
        <f>VLOOKUP($A115,'Data Vlaue (Cr)'!$C:$FB,11)*100</f>
        <v>1.81</v>
      </c>
      <c r="D115" s="50">
        <f>VLOOKUP($A115,'Data Vlaue (Cr)'!$C:$FB,143)</f>
        <v>1069.6199999999999</v>
      </c>
      <c r="E115" s="50">
        <f>VLOOKUP($A115,'Data Vlaue (Cr)'!$C:$FB,144)</f>
        <v>832.74</v>
      </c>
      <c r="F115" s="50">
        <f>VLOOKUP($A115,'Data Vlaue (Cr)'!$C:$FB,146)*100</f>
        <v>28.449999999999996</v>
      </c>
      <c r="G115" s="49">
        <f>VLOOKUP($A115,'Data Vlaue (Cr)'!$C:$FB,43)</f>
        <v>194</v>
      </c>
      <c r="H115" s="49">
        <f>VLOOKUP($A115,'Data Vlaue (Cr)'!$C:$FB,44)</f>
        <v>132</v>
      </c>
      <c r="I115" s="49">
        <f>VLOOKUP($A115,'Data Vlaue (Cr)'!$C:$FB,46)*100</f>
        <v>47.03</v>
      </c>
      <c r="J115" s="51">
        <f>VLOOKUP($A115,'Data Vlaue (Cr)'!$C:$FB,59)</f>
        <v>674</v>
      </c>
      <c r="K115" s="51">
        <f>VLOOKUP($A115,'Data Vlaue (Cr)'!$C:$FB,60)</f>
        <v>551</v>
      </c>
      <c r="L115" s="51">
        <f>VLOOKUP($A115,'Data Vlaue (Cr)'!$C:$FB,62)*100</f>
        <v>22.39</v>
      </c>
      <c r="M115" s="51">
        <f>VLOOKUP($A115,'Data Vlaue (Cr)'!$C:$FB,63)</f>
        <v>178</v>
      </c>
      <c r="N115" s="51">
        <f>VLOOKUP($A115,'Data Vlaue (Cr)'!$C:$FB,64)</f>
        <v>133</v>
      </c>
      <c r="O115" s="51">
        <f>VLOOKUP($A115,'Data Vlaue (Cr)'!$C:$FB,66)*100</f>
        <v>33.69</v>
      </c>
    </row>
    <row r="116" spans="1:15" x14ac:dyDescent="0.25">
      <c r="A116" s="101" t="str">
        <f>'Data Vlaue (Cr)'!C111</f>
        <v>KALYANKJIL</v>
      </c>
      <c r="B116" s="50">
        <f>VLOOKUP($A116,'Data Vlaue (Cr)'!$C:$FB,8)</f>
        <v>487.15</v>
      </c>
      <c r="C116" s="50">
        <f>VLOOKUP($A116,'Data Vlaue (Cr)'!$C:$FB,11)*100</f>
        <v>2.13</v>
      </c>
      <c r="D116" s="50">
        <f>VLOOKUP($A116,'Data Vlaue (Cr)'!$C:$FB,143)</f>
        <v>2368.35</v>
      </c>
      <c r="E116" s="50">
        <f>VLOOKUP($A116,'Data Vlaue (Cr)'!$C:$FB,144)</f>
        <v>953.88</v>
      </c>
      <c r="F116" s="50">
        <f>VLOOKUP($A116,'Data Vlaue (Cr)'!$C:$FB,146)*100</f>
        <v>148.29000000000002</v>
      </c>
      <c r="G116" s="49">
        <f>VLOOKUP($A116,'Data Vlaue (Cr)'!$C:$FB,43)</f>
        <v>274</v>
      </c>
      <c r="H116" s="49">
        <f>VLOOKUP($A116,'Data Vlaue (Cr)'!$C:$FB,44)</f>
        <v>152</v>
      </c>
      <c r="I116" s="49">
        <f>VLOOKUP($A116,'Data Vlaue (Cr)'!$C:$FB,46)*100</f>
        <v>79.86</v>
      </c>
      <c r="J116" s="51">
        <f>VLOOKUP($A116,'Data Vlaue (Cr)'!$C:$FB,59)</f>
        <v>1484</v>
      </c>
      <c r="K116" s="51">
        <f>VLOOKUP($A116,'Data Vlaue (Cr)'!$C:$FB,60)</f>
        <v>598</v>
      </c>
      <c r="L116" s="51">
        <f>VLOOKUP($A116,'Data Vlaue (Cr)'!$C:$FB,62)*100</f>
        <v>147.91</v>
      </c>
      <c r="M116" s="51">
        <f>VLOOKUP($A116,'Data Vlaue (Cr)'!$C:$FB,63)</f>
        <v>555</v>
      </c>
      <c r="N116" s="51">
        <f>VLOOKUP($A116,'Data Vlaue (Cr)'!$C:$FB,64)</f>
        <v>194</v>
      </c>
      <c r="O116" s="51">
        <f>VLOOKUP($A116,'Data Vlaue (Cr)'!$C:$FB,66)*100</f>
        <v>186.04</v>
      </c>
    </row>
    <row r="117" spans="1:15" x14ac:dyDescent="0.25">
      <c r="A117" s="101" t="str">
        <f>'Data Vlaue (Cr)'!C112</f>
        <v>KAYNES</v>
      </c>
      <c r="B117" s="50">
        <f>VLOOKUP($A117,'Data Vlaue (Cr)'!$C:$FB,8)</f>
        <v>6991.5</v>
      </c>
      <c r="C117" s="50">
        <f>VLOOKUP($A117,'Data Vlaue (Cr)'!$C:$FB,11)*100</f>
        <v>0.47000000000000003</v>
      </c>
      <c r="D117" s="50">
        <f>VLOOKUP($A117,'Data Vlaue (Cr)'!$C:$FB,143)</f>
        <v>3892.24</v>
      </c>
      <c r="E117" s="50">
        <f>VLOOKUP($A117,'Data Vlaue (Cr)'!$C:$FB,144)</f>
        <v>2081.5500000000002</v>
      </c>
      <c r="F117" s="50">
        <f>VLOOKUP($A117,'Data Vlaue (Cr)'!$C:$FB,146)*100</f>
        <v>86.99</v>
      </c>
      <c r="G117" s="49">
        <f>VLOOKUP($A117,'Data Vlaue (Cr)'!$C:$FB,43)</f>
        <v>391</v>
      </c>
      <c r="H117" s="49">
        <f>VLOOKUP($A117,'Data Vlaue (Cr)'!$C:$FB,44)</f>
        <v>199</v>
      </c>
      <c r="I117" s="49">
        <f>VLOOKUP($A117,'Data Vlaue (Cr)'!$C:$FB,46)*100</f>
        <v>95.960000000000008</v>
      </c>
      <c r="J117" s="51">
        <f>VLOOKUP($A117,'Data Vlaue (Cr)'!$C:$FB,59)</f>
        <v>2615</v>
      </c>
      <c r="K117" s="51">
        <f>VLOOKUP($A117,'Data Vlaue (Cr)'!$C:$FB,60)</f>
        <v>1323</v>
      </c>
      <c r="L117" s="51">
        <f>VLOOKUP($A117,'Data Vlaue (Cr)'!$C:$FB,62)*100</f>
        <v>97.67</v>
      </c>
      <c r="M117" s="51">
        <f>VLOOKUP($A117,'Data Vlaue (Cr)'!$C:$FB,63)</f>
        <v>720</v>
      </c>
      <c r="N117" s="51">
        <f>VLOOKUP($A117,'Data Vlaue (Cr)'!$C:$FB,64)</f>
        <v>493</v>
      </c>
      <c r="O117" s="51">
        <f>VLOOKUP($A117,'Data Vlaue (Cr)'!$C:$FB,66)*100</f>
        <v>46.1</v>
      </c>
    </row>
    <row r="118" spans="1:15" x14ac:dyDescent="0.25">
      <c r="A118" s="101" t="str">
        <f>'Data Vlaue (Cr)'!C113</f>
        <v>KEI</v>
      </c>
      <c r="B118" s="50">
        <f>VLOOKUP($A118,'Data Vlaue (Cr)'!$C:$FB,8)</f>
        <v>4172.6000000000004</v>
      </c>
      <c r="C118" s="50">
        <f>VLOOKUP($A118,'Data Vlaue (Cr)'!$C:$FB,11)*100</f>
        <v>-5.6099999999999994</v>
      </c>
      <c r="D118" s="50">
        <f>VLOOKUP($A118,'Data Vlaue (Cr)'!$C:$FB,143)</f>
        <v>8600.34</v>
      </c>
      <c r="E118" s="50">
        <f>VLOOKUP($A118,'Data Vlaue (Cr)'!$C:$FB,144)</f>
        <v>2449.56</v>
      </c>
      <c r="F118" s="50">
        <f>VLOOKUP($A118,'Data Vlaue (Cr)'!$C:$FB,146)*100</f>
        <v>251.10000000000002</v>
      </c>
      <c r="G118" s="49">
        <f>VLOOKUP($A118,'Data Vlaue (Cr)'!$C:$FB,43)</f>
        <v>1403</v>
      </c>
      <c r="H118" s="49">
        <f>VLOOKUP($A118,'Data Vlaue (Cr)'!$C:$FB,44)</f>
        <v>350</v>
      </c>
      <c r="I118" s="49">
        <f>VLOOKUP($A118,'Data Vlaue (Cr)'!$C:$FB,46)*100</f>
        <v>300.75</v>
      </c>
      <c r="J118" s="51">
        <f>VLOOKUP($A118,'Data Vlaue (Cr)'!$C:$FB,59)</f>
        <v>4894</v>
      </c>
      <c r="K118" s="51">
        <f>VLOOKUP($A118,'Data Vlaue (Cr)'!$C:$FB,60)</f>
        <v>1402</v>
      </c>
      <c r="L118" s="51">
        <f>VLOOKUP($A118,'Data Vlaue (Cr)'!$C:$FB,62)*100</f>
        <v>249.14999999999998</v>
      </c>
      <c r="M118" s="51">
        <f>VLOOKUP($A118,'Data Vlaue (Cr)'!$C:$FB,63)</f>
        <v>2001</v>
      </c>
      <c r="N118" s="51">
        <f>VLOOKUP($A118,'Data Vlaue (Cr)'!$C:$FB,64)</f>
        <v>509</v>
      </c>
      <c r="O118" s="51">
        <f>VLOOKUP($A118,'Data Vlaue (Cr)'!$C:$FB,66)*100</f>
        <v>293.13</v>
      </c>
    </row>
    <row r="119" spans="1:15" x14ac:dyDescent="0.25">
      <c r="A119" s="101" t="str">
        <f>'Data Vlaue (Cr)'!C114</f>
        <v>KFINTECH</v>
      </c>
      <c r="B119" s="50">
        <f>VLOOKUP($A119,'Data Vlaue (Cr)'!$C:$FB,8)</f>
        <v>1123.9000000000001</v>
      </c>
      <c r="C119" s="50">
        <f>VLOOKUP($A119,'Data Vlaue (Cr)'!$C:$FB,11)*100</f>
        <v>-0.35000000000000003</v>
      </c>
      <c r="D119" s="50">
        <f>VLOOKUP($A119,'Data Vlaue (Cr)'!$C:$FB,143)</f>
        <v>308.2</v>
      </c>
      <c r="E119" s="50">
        <f>VLOOKUP($A119,'Data Vlaue (Cr)'!$C:$FB,144)</f>
        <v>480.64</v>
      </c>
      <c r="F119" s="50">
        <f>VLOOKUP($A119,'Data Vlaue (Cr)'!$C:$FB,146)*100</f>
        <v>-35.880000000000003</v>
      </c>
      <c r="G119" s="49">
        <f>VLOOKUP($A119,'Data Vlaue (Cr)'!$C:$FB,43)</f>
        <v>77</v>
      </c>
      <c r="H119" s="49">
        <f>VLOOKUP($A119,'Data Vlaue (Cr)'!$C:$FB,44)</f>
        <v>125</v>
      </c>
      <c r="I119" s="49">
        <f>VLOOKUP($A119,'Data Vlaue (Cr)'!$C:$FB,46)*100</f>
        <v>-38.35</v>
      </c>
      <c r="J119" s="51">
        <f>VLOOKUP($A119,'Data Vlaue (Cr)'!$C:$FB,59)</f>
        <v>150</v>
      </c>
      <c r="K119" s="51">
        <f>VLOOKUP($A119,'Data Vlaue (Cr)'!$C:$FB,60)</f>
        <v>252</v>
      </c>
      <c r="L119" s="51">
        <f>VLOOKUP($A119,'Data Vlaue (Cr)'!$C:$FB,62)*100</f>
        <v>-40.660000000000004</v>
      </c>
      <c r="M119" s="51">
        <f>VLOOKUP($A119,'Data Vlaue (Cr)'!$C:$FB,63)</f>
        <v>76</v>
      </c>
      <c r="N119" s="51">
        <f>VLOOKUP($A119,'Data Vlaue (Cr)'!$C:$FB,64)</f>
        <v>94</v>
      </c>
      <c r="O119" s="51">
        <f>VLOOKUP($A119,'Data Vlaue (Cr)'!$C:$FB,66)*100</f>
        <v>-19.03</v>
      </c>
    </row>
    <row r="120" spans="1:15" x14ac:dyDescent="0.25">
      <c r="A120" s="101" t="str">
        <f>'Data Vlaue (Cr)'!C115</f>
        <v>KOTAKBANK</v>
      </c>
      <c r="B120" s="50">
        <f>VLOOKUP($A120,'Data Vlaue (Cr)'!$C:$FB,8)</f>
        <v>2205.4</v>
      </c>
      <c r="C120" s="50">
        <f>VLOOKUP($A120,'Data Vlaue (Cr)'!$C:$FB,11)*100</f>
        <v>2.6</v>
      </c>
      <c r="D120" s="50">
        <f>VLOOKUP($A120,'Data Vlaue (Cr)'!$C:$FB,143)</f>
        <v>12287.19</v>
      </c>
      <c r="E120" s="50">
        <f>VLOOKUP($A120,'Data Vlaue (Cr)'!$C:$FB,144)</f>
        <v>3199.07</v>
      </c>
      <c r="F120" s="50">
        <f>VLOOKUP($A120,'Data Vlaue (Cr)'!$C:$FB,146)*100</f>
        <v>284.08999999999997</v>
      </c>
      <c r="G120" s="49">
        <f>VLOOKUP($A120,'Data Vlaue (Cr)'!$C:$FB,43)</f>
        <v>1999</v>
      </c>
      <c r="H120" s="49">
        <f>VLOOKUP($A120,'Data Vlaue (Cr)'!$C:$FB,44)</f>
        <v>596</v>
      </c>
      <c r="I120" s="49">
        <f>VLOOKUP($A120,'Data Vlaue (Cr)'!$C:$FB,46)*100</f>
        <v>235.70000000000002</v>
      </c>
      <c r="J120" s="51">
        <f>VLOOKUP($A120,'Data Vlaue (Cr)'!$C:$FB,59)</f>
        <v>6218</v>
      </c>
      <c r="K120" s="51">
        <f>VLOOKUP($A120,'Data Vlaue (Cr)'!$C:$FB,60)</f>
        <v>1588</v>
      </c>
      <c r="L120" s="51">
        <f>VLOOKUP($A120,'Data Vlaue (Cr)'!$C:$FB,62)*100</f>
        <v>291.56</v>
      </c>
      <c r="M120" s="51">
        <f>VLOOKUP($A120,'Data Vlaue (Cr)'!$C:$FB,63)</f>
        <v>4093</v>
      </c>
      <c r="N120" s="51">
        <f>VLOOKUP($A120,'Data Vlaue (Cr)'!$C:$FB,64)</f>
        <v>1061</v>
      </c>
      <c r="O120" s="51">
        <f>VLOOKUP($A120,'Data Vlaue (Cr)'!$C:$FB,66)*100</f>
        <v>285.69</v>
      </c>
    </row>
    <row r="121" spans="1:15" x14ac:dyDescent="0.25">
      <c r="A121" s="101" t="str">
        <f>'Data Vlaue (Cr)'!C116</f>
        <v>KPITTECH</v>
      </c>
      <c r="B121" s="50">
        <f>VLOOKUP($A121,'Data Vlaue (Cr)'!$C:$FB,8)</f>
        <v>1161.9000000000001</v>
      </c>
      <c r="C121" s="50">
        <f>VLOOKUP($A121,'Data Vlaue (Cr)'!$C:$FB,11)*100</f>
        <v>-0.33</v>
      </c>
      <c r="D121" s="50">
        <f>VLOOKUP($A121,'Data Vlaue (Cr)'!$C:$FB,143)</f>
        <v>338.95</v>
      </c>
      <c r="E121" s="50">
        <f>VLOOKUP($A121,'Data Vlaue (Cr)'!$C:$FB,144)</f>
        <v>374.27</v>
      </c>
      <c r="F121" s="50">
        <f>VLOOKUP($A121,'Data Vlaue (Cr)'!$C:$FB,146)*100</f>
        <v>-9.44</v>
      </c>
      <c r="G121" s="49">
        <f>VLOOKUP($A121,'Data Vlaue (Cr)'!$C:$FB,43)</f>
        <v>120</v>
      </c>
      <c r="H121" s="49">
        <f>VLOOKUP($A121,'Data Vlaue (Cr)'!$C:$FB,44)</f>
        <v>88</v>
      </c>
      <c r="I121" s="49">
        <f>VLOOKUP($A121,'Data Vlaue (Cr)'!$C:$FB,46)*100</f>
        <v>37.130000000000003</v>
      </c>
      <c r="J121" s="51">
        <f>VLOOKUP($A121,'Data Vlaue (Cr)'!$C:$FB,59)</f>
        <v>147</v>
      </c>
      <c r="K121" s="51">
        <f>VLOOKUP($A121,'Data Vlaue (Cr)'!$C:$FB,60)</f>
        <v>209</v>
      </c>
      <c r="L121" s="51">
        <f>VLOOKUP($A121,'Data Vlaue (Cr)'!$C:$FB,62)*100</f>
        <v>-29.53</v>
      </c>
      <c r="M121" s="51">
        <f>VLOOKUP($A121,'Data Vlaue (Cr)'!$C:$FB,63)</f>
        <v>66</v>
      </c>
      <c r="N121" s="51">
        <f>VLOOKUP($A121,'Data Vlaue (Cr)'!$C:$FB,64)</f>
        <v>70</v>
      </c>
      <c r="O121" s="51">
        <f>VLOOKUP($A121,'Data Vlaue (Cr)'!$C:$FB,66)*100</f>
        <v>-5.99</v>
      </c>
    </row>
    <row r="122" spans="1:15" x14ac:dyDescent="0.25">
      <c r="A122" s="101" t="str">
        <f>'Data Vlaue (Cr)'!C117</f>
        <v>LAURUSLABS</v>
      </c>
      <c r="B122" s="50">
        <f>VLOOKUP($A122,'Data Vlaue (Cr)'!$C:$FB,8)</f>
        <v>872.85</v>
      </c>
      <c r="C122" s="50">
        <f>VLOOKUP($A122,'Data Vlaue (Cr)'!$C:$FB,11)*100</f>
        <v>-0.27999999999999997</v>
      </c>
      <c r="D122" s="50">
        <f>VLOOKUP($A122,'Data Vlaue (Cr)'!$C:$FB,143)</f>
        <v>1567.27</v>
      </c>
      <c r="E122" s="50">
        <f>VLOOKUP($A122,'Data Vlaue (Cr)'!$C:$FB,144)</f>
        <v>1180.74</v>
      </c>
      <c r="F122" s="50">
        <f>VLOOKUP($A122,'Data Vlaue (Cr)'!$C:$FB,146)*100</f>
        <v>32.74</v>
      </c>
      <c r="G122" s="49">
        <f>VLOOKUP($A122,'Data Vlaue (Cr)'!$C:$FB,43)</f>
        <v>360</v>
      </c>
      <c r="H122" s="49">
        <f>VLOOKUP($A122,'Data Vlaue (Cr)'!$C:$FB,44)</f>
        <v>289</v>
      </c>
      <c r="I122" s="49">
        <f>VLOOKUP($A122,'Data Vlaue (Cr)'!$C:$FB,46)*100</f>
        <v>24.51</v>
      </c>
      <c r="J122" s="51">
        <f>VLOOKUP($A122,'Data Vlaue (Cr)'!$C:$FB,59)</f>
        <v>840</v>
      </c>
      <c r="K122" s="51">
        <f>VLOOKUP($A122,'Data Vlaue (Cr)'!$C:$FB,60)</f>
        <v>594</v>
      </c>
      <c r="L122" s="51">
        <f>VLOOKUP($A122,'Data Vlaue (Cr)'!$C:$FB,62)*100</f>
        <v>41.47</v>
      </c>
      <c r="M122" s="51">
        <f>VLOOKUP($A122,'Data Vlaue (Cr)'!$C:$FB,63)</f>
        <v>322</v>
      </c>
      <c r="N122" s="51">
        <f>VLOOKUP($A122,'Data Vlaue (Cr)'!$C:$FB,64)</f>
        <v>269</v>
      </c>
      <c r="O122" s="51">
        <f>VLOOKUP($A122,'Data Vlaue (Cr)'!$C:$FB,66)*100</f>
        <v>19.809999999999999</v>
      </c>
    </row>
    <row r="123" spans="1:15" x14ac:dyDescent="0.25">
      <c r="A123" s="101" t="str">
        <f>'Data Vlaue (Cr)'!C118</f>
        <v>LICHSGFIN</v>
      </c>
      <c r="B123" s="50">
        <f>VLOOKUP($A123,'Data Vlaue (Cr)'!$C:$FB,8)</f>
        <v>569.29999999999995</v>
      </c>
      <c r="C123" s="50">
        <f>VLOOKUP($A123,'Data Vlaue (Cr)'!$C:$FB,11)*100</f>
        <v>0.04</v>
      </c>
      <c r="D123" s="50">
        <f>VLOOKUP($A123,'Data Vlaue (Cr)'!$C:$FB,143)</f>
        <v>515.47</v>
      </c>
      <c r="E123" s="50">
        <f>VLOOKUP($A123,'Data Vlaue (Cr)'!$C:$FB,144)</f>
        <v>520.34</v>
      </c>
      <c r="F123" s="50">
        <f>VLOOKUP($A123,'Data Vlaue (Cr)'!$C:$FB,146)*100</f>
        <v>-0.94000000000000006</v>
      </c>
      <c r="G123" s="49">
        <f>VLOOKUP($A123,'Data Vlaue (Cr)'!$C:$FB,43)</f>
        <v>148</v>
      </c>
      <c r="H123" s="49">
        <f>VLOOKUP($A123,'Data Vlaue (Cr)'!$C:$FB,44)</f>
        <v>135</v>
      </c>
      <c r="I123" s="49">
        <f>VLOOKUP($A123,'Data Vlaue (Cr)'!$C:$FB,46)*100</f>
        <v>9.49</v>
      </c>
      <c r="J123" s="51">
        <f>VLOOKUP($A123,'Data Vlaue (Cr)'!$C:$FB,59)</f>
        <v>265</v>
      </c>
      <c r="K123" s="51">
        <f>VLOOKUP($A123,'Data Vlaue (Cr)'!$C:$FB,60)</f>
        <v>263</v>
      </c>
      <c r="L123" s="51">
        <f>VLOOKUP($A123,'Data Vlaue (Cr)'!$C:$FB,62)*100</f>
        <v>0.76</v>
      </c>
      <c r="M123" s="51">
        <f>VLOOKUP($A123,'Data Vlaue (Cr)'!$C:$FB,63)</f>
        <v>95</v>
      </c>
      <c r="N123" s="51">
        <f>VLOOKUP($A123,'Data Vlaue (Cr)'!$C:$FB,64)</f>
        <v>113</v>
      </c>
      <c r="O123" s="51">
        <f>VLOOKUP($A123,'Data Vlaue (Cr)'!$C:$FB,66)*100</f>
        <v>-16.170000000000002</v>
      </c>
    </row>
    <row r="124" spans="1:15" x14ac:dyDescent="0.25">
      <c r="A124" s="101" t="str">
        <f>'Data Vlaue (Cr)'!C119</f>
        <v>LICI</v>
      </c>
      <c r="B124" s="50">
        <f>VLOOKUP($A124,'Data Vlaue (Cr)'!$C:$FB,8)</f>
        <v>894.15</v>
      </c>
      <c r="C124" s="50">
        <f>VLOOKUP($A124,'Data Vlaue (Cr)'!$C:$FB,11)*100</f>
        <v>-0.53</v>
      </c>
      <c r="D124" s="50">
        <f>VLOOKUP($A124,'Data Vlaue (Cr)'!$C:$FB,143)</f>
        <v>793.47</v>
      </c>
      <c r="E124" s="50">
        <f>VLOOKUP($A124,'Data Vlaue (Cr)'!$C:$FB,144)</f>
        <v>480.17</v>
      </c>
      <c r="F124" s="50">
        <f>VLOOKUP($A124,'Data Vlaue (Cr)'!$C:$FB,146)*100</f>
        <v>65.25</v>
      </c>
      <c r="G124" s="49">
        <f>VLOOKUP($A124,'Data Vlaue (Cr)'!$C:$FB,43)</f>
        <v>194</v>
      </c>
      <c r="H124" s="49">
        <f>VLOOKUP($A124,'Data Vlaue (Cr)'!$C:$FB,44)</f>
        <v>102</v>
      </c>
      <c r="I124" s="49">
        <f>VLOOKUP($A124,'Data Vlaue (Cr)'!$C:$FB,46)*100</f>
        <v>90.77</v>
      </c>
      <c r="J124" s="51">
        <f>VLOOKUP($A124,'Data Vlaue (Cr)'!$C:$FB,59)</f>
        <v>400</v>
      </c>
      <c r="K124" s="51">
        <f>VLOOKUP($A124,'Data Vlaue (Cr)'!$C:$FB,60)</f>
        <v>277</v>
      </c>
      <c r="L124" s="51">
        <f>VLOOKUP($A124,'Data Vlaue (Cr)'!$C:$FB,62)*100</f>
        <v>44.48</v>
      </c>
      <c r="M124" s="51">
        <f>VLOOKUP($A124,'Data Vlaue (Cr)'!$C:$FB,63)</f>
        <v>180</v>
      </c>
      <c r="N124" s="51">
        <f>VLOOKUP($A124,'Data Vlaue (Cr)'!$C:$FB,64)</f>
        <v>88</v>
      </c>
      <c r="O124" s="51">
        <f>VLOOKUP($A124,'Data Vlaue (Cr)'!$C:$FB,66)*100</f>
        <v>105</v>
      </c>
    </row>
    <row r="125" spans="1:15" x14ac:dyDescent="0.25">
      <c r="A125" s="101" t="str">
        <f>'Data Vlaue (Cr)'!C120</f>
        <v>LODHA</v>
      </c>
      <c r="B125" s="50">
        <f>VLOOKUP($A125,'Data Vlaue (Cr)'!$C:$FB,8)</f>
        <v>1194.8</v>
      </c>
      <c r="C125" s="50">
        <f>VLOOKUP($A125,'Data Vlaue (Cr)'!$C:$FB,11)*100</f>
        <v>1.95</v>
      </c>
      <c r="D125" s="50">
        <f>VLOOKUP($A125,'Data Vlaue (Cr)'!$C:$FB,143)</f>
        <v>1801.45</v>
      </c>
      <c r="E125" s="50">
        <f>VLOOKUP($A125,'Data Vlaue (Cr)'!$C:$FB,144)</f>
        <v>2285</v>
      </c>
      <c r="F125" s="50">
        <f>VLOOKUP($A125,'Data Vlaue (Cr)'!$C:$FB,146)*100</f>
        <v>-21.16</v>
      </c>
      <c r="G125" s="49">
        <f>VLOOKUP($A125,'Data Vlaue (Cr)'!$C:$FB,43)</f>
        <v>319</v>
      </c>
      <c r="H125" s="49">
        <f>VLOOKUP($A125,'Data Vlaue (Cr)'!$C:$FB,44)</f>
        <v>318</v>
      </c>
      <c r="I125" s="49">
        <f>VLOOKUP($A125,'Data Vlaue (Cr)'!$C:$FB,46)*100</f>
        <v>0.53</v>
      </c>
      <c r="J125" s="51">
        <f>VLOOKUP($A125,'Data Vlaue (Cr)'!$C:$FB,59)</f>
        <v>1179</v>
      </c>
      <c r="K125" s="51">
        <f>VLOOKUP($A125,'Data Vlaue (Cr)'!$C:$FB,60)</f>
        <v>1540</v>
      </c>
      <c r="L125" s="51">
        <f>VLOOKUP($A125,'Data Vlaue (Cr)'!$C:$FB,62)*100</f>
        <v>-23.419999999999998</v>
      </c>
      <c r="M125" s="51">
        <f>VLOOKUP($A125,'Data Vlaue (Cr)'!$C:$FB,63)</f>
        <v>285</v>
      </c>
      <c r="N125" s="51">
        <f>VLOOKUP($A125,'Data Vlaue (Cr)'!$C:$FB,64)</f>
        <v>413</v>
      </c>
      <c r="O125" s="51">
        <f>VLOOKUP($A125,'Data Vlaue (Cr)'!$C:$FB,66)*100</f>
        <v>-30.930000000000003</v>
      </c>
    </row>
    <row r="126" spans="1:15" x14ac:dyDescent="0.25">
      <c r="A126" s="101" t="str">
        <f>'Data Vlaue (Cr)'!C121</f>
        <v>LT</v>
      </c>
      <c r="B126" s="50">
        <f>VLOOKUP($A126,'Data Vlaue (Cr)'!$C:$FB,8)</f>
        <v>3861.8</v>
      </c>
      <c r="C126" s="50">
        <f>VLOOKUP($A126,'Data Vlaue (Cr)'!$C:$FB,11)*100</f>
        <v>0.86</v>
      </c>
      <c r="D126" s="50">
        <f>VLOOKUP($A126,'Data Vlaue (Cr)'!$C:$FB,143)</f>
        <v>8676.2999999999993</v>
      </c>
      <c r="E126" s="50">
        <f>VLOOKUP($A126,'Data Vlaue (Cr)'!$C:$FB,144)</f>
        <v>11451.11</v>
      </c>
      <c r="F126" s="50">
        <f>VLOOKUP($A126,'Data Vlaue (Cr)'!$C:$FB,146)*100</f>
        <v>-24.23</v>
      </c>
      <c r="G126" s="49">
        <f>VLOOKUP($A126,'Data Vlaue (Cr)'!$C:$FB,43)</f>
        <v>976</v>
      </c>
      <c r="H126" s="49">
        <f>VLOOKUP($A126,'Data Vlaue (Cr)'!$C:$FB,44)</f>
        <v>1213</v>
      </c>
      <c r="I126" s="49">
        <f>VLOOKUP($A126,'Data Vlaue (Cr)'!$C:$FB,46)*100</f>
        <v>-19.53</v>
      </c>
      <c r="J126" s="51">
        <f>VLOOKUP($A126,'Data Vlaue (Cr)'!$C:$FB,59)</f>
        <v>4841</v>
      </c>
      <c r="K126" s="51">
        <f>VLOOKUP($A126,'Data Vlaue (Cr)'!$C:$FB,60)</f>
        <v>6798</v>
      </c>
      <c r="L126" s="51">
        <f>VLOOKUP($A126,'Data Vlaue (Cr)'!$C:$FB,62)*100</f>
        <v>-28.78</v>
      </c>
      <c r="M126" s="51">
        <f>VLOOKUP($A126,'Data Vlaue (Cr)'!$C:$FB,63)</f>
        <v>2809</v>
      </c>
      <c r="N126" s="51">
        <f>VLOOKUP($A126,'Data Vlaue (Cr)'!$C:$FB,64)</f>
        <v>3480</v>
      </c>
      <c r="O126" s="51">
        <f>VLOOKUP($A126,'Data Vlaue (Cr)'!$C:$FB,66)*100</f>
        <v>-19.27</v>
      </c>
    </row>
    <row r="127" spans="1:15" x14ac:dyDescent="0.25">
      <c r="A127" s="101" t="str">
        <f>'Data Vlaue (Cr)'!C122</f>
        <v>LTF</v>
      </c>
      <c r="B127" s="50">
        <f>VLOOKUP($A127,'Data Vlaue (Cr)'!$C:$FB,8)</f>
        <v>269.19</v>
      </c>
      <c r="C127" s="50">
        <f>VLOOKUP($A127,'Data Vlaue (Cr)'!$C:$FB,11)*100</f>
        <v>-0.86999999999999988</v>
      </c>
      <c r="D127" s="50">
        <f>VLOOKUP($A127,'Data Vlaue (Cr)'!$C:$FB,143)</f>
        <v>7804.79</v>
      </c>
      <c r="E127" s="50">
        <f>VLOOKUP($A127,'Data Vlaue (Cr)'!$C:$FB,144)</f>
        <v>4136.04</v>
      </c>
      <c r="F127" s="50">
        <f>VLOOKUP($A127,'Data Vlaue (Cr)'!$C:$FB,146)*100</f>
        <v>88.7</v>
      </c>
      <c r="G127" s="49">
        <f>VLOOKUP($A127,'Data Vlaue (Cr)'!$C:$FB,43)</f>
        <v>957</v>
      </c>
      <c r="H127" s="49">
        <f>VLOOKUP($A127,'Data Vlaue (Cr)'!$C:$FB,44)</f>
        <v>545</v>
      </c>
      <c r="I127" s="49">
        <f>VLOOKUP($A127,'Data Vlaue (Cr)'!$C:$FB,46)*100</f>
        <v>75.73</v>
      </c>
      <c r="J127" s="51">
        <f>VLOOKUP($A127,'Data Vlaue (Cr)'!$C:$FB,59)</f>
        <v>4091</v>
      </c>
      <c r="K127" s="51">
        <f>VLOOKUP($A127,'Data Vlaue (Cr)'!$C:$FB,60)</f>
        <v>2259</v>
      </c>
      <c r="L127" s="51">
        <f>VLOOKUP($A127,'Data Vlaue (Cr)'!$C:$FB,62)*100</f>
        <v>81.12</v>
      </c>
      <c r="M127" s="51">
        <f>VLOOKUP($A127,'Data Vlaue (Cr)'!$C:$FB,63)</f>
        <v>2647</v>
      </c>
      <c r="N127" s="51">
        <f>VLOOKUP($A127,'Data Vlaue (Cr)'!$C:$FB,64)</f>
        <v>1284</v>
      </c>
      <c r="O127" s="51">
        <f>VLOOKUP($A127,'Data Vlaue (Cr)'!$C:$FB,66)*100</f>
        <v>106.04</v>
      </c>
    </row>
    <row r="128" spans="1:15" x14ac:dyDescent="0.25">
      <c r="A128" s="101" t="str">
        <f>'Data Vlaue (Cr)'!C123</f>
        <v>LTIM</v>
      </c>
      <c r="B128" s="50">
        <f>VLOOKUP($A128,'Data Vlaue (Cr)'!$C:$FB,8)</f>
        <v>5622.5</v>
      </c>
      <c r="C128" s="50">
        <f>VLOOKUP($A128,'Data Vlaue (Cr)'!$C:$FB,11)*100</f>
        <v>0.22999999999999998</v>
      </c>
      <c r="D128" s="50">
        <f>VLOOKUP($A128,'Data Vlaue (Cr)'!$C:$FB,143)</f>
        <v>3170.99</v>
      </c>
      <c r="E128" s="50">
        <f>VLOOKUP($A128,'Data Vlaue (Cr)'!$C:$FB,144)</f>
        <v>3792.21</v>
      </c>
      <c r="F128" s="50">
        <f>VLOOKUP($A128,'Data Vlaue (Cr)'!$C:$FB,146)*100</f>
        <v>-16.38</v>
      </c>
      <c r="G128" s="49">
        <f>VLOOKUP($A128,'Data Vlaue (Cr)'!$C:$FB,43)</f>
        <v>487</v>
      </c>
      <c r="H128" s="49">
        <f>VLOOKUP($A128,'Data Vlaue (Cr)'!$C:$FB,44)</f>
        <v>672</v>
      </c>
      <c r="I128" s="49">
        <f>VLOOKUP($A128,'Data Vlaue (Cr)'!$C:$FB,46)*100</f>
        <v>-27.560000000000002</v>
      </c>
      <c r="J128" s="51">
        <f>VLOOKUP($A128,'Data Vlaue (Cr)'!$C:$FB,59)</f>
        <v>1791</v>
      </c>
      <c r="K128" s="51">
        <f>VLOOKUP($A128,'Data Vlaue (Cr)'!$C:$FB,60)</f>
        <v>2320</v>
      </c>
      <c r="L128" s="51">
        <f>VLOOKUP($A128,'Data Vlaue (Cr)'!$C:$FB,62)*100</f>
        <v>-22.8</v>
      </c>
      <c r="M128" s="51">
        <f>VLOOKUP($A128,'Data Vlaue (Cr)'!$C:$FB,63)</f>
        <v>837</v>
      </c>
      <c r="N128" s="51">
        <f>VLOOKUP($A128,'Data Vlaue (Cr)'!$C:$FB,64)</f>
        <v>749</v>
      </c>
      <c r="O128" s="51">
        <f>VLOOKUP($A128,'Data Vlaue (Cr)'!$C:$FB,66)*100</f>
        <v>11.64</v>
      </c>
    </row>
    <row r="129" spans="1:15" x14ac:dyDescent="0.25">
      <c r="A129" s="101" t="str">
        <f>'Data Vlaue (Cr)'!C124</f>
        <v>LUPIN</v>
      </c>
      <c r="B129" s="50">
        <f>VLOOKUP($A129,'Data Vlaue (Cr)'!$C:$FB,8)</f>
        <v>1951.2</v>
      </c>
      <c r="C129" s="50">
        <f>VLOOKUP($A129,'Data Vlaue (Cr)'!$C:$FB,11)*100</f>
        <v>0.54999999999999993</v>
      </c>
      <c r="D129" s="50">
        <f>VLOOKUP($A129,'Data Vlaue (Cr)'!$C:$FB,143)</f>
        <v>731.42</v>
      </c>
      <c r="E129" s="50">
        <f>VLOOKUP($A129,'Data Vlaue (Cr)'!$C:$FB,144)</f>
        <v>897.31</v>
      </c>
      <c r="F129" s="50">
        <f>VLOOKUP($A129,'Data Vlaue (Cr)'!$C:$FB,146)*100</f>
        <v>-18.490000000000002</v>
      </c>
      <c r="G129" s="49">
        <f>VLOOKUP($A129,'Data Vlaue (Cr)'!$C:$FB,43)</f>
        <v>152</v>
      </c>
      <c r="H129" s="49">
        <f>VLOOKUP($A129,'Data Vlaue (Cr)'!$C:$FB,44)</f>
        <v>181</v>
      </c>
      <c r="I129" s="49">
        <f>VLOOKUP($A129,'Data Vlaue (Cr)'!$C:$FB,46)*100</f>
        <v>-16.16</v>
      </c>
      <c r="J129" s="51">
        <f>VLOOKUP($A129,'Data Vlaue (Cr)'!$C:$FB,59)</f>
        <v>454</v>
      </c>
      <c r="K129" s="51">
        <f>VLOOKUP($A129,'Data Vlaue (Cr)'!$C:$FB,60)</f>
        <v>523</v>
      </c>
      <c r="L129" s="51">
        <f>VLOOKUP($A129,'Data Vlaue (Cr)'!$C:$FB,62)*100</f>
        <v>-13.25</v>
      </c>
      <c r="M129" s="51">
        <f>VLOOKUP($A129,'Data Vlaue (Cr)'!$C:$FB,63)</f>
        <v>113</v>
      </c>
      <c r="N129" s="51">
        <f>VLOOKUP($A129,'Data Vlaue (Cr)'!$C:$FB,64)</f>
        <v>178</v>
      </c>
      <c r="O129" s="51">
        <f>VLOOKUP($A129,'Data Vlaue (Cr)'!$C:$FB,66)*100</f>
        <v>-36.94</v>
      </c>
    </row>
    <row r="130" spans="1:15" x14ac:dyDescent="0.25">
      <c r="A130" s="101" t="str">
        <f>'Data Vlaue (Cr)'!C125</f>
        <v>M&amp;M</v>
      </c>
      <c r="B130" s="50">
        <f>VLOOKUP($A130,'Data Vlaue (Cr)'!$C:$FB,8)</f>
        <v>3560.8</v>
      </c>
      <c r="C130" s="50">
        <f>VLOOKUP($A130,'Data Vlaue (Cr)'!$C:$FB,11)*100</f>
        <v>1.82</v>
      </c>
      <c r="D130" s="50">
        <f>VLOOKUP($A130,'Data Vlaue (Cr)'!$C:$FB,143)</f>
        <v>8408.1299999999992</v>
      </c>
      <c r="E130" s="50">
        <f>VLOOKUP($A130,'Data Vlaue (Cr)'!$C:$FB,144)</f>
        <v>3818.34</v>
      </c>
      <c r="F130" s="50">
        <f>VLOOKUP($A130,'Data Vlaue (Cr)'!$C:$FB,146)*100</f>
        <v>120.19999999999999</v>
      </c>
      <c r="G130" s="49">
        <f>VLOOKUP($A130,'Data Vlaue (Cr)'!$C:$FB,43)</f>
        <v>959</v>
      </c>
      <c r="H130" s="49">
        <f>VLOOKUP($A130,'Data Vlaue (Cr)'!$C:$FB,44)</f>
        <v>666</v>
      </c>
      <c r="I130" s="49">
        <f>VLOOKUP($A130,'Data Vlaue (Cr)'!$C:$FB,46)*100</f>
        <v>43.88</v>
      </c>
      <c r="J130" s="51">
        <f>VLOOKUP($A130,'Data Vlaue (Cr)'!$C:$FB,59)</f>
        <v>5243</v>
      </c>
      <c r="K130" s="51">
        <f>VLOOKUP($A130,'Data Vlaue (Cr)'!$C:$FB,60)</f>
        <v>2183</v>
      </c>
      <c r="L130" s="51">
        <f>VLOOKUP($A130,'Data Vlaue (Cr)'!$C:$FB,62)*100</f>
        <v>140.13</v>
      </c>
      <c r="M130" s="51">
        <f>VLOOKUP($A130,'Data Vlaue (Cr)'!$C:$FB,63)</f>
        <v>2107</v>
      </c>
      <c r="N130" s="51">
        <f>VLOOKUP($A130,'Data Vlaue (Cr)'!$C:$FB,64)</f>
        <v>978</v>
      </c>
      <c r="O130" s="51">
        <f>VLOOKUP($A130,'Data Vlaue (Cr)'!$C:$FB,66)*100</f>
        <v>115.32</v>
      </c>
    </row>
    <row r="131" spans="1:15" x14ac:dyDescent="0.25">
      <c r="A131" s="101" t="str">
        <f>'Data Vlaue (Cr)'!C126</f>
        <v>MANAPPURAM</v>
      </c>
      <c r="B131" s="50">
        <f>VLOOKUP($A131,'Data Vlaue (Cr)'!$C:$FB,8)</f>
        <v>286.8</v>
      </c>
      <c r="C131" s="50">
        <f>VLOOKUP($A131,'Data Vlaue (Cr)'!$C:$FB,11)*100</f>
        <v>-0.8</v>
      </c>
      <c r="D131" s="50">
        <f>VLOOKUP($A131,'Data Vlaue (Cr)'!$C:$FB,143)</f>
        <v>638.59</v>
      </c>
      <c r="E131" s="50">
        <f>VLOOKUP($A131,'Data Vlaue (Cr)'!$C:$FB,144)</f>
        <v>597.95000000000005</v>
      </c>
      <c r="F131" s="50">
        <f>VLOOKUP($A131,'Data Vlaue (Cr)'!$C:$FB,146)*100</f>
        <v>6.8000000000000007</v>
      </c>
      <c r="G131" s="49">
        <f>VLOOKUP($A131,'Data Vlaue (Cr)'!$C:$FB,43)</f>
        <v>125</v>
      </c>
      <c r="H131" s="49">
        <f>VLOOKUP($A131,'Data Vlaue (Cr)'!$C:$FB,44)</f>
        <v>118</v>
      </c>
      <c r="I131" s="49">
        <f>VLOOKUP($A131,'Data Vlaue (Cr)'!$C:$FB,46)*100</f>
        <v>6.45</v>
      </c>
      <c r="J131" s="51">
        <f>VLOOKUP($A131,'Data Vlaue (Cr)'!$C:$FB,59)</f>
        <v>380</v>
      </c>
      <c r="K131" s="51">
        <f>VLOOKUP($A131,'Data Vlaue (Cr)'!$C:$FB,60)</f>
        <v>342</v>
      </c>
      <c r="L131" s="51">
        <f>VLOOKUP($A131,'Data Vlaue (Cr)'!$C:$FB,62)*100</f>
        <v>11.27</v>
      </c>
      <c r="M131" s="51">
        <f>VLOOKUP($A131,'Data Vlaue (Cr)'!$C:$FB,63)</f>
        <v>113</v>
      </c>
      <c r="N131" s="51">
        <f>VLOOKUP($A131,'Data Vlaue (Cr)'!$C:$FB,64)</f>
        <v>122</v>
      </c>
      <c r="O131" s="51">
        <f>VLOOKUP($A131,'Data Vlaue (Cr)'!$C:$FB,66)*100</f>
        <v>-7.61</v>
      </c>
    </row>
    <row r="132" spans="1:15" x14ac:dyDescent="0.25">
      <c r="A132" s="101" t="str">
        <f>'Data Vlaue (Cr)'!C127</f>
        <v>MANKIND</v>
      </c>
      <c r="B132" s="50">
        <f>VLOOKUP($A132,'Data Vlaue (Cr)'!$C:$FB,8)</f>
        <v>2455.3000000000002</v>
      </c>
      <c r="C132" s="50">
        <f>VLOOKUP($A132,'Data Vlaue (Cr)'!$C:$FB,11)*100</f>
        <v>0.38999999999999996</v>
      </c>
      <c r="D132" s="50">
        <f>VLOOKUP($A132,'Data Vlaue (Cr)'!$C:$FB,143)</f>
        <v>271.64999999999998</v>
      </c>
      <c r="E132" s="50">
        <f>VLOOKUP($A132,'Data Vlaue (Cr)'!$C:$FB,144)</f>
        <v>340.64</v>
      </c>
      <c r="F132" s="50">
        <f>VLOOKUP($A132,'Data Vlaue (Cr)'!$C:$FB,146)*100</f>
        <v>-20.25</v>
      </c>
      <c r="G132" s="49">
        <f>VLOOKUP($A132,'Data Vlaue (Cr)'!$C:$FB,43)</f>
        <v>115</v>
      </c>
      <c r="H132" s="49">
        <f>VLOOKUP($A132,'Data Vlaue (Cr)'!$C:$FB,44)</f>
        <v>107</v>
      </c>
      <c r="I132" s="49">
        <f>VLOOKUP($A132,'Data Vlaue (Cr)'!$C:$FB,46)*100</f>
        <v>6.98</v>
      </c>
      <c r="J132" s="51">
        <f>VLOOKUP($A132,'Data Vlaue (Cr)'!$C:$FB,59)</f>
        <v>121</v>
      </c>
      <c r="K132" s="51">
        <f>VLOOKUP($A132,'Data Vlaue (Cr)'!$C:$FB,60)</f>
        <v>172</v>
      </c>
      <c r="L132" s="51">
        <f>VLOOKUP($A132,'Data Vlaue (Cr)'!$C:$FB,62)*100</f>
        <v>-29.880000000000003</v>
      </c>
      <c r="M132" s="51">
        <f>VLOOKUP($A132,'Data Vlaue (Cr)'!$C:$FB,63)</f>
        <v>32</v>
      </c>
      <c r="N132" s="51">
        <f>VLOOKUP($A132,'Data Vlaue (Cr)'!$C:$FB,64)</f>
        <v>55</v>
      </c>
      <c r="O132" s="51">
        <f>VLOOKUP($A132,'Data Vlaue (Cr)'!$C:$FB,66)*100</f>
        <v>-42.66</v>
      </c>
    </row>
    <row r="133" spans="1:15" x14ac:dyDescent="0.25">
      <c r="A133" s="101" t="str">
        <f>'Data Vlaue (Cr)'!C128</f>
        <v>MARICO</v>
      </c>
      <c r="B133" s="50">
        <f>VLOOKUP($A133,'Data Vlaue (Cr)'!$C:$FB,8)</f>
        <v>725.7</v>
      </c>
      <c r="C133" s="50">
        <f>VLOOKUP($A133,'Data Vlaue (Cr)'!$C:$FB,11)*100</f>
        <v>2.1800000000000002</v>
      </c>
      <c r="D133" s="50">
        <f>VLOOKUP($A133,'Data Vlaue (Cr)'!$C:$FB,143)</f>
        <v>992.17</v>
      </c>
      <c r="E133" s="50">
        <f>VLOOKUP($A133,'Data Vlaue (Cr)'!$C:$FB,144)</f>
        <v>464.35</v>
      </c>
      <c r="F133" s="50">
        <f>VLOOKUP($A133,'Data Vlaue (Cr)'!$C:$FB,146)*100</f>
        <v>113.67</v>
      </c>
      <c r="G133" s="49">
        <f>VLOOKUP($A133,'Data Vlaue (Cr)'!$C:$FB,43)</f>
        <v>173</v>
      </c>
      <c r="H133" s="49">
        <f>VLOOKUP($A133,'Data Vlaue (Cr)'!$C:$FB,44)</f>
        <v>106</v>
      </c>
      <c r="I133" s="49">
        <f>VLOOKUP($A133,'Data Vlaue (Cr)'!$C:$FB,46)*100</f>
        <v>63</v>
      </c>
      <c r="J133" s="51">
        <f>VLOOKUP($A133,'Data Vlaue (Cr)'!$C:$FB,59)</f>
        <v>631</v>
      </c>
      <c r="K133" s="51">
        <f>VLOOKUP($A133,'Data Vlaue (Cr)'!$C:$FB,60)</f>
        <v>252</v>
      </c>
      <c r="L133" s="51">
        <f>VLOOKUP($A133,'Data Vlaue (Cr)'!$C:$FB,62)*100</f>
        <v>150.14000000000001</v>
      </c>
      <c r="M133" s="51">
        <f>VLOOKUP($A133,'Data Vlaue (Cr)'!$C:$FB,63)</f>
        <v>184</v>
      </c>
      <c r="N133" s="51">
        <f>VLOOKUP($A133,'Data Vlaue (Cr)'!$C:$FB,64)</f>
        <v>109</v>
      </c>
      <c r="O133" s="51">
        <f>VLOOKUP($A133,'Data Vlaue (Cr)'!$C:$FB,66)*100</f>
        <v>69.260000000000005</v>
      </c>
    </row>
    <row r="134" spans="1:15" x14ac:dyDescent="0.25">
      <c r="A134" s="101" t="str">
        <f>'Data Vlaue (Cr)'!C129</f>
        <v>MARUTI</v>
      </c>
      <c r="B134" s="50">
        <f>VLOOKUP($A134,'Data Vlaue (Cr)'!$C:$FB,8)</f>
        <v>16298</v>
      </c>
      <c r="C134" s="50">
        <f>VLOOKUP($A134,'Data Vlaue (Cr)'!$C:$FB,11)*100</f>
        <v>0.53</v>
      </c>
      <c r="D134" s="50">
        <f>VLOOKUP($A134,'Data Vlaue (Cr)'!$C:$FB,143)</f>
        <v>7250</v>
      </c>
      <c r="E134" s="50">
        <f>VLOOKUP($A134,'Data Vlaue (Cr)'!$C:$FB,144)</f>
        <v>9108</v>
      </c>
      <c r="F134" s="50">
        <f>VLOOKUP($A134,'Data Vlaue (Cr)'!$C:$FB,146)*100</f>
        <v>-20.399999999999999</v>
      </c>
      <c r="G134" s="49">
        <f>VLOOKUP($A134,'Data Vlaue (Cr)'!$C:$FB,43)</f>
        <v>611</v>
      </c>
      <c r="H134" s="49">
        <f>VLOOKUP($A134,'Data Vlaue (Cr)'!$C:$FB,44)</f>
        <v>634</v>
      </c>
      <c r="I134" s="49">
        <f>VLOOKUP($A134,'Data Vlaue (Cr)'!$C:$FB,46)*100</f>
        <v>-3.62</v>
      </c>
      <c r="J134" s="51">
        <f>VLOOKUP($A134,'Data Vlaue (Cr)'!$C:$FB,59)</f>
        <v>4253</v>
      </c>
      <c r="K134" s="51">
        <f>VLOOKUP($A134,'Data Vlaue (Cr)'!$C:$FB,60)</f>
        <v>4961</v>
      </c>
      <c r="L134" s="51">
        <f>VLOOKUP($A134,'Data Vlaue (Cr)'!$C:$FB,62)*100</f>
        <v>-14.27</v>
      </c>
      <c r="M134" s="51">
        <f>VLOOKUP($A134,'Data Vlaue (Cr)'!$C:$FB,63)</f>
        <v>2314</v>
      </c>
      <c r="N134" s="51">
        <f>VLOOKUP($A134,'Data Vlaue (Cr)'!$C:$FB,64)</f>
        <v>3444</v>
      </c>
      <c r="O134" s="51">
        <f>VLOOKUP($A134,'Data Vlaue (Cr)'!$C:$FB,66)*100</f>
        <v>-32.800000000000004</v>
      </c>
    </row>
    <row r="135" spans="1:15" x14ac:dyDescent="0.25">
      <c r="A135" s="101" t="str">
        <f>'Data Vlaue (Cr)'!C130</f>
        <v>MAXHEALTH</v>
      </c>
      <c r="B135" s="50">
        <f>VLOOKUP($A135,'Data Vlaue (Cr)'!$C:$FB,8)</f>
        <v>1175.3</v>
      </c>
      <c r="C135" s="50">
        <f>VLOOKUP($A135,'Data Vlaue (Cr)'!$C:$FB,11)*100</f>
        <v>1.69</v>
      </c>
      <c r="D135" s="50">
        <f>VLOOKUP($A135,'Data Vlaue (Cr)'!$C:$FB,143)</f>
        <v>1192.19</v>
      </c>
      <c r="E135" s="50">
        <f>VLOOKUP($A135,'Data Vlaue (Cr)'!$C:$FB,144)</f>
        <v>993.28</v>
      </c>
      <c r="F135" s="50">
        <f>VLOOKUP($A135,'Data Vlaue (Cr)'!$C:$FB,146)*100</f>
        <v>20.03</v>
      </c>
      <c r="G135" s="49">
        <f>VLOOKUP($A135,'Data Vlaue (Cr)'!$C:$FB,43)</f>
        <v>237</v>
      </c>
      <c r="H135" s="49">
        <f>VLOOKUP($A135,'Data Vlaue (Cr)'!$C:$FB,44)</f>
        <v>183</v>
      </c>
      <c r="I135" s="49">
        <f>VLOOKUP($A135,'Data Vlaue (Cr)'!$C:$FB,46)*100</f>
        <v>29.18</v>
      </c>
      <c r="J135" s="51">
        <f>VLOOKUP($A135,'Data Vlaue (Cr)'!$C:$FB,59)</f>
        <v>703</v>
      </c>
      <c r="K135" s="51">
        <f>VLOOKUP($A135,'Data Vlaue (Cr)'!$C:$FB,60)</f>
        <v>528</v>
      </c>
      <c r="L135" s="51">
        <f>VLOOKUP($A135,'Data Vlaue (Cr)'!$C:$FB,62)*100</f>
        <v>33.01</v>
      </c>
      <c r="M135" s="51">
        <f>VLOOKUP($A135,'Data Vlaue (Cr)'!$C:$FB,63)</f>
        <v>243</v>
      </c>
      <c r="N135" s="51">
        <f>VLOOKUP($A135,'Data Vlaue (Cr)'!$C:$FB,64)</f>
        <v>281</v>
      </c>
      <c r="O135" s="51">
        <f>VLOOKUP($A135,'Data Vlaue (Cr)'!$C:$FB,66)*100</f>
        <v>-13.52</v>
      </c>
    </row>
    <row r="136" spans="1:15" x14ac:dyDescent="0.25">
      <c r="A136" s="101" t="str">
        <f>'Data Vlaue (Cr)'!C131</f>
        <v>MAZDOCK</v>
      </c>
      <c r="B136" s="50">
        <f>VLOOKUP($A136,'Data Vlaue (Cr)'!$C:$FB,8)</f>
        <v>2831.9</v>
      </c>
      <c r="C136" s="50">
        <f>VLOOKUP($A136,'Data Vlaue (Cr)'!$C:$FB,11)*100</f>
        <v>-0.72</v>
      </c>
      <c r="D136" s="50">
        <f>VLOOKUP($A136,'Data Vlaue (Cr)'!$C:$FB,143)</f>
        <v>1074.8</v>
      </c>
      <c r="E136" s="50">
        <f>VLOOKUP($A136,'Data Vlaue (Cr)'!$C:$FB,144)</f>
        <v>1869.54</v>
      </c>
      <c r="F136" s="50">
        <f>VLOOKUP($A136,'Data Vlaue (Cr)'!$C:$FB,146)*100</f>
        <v>-42.51</v>
      </c>
      <c r="G136" s="49">
        <f>VLOOKUP($A136,'Data Vlaue (Cr)'!$C:$FB,43)</f>
        <v>224</v>
      </c>
      <c r="H136" s="49">
        <f>VLOOKUP($A136,'Data Vlaue (Cr)'!$C:$FB,44)</f>
        <v>248</v>
      </c>
      <c r="I136" s="49">
        <f>VLOOKUP($A136,'Data Vlaue (Cr)'!$C:$FB,46)*100</f>
        <v>-9.91</v>
      </c>
      <c r="J136" s="51">
        <f>VLOOKUP($A136,'Data Vlaue (Cr)'!$C:$FB,59)</f>
        <v>608</v>
      </c>
      <c r="K136" s="51">
        <f>VLOOKUP($A136,'Data Vlaue (Cr)'!$C:$FB,60)</f>
        <v>1209</v>
      </c>
      <c r="L136" s="51">
        <f>VLOOKUP($A136,'Data Vlaue (Cr)'!$C:$FB,62)*100</f>
        <v>-49.7</v>
      </c>
      <c r="M136" s="51">
        <f>VLOOKUP($A136,'Data Vlaue (Cr)'!$C:$FB,63)</f>
        <v>206</v>
      </c>
      <c r="N136" s="51">
        <f>VLOOKUP($A136,'Data Vlaue (Cr)'!$C:$FB,64)</f>
        <v>336</v>
      </c>
      <c r="O136" s="51">
        <f>VLOOKUP($A136,'Data Vlaue (Cr)'!$C:$FB,66)*100</f>
        <v>-38.619999999999997</v>
      </c>
    </row>
    <row r="137" spans="1:15" x14ac:dyDescent="0.25">
      <c r="A137" s="101" t="str">
        <f>'Data Vlaue (Cr)'!C132</f>
        <v>MCX</v>
      </c>
      <c r="B137" s="50">
        <f>VLOOKUP($A137,'Data Vlaue (Cr)'!$C:$FB,8)</f>
        <v>9330.5</v>
      </c>
      <c r="C137" s="50">
        <f>VLOOKUP($A137,'Data Vlaue (Cr)'!$C:$FB,11)*100</f>
        <v>-2.21</v>
      </c>
      <c r="D137" s="50">
        <f>VLOOKUP($A137,'Data Vlaue (Cr)'!$C:$FB,143)</f>
        <v>14657.32</v>
      </c>
      <c r="E137" s="50">
        <f>VLOOKUP($A137,'Data Vlaue (Cr)'!$C:$FB,144)</f>
        <v>16568.27</v>
      </c>
      <c r="F137" s="50">
        <f>VLOOKUP($A137,'Data Vlaue (Cr)'!$C:$FB,146)*100</f>
        <v>-11.53</v>
      </c>
      <c r="G137" s="49">
        <f>VLOOKUP($A137,'Data Vlaue (Cr)'!$C:$FB,43)</f>
        <v>1339</v>
      </c>
      <c r="H137" s="49">
        <f>VLOOKUP($A137,'Data Vlaue (Cr)'!$C:$FB,44)</f>
        <v>1092</v>
      </c>
      <c r="I137" s="49">
        <f>VLOOKUP($A137,'Data Vlaue (Cr)'!$C:$FB,46)*100</f>
        <v>22.650000000000002</v>
      </c>
      <c r="J137" s="51">
        <f>VLOOKUP($A137,'Data Vlaue (Cr)'!$C:$FB,59)</f>
        <v>6964</v>
      </c>
      <c r="K137" s="51">
        <f>VLOOKUP($A137,'Data Vlaue (Cr)'!$C:$FB,60)</f>
        <v>9426</v>
      </c>
      <c r="L137" s="51">
        <f>VLOOKUP($A137,'Data Vlaue (Cr)'!$C:$FB,62)*100</f>
        <v>-26.119999999999997</v>
      </c>
      <c r="M137" s="51">
        <f>VLOOKUP($A137,'Data Vlaue (Cr)'!$C:$FB,63)</f>
        <v>6107</v>
      </c>
      <c r="N137" s="51">
        <f>VLOOKUP($A137,'Data Vlaue (Cr)'!$C:$FB,64)</f>
        <v>5517</v>
      </c>
      <c r="O137" s="51">
        <f>VLOOKUP($A137,'Data Vlaue (Cr)'!$C:$FB,66)*100</f>
        <v>10.69</v>
      </c>
    </row>
    <row r="138" spans="1:15" x14ac:dyDescent="0.25">
      <c r="A138" s="101" t="str">
        <f>'Data Vlaue (Cr)'!C133</f>
        <v>MFSL</v>
      </c>
      <c r="B138" s="50">
        <f>VLOOKUP($A138,'Data Vlaue (Cr)'!$C:$FB,8)</f>
        <v>1552.4</v>
      </c>
      <c r="C138" s="50">
        <f>VLOOKUP($A138,'Data Vlaue (Cr)'!$C:$FB,11)*100</f>
        <v>-3.52</v>
      </c>
      <c r="D138" s="50">
        <f>VLOOKUP($A138,'Data Vlaue (Cr)'!$C:$FB,143)</f>
        <v>1576.63</v>
      </c>
      <c r="E138" s="50">
        <f>VLOOKUP($A138,'Data Vlaue (Cr)'!$C:$FB,144)</f>
        <v>528.96</v>
      </c>
      <c r="F138" s="50">
        <f>VLOOKUP($A138,'Data Vlaue (Cr)'!$C:$FB,146)*100</f>
        <v>198.06</v>
      </c>
      <c r="G138" s="49">
        <f>VLOOKUP($A138,'Data Vlaue (Cr)'!$C:$FB,43)</f>
        <v>384</v>
      </c>
      <c r="H138" s="49">
        <f>VLOOKUP($A138,'Data Vlaue (Cr)'!$C:$FB,44)</f>
        <v>124</v>
      </c>
      <c r="I138" s="49">
        <f>VLOOKUP($A138,'Data Vlaue (Cr)'!$C:$FB,46)*100</f>
        <v>209.34</v>
      </c>
      <c r="J138" s="51">
        <f>VLOOKUP($A138,'Data Vlaue (Cr)'!$C:$FB,59)</f>
        <v>780</v>
      </c>
      <c r="K138" s="51">
        <f>VLOOKUP($A138,'Data Vlaue (Cr)'!$C:$FB,60)</f>
        <v>289</v>
      </c>
      <c r="L138" s="51">
        <f>VLOOKUP($A138,'Data Vlaue (Cr)'!$C:$FB,62)*100</f>
        <v>170.29000000000002</v>
      </c>
      <c r="M138" s="51">
        <f>VLOOKUP($A138,'Data Vlaue (Cr)'!$C:$FB,63)</f>
        <v>365</v>
      </c>
      <c r="N138" s="51">
        <f>VLOOKUP($A138,'Data Vlaue (Cr)'!$C:$FB,64)</f>
        <v>86</v>
      </c>
      <c r="O138" s="51">
        <f>VLOOKUP($A138,'Data Vlaue (Cr)'!$C:$FB,66)*100</f>
        <v>322.8</v>
      </c>
    </row>
    <row r="139" spans="1:15" x14ac:dyDescent="0.25">
      <c r="A139" s="101" t="str">
        <f>'Data Vlaue (Cr)'!C134</f>
        <v>MIDCPNIFTY</v>
      </c>
      <c r="B139" s="50">
        <f>VLOOKUP($A139,'Data Vlaue (Cr)'!$C:$FB,8)</f>
        <v>13260.85</v>
      </c>
      <c r="C139" s="50">
        <f>VLOOKUP($A139,'Data Vlaue (Cr)'!$C:$FB,11)*100</f>
        <v>0.75</v>
      </c>
      <c r="D139" s="50">
        <f>VLOOKUP($A139,'Data Vlaue (Cr)'!$C:$FB,143)</f>
        <v>54564</v>
      </c>
      <c r="E139" s="50">
        <f>VLOOKUP($A139,'Data Vlaue (Cr)'!$C:$FB,144)</f>
        <v>48100.22</v>
      </c>
      <c r="F139" s="50">
        <f>VLOOKUP($A139,'Data Vlaue (Cr)'!$C:$FB,146)*100</f>
        <v>13.44</v>
      </c>
      <c r="G139" s="49">
        <f>VLOOKUP($A139,'Data Vlaue (Cr)'!$C:$FB,43)</f>
        <v>1213</v>
      </c>
      <c r="H139" s="49">
        <f>VLOOKUP($A139,'Data Vlaue (Cr)'!$C:$FB,44)</f>
        <v>742</v>
      </c>
      <c r="I139" s="49">
        <f>VLOOKUP($A139,'Data Vlaue (Cr)'!$C:$FB,46)*100</f>
        <v>63.460000000000008</v>
      </c>
      <c r="J139" s="51">
        <f>VLOOKUP($A139,'Data Vlaue (Cr)'!$C:$FB,59)</f>
        <v>27178</v>
      </c>
      <c r="K139" s="51">
        <f>VLOOKUP($A139,'Data Vlaue (Cr)'!$C:$FB,60)</f>
        <v>24188</v>
      </c>
      <c r="L139" s="51">
        <f>VLOOKUP($A139,'Data Vlaue (Cr)'!$C:$FB,62)*100</f>
        <v>12.36</v>
      </c>
      <c r="M139" s="51">
        <f>VLOOKUP($A139,'Data Vlaue (Cr)'!$C:$FB,63)</f>
        <v>26554</v>
      </c>
      <c r="N139" s="51">
        <f>VLOOKUP($A139,'Data Vlaue (Cr)'!$C:$FB,64)</f>
        <v>23607</v>
      </c>
      <c r="O139" s="51">
        <f>VLOOKUP($A139,'Data Vlaue (Cr)'!$C:$FB,66)*100</f>
        <v>12.479999999999999</v>
      </c>
    </row>
    <row r="140" spans="1:15" x14ac:dyDescent="0.25">
      <c r="A140" s="101" t="str">
        <f>'Data Vlaue (Cr)'!C135</f>
        <v>MOTHERSON</v>
      </c>
      <c r="B140" s="50">
        <f>VLOOKUP($A140,'Data Vlaue (Cr)'!$C:$FB,8)</f>
        <v>107.27</v>
      </c>
      <c r="C140" s="50">
        <f>VLOOKUP($A140,'Data Vlaue (Cr)'!$C:$FB,11)*100</f>
        <v>2.3800000000000003</v>
      </c>
      <c r="D140" s="50">
        <f>VLOOKUP($A140,'Data Vlaue (Cr)'!$C:$FB,143)</f>
        <v>2618.83</v>
      </c>
      <c r="E140" s="50">
        <f>VLOOKUP($A140,'Data Vlaue (Cr)'!$C:$FB,144)</f>
        <v>1082.78</v>
      </c>
      <c r="F140" s="50">
        <f>VLOOKUP($A140,'Data Vlaue (Cr)'!$C:$FB,146)*100</f>
        <v>141.86000000000001</v>
      </c>
      <c r="G140" s="49">
        <f>VLOOKUP($A140,'Data Vlaue (Cr)'!$C:$FB,43)</f>
        <v>431</v>
      </c>
      <c r="H140" s="49">
        <f>VLOOKUP($A140,'Data Vlaue (Cr)'!$C:$FB,44)</f>
        <v>202</v>
      </c>
      <c r="I140" s="49">
        <f>VLOOKUP($A140,'Data Vlaue (Cr)'!$C:$FB,46)*100</f>
        <v>113.72</v>
      </c>
      <c r="J140" s="51">
        <f>VLOOKUP($A140,'Data Vlaue (Cr)'!$C:$FB,59)</f>
        <v>1503</v>
      </c>
      <c r="K140" s="51">
        <f>VLOOKUP($A140,'Data Vlaue (Cr)'!$C:$FB,60)</f>
        <v>649</v>
      </c>
      <c r="L140" s="51">
        <f>VLOOKUP($A140,'Data Vlaue (Cr)'!$C:$FB,62)*100</f>
        <v>131.51</v>
      </c>
      <c r="M140" s="51">
        <f>VLOOKUP($A140,'Data Vlaue (Cr)'!$C:$FB,63)</f>
        <v>640</v>
      </c>
      <c r="N140" s="51">
        <f>VLOOKUP($A140,'Data Vlaue (Cr)'!$C:$FB,64)</f>
        <v>227</v>
      </c>
      <c r="O140" s="51">
        <f>VLOOKUP($A140,'Data Vlaue (Cr)'!$C:$FB,66)*100</f>
        <v>181.87</v>
      </c>
    </row>
    <row r="141" spans="1:15" x14ac:dyDescent="0.25">
      <c r="A141" s="101" t="str">
        <f>'Data Vlaue (Cr)'!C136</f>
        <v>MPHASIS</v>
      </c>
      <c r="B141" s="50">
        <f>VLOOKUP($A141,'Data Vlaue (Cr)'!$C:$FB,8)</f>
        <v>2783.6</v>
      </c>
      <c r="C141" s="50">
        <f>VLOOKUP($A141,'Data Vlaue (Cr)'!$C:$FB,11)*100</f>
        <v>0.06</v>
      </c>
      <c r="D141" s="50">
        <f>VLOOKUP($A141,'Data Vlaue (Cr)'!$C:$FB,143)</f>
        <v>490.5</v>
      </c>
      <c r="E141" s="50">
        <f>VLOOKUP($A141,'Data Vlaue (Cr)'!$C:$FB,144)</f>
        <v>903.96</v>
      </c>
      <c r="F141" s="50">
        <f>VLOOKUP($A141,'Data Vlaue (Cr)'!$C:$FB,146)*100</f>
        <v>-45.739999999999995</v>
      </c>
      <c r="G141" s="49">
        <f>VLOOKUP($A141,'Data Vlaue (Cr)'!$C:$FB,43)</f>
        <v>123</v>
      </c>
      <c r="H141" s="49">
        <f>VLOOKUP($A141,'Data Vlaue (Cr)'!$C:$FB,44)</f>
        <v>224</v>
      </c>
      <c r="I141" s="49">
        <f>VLOOKUP($A141,'Data Vlaue (Cr)'!$C:$FB,46)*100</f>
        <v>-45.050000000000004</v>
      </c>
      <c r="J141" s="51">
        <f>VLOOKUP($A141,'Data Vlaue (Cr)'!$C:$FB,59)</f>
        <v>249</v>
      </c>
      <c r="K141" s="51">
        <f>VLOOKUP($A141,'Data Vlaue (Cr)'!$C:$FB,60)</f>
        <v>487</v>
      </c>
      <c r="L141" s="51">
        <f>VLOOKUP($A141,'Data Vlaue (Cr)'!$C:$FB,62)*100</f>
        <v>-48.86</v>
      </c>
      <c r="M141" s="51">
        <f>VLOOKUP($A141,'Data Vlaue (Cr)'!$C:$FB,63)</f>
        <v>110</v>
      </c>
      <c r="N141" s="51">
        <f>VLOOKUP($A141,'Data Vlaue (Cr)'!$C:$FB,64)</f>
        <v>174</v>
      </c>
      <c r="O141" s="51">
        <f>VLOOKUP($A141,'Data Vlaue (Cr)'!$C:$FB,66)*100</f>
        <v>-36.880000000000003</v>
      </c>
    </row>
    <row r="142" spans="1:15" x14ac:dyDescent="0.25">
      <c r="A142" s="101" t="str">
        <f>'Data Vlaue (Cr)'!C137</f>
        <v>MUTHOOTFIN</v>
      </c>
      <c r="B142" s="50">
        <f>VLOOKUP($A142,'Data Vlaue (Cr)'!$C:$FB,8)</f>
        <v>3268.5</v>
      </c>
      <c r="C142" s="50">
        <f>VLOOKUP($A142,'Data Vlaue (Cr)'!$C:$FB,11)*100</f>
        <v>0.25</v>
      </c>
      <c r="D142" s="50">
        <f>VLOOKUP($A142,'Data Vlaue (Cr)'!$C:$FB,143)</f>
        <v>1761.49</v>
      </c>
      <c r="E142" s="50">
        <f>VLOOKUP($A142,'Data Vlaue (Cr)'!$C:$FB,144)</f>
        <v>2469.7600000000002</v>
      </c>
      <c r="F142" s="50">
        <f>VLOOKUP($A142,'Data Vlaue (Cr)'!$C:$FB,146)*100</f>
        <v>-28.68</v>
      </c>
      <c r="G142" s="49">
        <f>VLOOKUP($A142,'Data Vlaue (Cr)'!$C:$FB,43)</f>
        <v>221</v>
      </c>
      <c r="H142" s="49">
        <f>VLOOKUP($A142,'Data Vlaue (Cr)'!$C:$FB,44)</f>
        <v>279</v>
      </c>
      <c r="I142" s="49">
        <f>VLOOKUP($A142,'Data Vlaue (Cr)'!$C:$FB,46)*100</f>
        <v>-20.84</v>
      </c>
      <c r="J142" s="51">
        <f>VLOOKUP($A142,'Data Vlaue (Cr)'!$C:$FB,59)</f>
        <v>970</v>
      </c>
      <c r="K142" s="51">
        <f>VLOOKUP($A142,'Data Vlaue (Cr)'!$C:$FB,60)</f>
        <v>1313</v>
      </c>
      <c r="L142" s="51">
        <f>VLOOKUP($A142,'Data Vlaue (Cr)'!$C:$FB,62)*100</f>
        <v>-26.119999999999997</v>
      </c>
      <c r="M142" s="51">
        <f>VLOOKUP($A142,'Data Vlaue (Cr)'!$C:$FB,63)</f>
        <v>552</v>
      </c>
      <c r="N142" s="51">
        <f>VLOOKUP($A142,'Data Vlaue (Cr)'!$C:$FB,64)</f>
        <v>847</v>
      </c>
      <c r="O142" s="51">
        <f>VLOOKUP($A142,'Data Vlaue (Cr)'!$C:$FB,66)*100</f>
        <v>-34.82</v>
      </c>
    </row>
    <row r="143" spans="1:15" x14ac:dyDescent="0.25">
      <c r="A143" s="101" t="str">
        <f>'Data Vlaue (Cr)'!C138</f>
        <v>NATIONALUM</v>
      </c>
      <c r="B143" s="50">
        <f>VLOOKUP($A143,'Data Vlaue (Cr)'!$C:$FB,8)</f>
        <v>226.84</v>
      </c>
      <c r="C143" s="50">
        <f>VLOOKUP($A143,'Data Vlaue (Cr)'!$C:$FB,11)*100</f>
        <v>0.13</v>
      </c>
      <c r="D143" s="50">
        <f>VLOOKUP($A143,'Data Vlaue (Cr)'!$C:$FB,143)</f>
        <v>1402.46</v>
      </c>
      <c r="E143" s="50">
        <f>VLOOKUP($A143,'Data Vlaue (Cr)'!$C:$FB,144)</f>
        <v>1336.35</v>
      </c>
      <c r="F143" s="50">
        <f>VLOOKUP($A143,'Data Vlaue (Cr)'!$C:$FB,146)*100</f>
        <v>4.95</v>
      </c>
      <c r="G143" s="49">
        <f>VLOOKUP($A143,'Data Vlaue (Cr)'!$C:$FB,43)</f>
        <v>276</v>
      </c>
      <c r="H143" s="49">
        <f>VLOOKUP($A143,'Data Vlaue (Cr)'!$C:$FB,44)</f>
        <v>330</v>
      </c>
      <c r="I143" s="49">
        <f>VLOOKUP($A143,'Data Vlaue (Cr)'!$C:$FB,46)*100</f>
        <v>-16.489999999999998</v>
      </c>
      <c r="J143" s="51">
        <f>VLOOKUP($A143,'Data Vlaue (Cr)'!$C:$FB,59)</f>
        <v>737</v>
      </c>
      <c r="K143" s="51">
        <f>VLOOKUP($A143,'Data Vlaue (Cr)'!$C:$FB,60)</f>
        <v>633</v>
      </c>
      <c r="L143" s="51">
        <f>VLOOKUP($A143,'Data Vlaue (Cr)'!$C:$FB,62)*100</f>
        <v>16.420000000000002</v>
      </c>
      <c r="M143" s="51">
        <f>VLOOKUP($A143,'Data Vlaue (Cr)'!$C:$FB,63)</f>
        <v>368</v>
      </c>
      <c r="N143" s="51">
        <f>VLOOKUP($A143,'Data Vlaue (Cr)'!$C:$FB,64)</f>
        <v>355</v>
      </c>
      <c r="O143" s="51">
        <f>VLOOKUP($A143,'Data Vlaue (Cr)'!$C:$FB,66)*100</f>
        <v>3.7199999999999998</v>
      </c>
    </row>
    <row r="144" spans="1:15" x14ac:dyDescent="0.25">
      <c r="A144" s="101" t="str">
        <f>'Data Vlaue (Cr)'!C139</f>
        <v>NAUKRI</v>
      </c>
      <c r="B144" s="50">
        <f>VLOOKUP($A144,'Data Vlaue (Cr)'!$C:$FB,8)</f>
        <v>1348.5</v>
      </c>
      <c r="C144" s="50">
        <f>VLOOKUP($A144,'Data Vlaue (Cr)'!$C:$FB,11)*100</f>
        <v>1.03</v>
      </c>
      <c r="D144" s="50">
        <f>VLOOKUP($A144,'Data Vlaue (Cr)'!$C:$FB,143)</f>
        <v>526.77</v>
      </c>
      <c r="E144" s="50">
        <f>VLOOKUP($A144,'Data Vlaue (Cr)'!$C:$FB,144)</f>
        <v>357.61</v>
      </c>
      <c r="F144" s="50">
        <f>VLOOKUP($A144,'Data Vlaue (Cr)'!$C:$FB,146)*100</f>
        <v>47.3</v>
      </c>
      <c r="G144" s="49">
        <f>VLOOKUP($A144,'Data Vlaue (Cr)'!$C:$FB,43)</f>
        <v>123</v>
      </c>
      <c r="H144" s="49">
        <f>VLOOKUP($A144,'Data Vlaue (Cr)'!$C:$FB,44)</f>
        <v>80</v>
      </c>
      <c r="I144" s="49">
        <f>VLOOKUP($A144,'Data Vlaue (Cr)'!$C:$FB,46)*100</f>
        <v>54.64</v>
      </c>
      <c r="J144" s="51">
        <f>VLOOKUP($A144,'Data Vlaue (Cr)'!$C:$FB,59)</f>
        <v>291</v>
      </c>
      <c r="K144" s="51">
        <f>VLOOKUP($A144,'Data Vlaue (Cr)'!$C:$FB,60)</f>
        <v>201</v>
      </c>
      <c r="L144" s="51">
        <f>VLOOKUP($A144,'Data Vlaue (Cr)'!$C:$FB,62)*100</f>
        <v>44.4</v>
      </c>
      <c r="M144" s="51">
        <f>VLOOKUP($A144,'Data Vlaue (Cr)'!$C:$FB,63)</f>
        <v>103</v>
      </c>
      <c r="N144" s="51">
        <f>VLOOKUP($A144,'Data Vlaue (Cr)'!$C:$FB,64)</f>
        <v>72</v>
      </c>
      <c r="O144" s="51">
        <f>VLOOKUP($A144,'Data Vlaue (Cr)'!$C:$FB,66)*100</f>
        <v>43.15</v>
      </c>
    </row>
    <row r="145" spans="1:15" x14ac:dyDescent="0.25">
      <c r="A145" s="101" t="str">
        <f>'Data Vlaue (Cr)'!C140</f>
        <v>NBCC</v>
      </c>
      <c r="B145" s="50">
        <f>VLOOKUP($A145,'Data Vlaue (Cr)'!$C:$FB,8)</f>
        <v>112.36</v>
      </c>
      <c r="C145" s="50">
        <f>VLOOKUP($A145,'Data Vlaue (Cr)'!$C:$FB,11)*100</f>
        <v>0.44</v>
      </c>
      <c r="D145" s="50">
        <f>VLOOKUP($A145,'Data Vlaue (Cr)'!$C:$FB,143)</f>
        <v>688.42</v>
      </c>
      <c r="E145" s="50">
        <f>VLOOKUP($A145,'Data Vlaue (Cr)'!$C:$FB,144)</f>
        <v>595.46</v>
      </c>
      <c r="F145" s="50">
        <f>VLOOKUP($A145,'Data Vlaue (Cr)'!$C:$FB,146)*100</f>
        <v>15.61</v>
      </c>
      <c r="G145" s="49">
        <f>VLOOKUP($A145,'Data Vlaue (Cr)'!$C:$FB,43)</f>
        <v>175</v>
      </c>
      <c r="H145" s="49">
        <f>VLOOKUP($A145,'Data Vlaue (Cr)'!$C:$FB,44)</f>
        <v>148</v>
      </c>
      <c r="I145" s="49">
        <f>VLOOKUP($A145,'Data Vlaue (Cr)'!$C:$FB,46)*100</f>
        <v>18.060000000000002</v>
      </c>
      <c r="J145" s="51">
        <f>VLOOKUP($A145,'Data Vlaue (Cr)'!$C:$FB,59)</f>
        <v>358</v>
      </c>
      <c r="K145" s="51">
        <f>VLOOKUP($A145,'Data Vlaue (Cr)'!$C:$FB,60)</f>
        <v>329</v>
      </c>
      <c r="L145" s="51">
        <f>VLOOKUP($A145,'Data Vlaue (Cr)'!$C:$FB,62)*100</f>
        <v>8.8800000000000008</v>
      </c>
      <c r="M145" s="51">
        <f>VLOOKUP($A145,'Data Vlaue (Cr)'!$C:$FB,63)</f>
        <v>138</v>
      </c>
      <c r="N145" s="51">
        <f>VLOOKUP($A145,'Data Vlaue (Cr)'!$C:$FB,64)</f>
        <v>111</v>
      </c>
      <c r="O145" s="51">
        <f>VLOOKUP($A145,'Data Vlaue (Cr)'!$C:$FB,66)*100</f>
        <v>24.18</v>
      </c>
    </row>
    <row r="146" spans="1:15" x14ac:dyDescent="0.25">
      <c r="A146" s="101" t="str">
        <f>'Data Vlaue (Cr)'!C141</f>
        <v>NCC</v>
      </c>
      <c r="B146" s="50">
        <f>VLOOKUP($A146,'Data Vlaue (Cr)'!$C:$FB,8)</f>
        <v>209.78</v>
      </c>
      <c r="C146" s="50">
        <f>VLOOKUP($A146,'Data Vlaue (Cr)'!$C:$FB,11)*100</f>
        <v>-0.89999999999999991</v>
      </c>
      <c r="D146" s="50">
        <f>VLOOKUP($A146,'Data Vlaue (Cr)'!$C:$FB,143)</f>
        <v>157.69</v>
      </c>
      <c r="E146" s="50">
        <f>VLOOKUP($A146,'Data Vlaue (Cr)'!$C:$FB,144)</f>
        <v>958.59</v>
      </c>
      <c r="F146" s="50">
        <f>VLOOKUP($A146,'Data Vlaue (Cr)'!$C:$FB,146)*100</f>
        <v>-83.55</v>
      </c>
      <c r="G146" s="49">
        <f>VLOOKUP($A146,'Data Vlaue (Cr)'!$C:$FB,43)</f>
        <v>48</v>
      </c>
      <c r="H146" s="49">
        <f>VLOOKUP($A146,'Data Vlaue (Cr)'!$C:$FB,44)</f>
        <v>207</v>
      </c>
      <c r="I146" s="49">
        <f>VLOOKUP($A146,'Data Vlaue (Cr)'!$C:$FB,46)*100</f>
        <v>-76.649999999999991</v>
      </c>
      <c r="J146" s="51">
        <f>VLOOKUP($A146,'Data Vlaue (Cr)'!$C:$FB,59)</f>
        <v>74</v>
      </c>
      <c r="K146" s="51">
        <f>VLOOKUP($A146,'Data Vlaue (Cr)'!$C:$FB,60)</f>
        <v>530</v>
      </c>
      <c r="L146" s="51">
        <f>VLOOKUP($A146,'Data Vlaue (Cr)'!$C:$FB,62)*100</f>
        <v>-86.11</v>
      </c>
      <c r="M146" s="51">
        <f>VLOOKUP($A146,'Data Vlaue (Cr)'!$C:$FB,63)</f>
        <v>33</v>
      </c>
      <c r="N146" s="51">
        <f>VLOOKUP($A146,'Data Vlaue (Cr)'!$C:$FB,64)</f>
        <v>210</v>
      </c>
      <c r="O146" s="51">
        <f>VLOOKUP($A146,'Data Vlaue (Cr)'!$C:$FB,66)*100</f>
        <v>-84.48</v>
      </c>
    </row>
    <row r="147" spans="1:15" x14ac:dyDescent="0.25">
      <c r="A147" s="101" t="str">
        <f>'Data Vlaue (Cr)'!C142</f>
        <v>NESTLEIND</v>
      </c>
      <c r="B147" s="50">
        <f>VLOOKUP($A147,'Data Vlaue (Cr)'!$C:$FB,8)</f>
        <v>1276.5999999999999</v>
      </c>
      <c r="C147" s="50">
        <f>VLOOKUP($A147,'Data Vlaue (Cr)'!$C:$FB,11)*100</f>
        <v>4.5199999999999996</v>
      </c>
      <c r="D147" s="50">
        <f>VLOOKUP($A147,'Data Vlaue (Cr)'!$C:$FB,143)</f>
        <v>17369.93</v>
      </c>
      <c r="E147" s="50">
        <f>VLOOKUP($A147,'Data Vlaue (Cr)'!$C:$FB,144)</f>
        <v>4214.2700000000004</v>
      </c>
      <c r="F147" s="50">
        <f>VLOOKUP($A147,'Data Vlaue (Cr)'!$C:$FB,146)*100</f>
        <v>312.17</v>
      </c>
      <c r="G147" s="49">
        <f>VLOOKUP($A147,'Data Vlaue (Cr)'!$C:$FB,43)</f>
        <v>1872</v>
      </c>
      <c r="H147" s="49">
        <f>VLOOKUP($A147,'Data Vlaue (Cr)'!$C:$FB,44)</f>
        <v>856</v>
      </c>
      <c r="I147" s="49">
        <f>VLOOKUP($A147,'Data Vlaue (Cr)'!$C:$FB,46)*100</f>
        <v>118.63999999999999</v>
      </c>
      <c r="J147" s="51">
        <f>VLOOKUP($A147,'Data Vlaue (Cr)'!$C:$FB,59)</f>
        <v>9240</v>
      </c>
      <c r="K147" s="51">
        <f>VLOOKUP($A147,'Data Vlaue (Cr)'!$C:$FB,60)</f>
        <v>2390</v>
      </c>
      <c r="L147" s="51">
        <f>VLOOKUP($A147,'Data Vlaue (Cr)'!$C:$FB,62)*100</f>
        <v>286.62</v>
      </c>
      <c r="M147" s="51">
        <f>VLOOKUP($A147,'Data Vlaue (Cr)'!$C:$FB,63)</f>
        <v>6402</v>
      </c>
      <c r="N147" s="51">
        <f>VLOOKUP($A147,'Data Vlaue (Cr)'!$C:$FB,64)</f>
        <v>1150</v>
      </c>
      <c r="O147" s="51">
        <f>VLOOKUP($A147,'Data Vlaue (Cr)'!$C:$FB,66)*100</f>
        <v>456.56</v>
      </c>
    </row>
    <row r="148" spans="1:15" x14ac:dyDescent="0.25">
      <c r="A148" s="101" t="str">
        <f>'Data Vlaue (Cr)'!C143</f>
        <v>NHPC</v>
      </c>
      <c r="B148" s="50">
        <f>VLOOKUP($A148,'Data Vlaue (Cr)'!$C:$FB,8)</f>
        <v>86.95</v>
      </c>
      <c r="C148" s="50">
        <f>VLOOKUP($A148,'Data Vlaue (Cr)'!$C:$FB,11)*100</f>
        <v>-0.1</v>
      </c>
      <c r="D148" s="50">
        <f>VLOOKUP($A148,'Data Vlaue (Cr)'!$C:$FB,143)</f>
        <v>478.87</v>
      </c>
      <c r="E148" s="50">
        <f>VLOOKUP($A148,'Data Vlaue (Cr)'!$C:$FB,144)</f>
        <v>337.78</v>
      </c>
      <c r="F148" s="50">
        <f>VLOOKUP($A148,'Data Vlaue (Cr)'!$C:$FB,146)*100</f>
        <v>41.77</v>
      </c>
      <c r="G148" s="49">
        <f>VLOOKUP($A148,'Data Vlaue (Cr)'!$C:$FB,43)</f>
        <v>119</v>
      </c>
      <c r="H148" s="49">
        <f>VLOOKUP($A148,'Data Vlaue (Cr)'!$C:$FB,44)</f>
        <v>83</v>
      </c>
      <c r="I148" s="49">
        <f>VLOOKUP($A148,'Data Vlaue (Cr)'!$C:$FB,46)*100</f>
        <v>43.480000000000004</v>
      </c>
      <c r="J148" s="51">
        <f>VLOOKUP($A148,'Data Vlaue (Cr)'!$C:$FB,59)</f>
        <v>235</v>
      </c>
      <c r="K148" s="51">
        <f>VLOOKUP($A148,'Data Vlaue (Cr)'!$C:$FB,60)</f>
        <v>170</v>
      </c>
      <c r="L148" s="51">
        <f>VLOOKUP($A148,'Data Vlaue (Cr)'!$C:$FB,62)*100</f>
        <v>38.72</v>
      </c>
      <c r="M148" s="51">
        <f>VLOOKUP($A148,'Data Vlaue (Cr)'!$C:$FB,63)</f>
        <v>116</v>
      </c>
      <c r="N148" s="51">
        <f>VLOOKUP($A148,'Data Vlaue (Cr)'!$C:$FB,64)</f>
        <v>80</v>
      </c>
      <c r="O148" s="51">
        <f>VLOOKUP($A148,'Data Vlaue (Cr)'!$C:$FB,66)*100</f>
        <v>45.36</v>
      </c>
    </row>
    <row r="149" spans="1:15" x14ac:dyDescent="0.25">
      <c r="A149" s="101" t="str">
        <f>'Data Vlaue (Cr)'!C144</f>
        <v>NIFTY</v>
      </c>
      <c r="B149" s="50">
        <f>VLOOKUP($A149,'Data Vlaue (Cr)'!$C:$FB,8)</f>
        <v>25585.3</v>
      </c>
      <c r="C149" s="50">
        <f>VLOOKUP($A149,'Data Vlaue (Cr)'!$C:$FB,11)*100</f>
        <v>1.03</v>
      </c>
      <c r="D149" s="50">
        <f>VLOOKUP($A149,'Data Vlaue (Cr)'!$C:$FB,143)</f>
        <v>12731036.48</v>
      </c>
      <c r="E149" s="50">
        <f>VLOOKUP($A149,'Data Vlaue (Cr)'!$C:$FB,144)</f>
        <v>11642831.5</v>
      </c>
      <c r="F149" s="50">
        <f>VLOOKUP($A149,'Data Vlaue (Cr)'!$C:$FB,146)*100</f>
        <v>9.35</v>
      </c>
      <c r="G149" s="49">
        <f>VLOOKUP($A149,'Data Vlaue (Cr)'!$C:$FB,43)</f>
        <v>18951</v>
      </c>
      <c r="H149" s="49">
        <f>VLOOKUP($A149,'Data Vlaue (Cr)'!$C:$FB,44)</f>
        <v>17738</v>
      </c>
      <c r="I149" s="49">
        <f>VLOOKUP($A149,'Data Vlaue (Cr)'!$C:$FB,46)*100</f>
        <v>6.84</v>
      </c>
      <c r="J149" s="51">
        <f>VLOOKUP($A149,'Data Vlaue (Cr)'!$C:$FB,59)</f>
        <v>7068681</v>
      </c>
      <c r="K149" s="51">
        <f>VLOOKUP($A149,'Data Vlaue (Cr)'!$C:$FB,60)</f>
        <v>6278590</v>
      </c>
      <c r="L149" s="51">
        <f>VLOOKUP($A149,'Data Vlaue (Cr)'!$C:$FB,62)*100</f>
        <v>12.58</v>
      </c>
      <c r="M149" s="51">
        <f>VLOOKUP($A149,'Data Vlaue (Cr)'!$C:$FB,63)</f>
        <v>5728919</v>
      </c>
      <c r="N149" s="51">
        <f>VLOOKUP($A149,'Data Vlaue (Cr)'!$C:$FB,64)</f>
        <v>5490787</v>
      </c>
      <c r="O149" s="51">
        <f>VLOOKUP($A149,'Data Vlaue (Cr)'!$C:$FB,66)*100</f>
        <v>4.34</v>
      </c>
    </row>
    <row r="150" spans="1:15" x14ac:dyDescent="0.25">
      <c r="A150" s="101" t="str">
        <f>'Data Vlaue (Cr)'!C145</f>
        <v>NIFTYNXT50</v>
      </c>
      <c r="B150" s="50">
        <f>VLOOKUP($A150,'Data Vlaue (Cr)'!$C:$FB,8)</f>
        <v>69453.2</v>
      </c>
      <c r="C150" s="50">
        <f>VLOOKUP($A150,'Data Vlaue (Cr)'!$C:$FB,11)*100</f>
        <v>0.49</v>
      </c>
      <c r="D150" s="50">
        <f>VLOOKUP($A150,'Data Vlaue (Cr)'!$C:$FB,143)</f>
        <v>149.38</v>
      </c>
      <c r="E150" s="50">
        <f>VLOOKUP($A150,'Data Vlaue (Cr)'!$C:$FB,144)</f>
        <v>212.41</v>
      </c>
      <c r="F150" s="50">
        <f>VLOOKUP($A150,'Data Vlaue (Cr)'!$C:$FB,146)*100</f>
        <v>-29.68</v>
      </c>
      <c r="G150" s="49">
        <f>VLOOKUP($A150,'Data Vlaue (Cr)'!$C:$FB,43)</f>
        <v>39</v>
      </c>
      <c r="H150" s="49">
        <f>VLOOKUP($A150,'Data Vlaue (Cr)'!$C:$FB,44)</f>
        <v>72</v>
      </c>
      <c r="I150" s="49">
        <f>VLOOKUP($A150,'Data Vlaue (Cr)'!$C:$FB,46)*100</f>
        <v>-45.300000000000004</v>
      </c>
      <c r="J150" s="51">
        <f>VLOOKUP($A150,'Data Vlaue (Cr)'!$C:$FB,59)</f>
        <v>85</v>
      </c>
      <c r="K150" s="51">
        <f>VLOOKUP($A150,'Data Vlaue (Cr)'!$C:$FB,60)</f>
        <v>85</v>
      </c>
      <c r="L150" s="51">
        <f>VLOOKUP($A150,'Data Vlaue (Cr)'!$C:$FB,62)*100</f>
        <v>-0.2</v>
      </c>
      <c r="M150" s="51">
        <f>VLOOKUP($A150,'Data Vlaue (Cr)'!$C:$FB,63)</f>
        <v>25</v>
      </c>
      <c r="N150" s="51">
        <f>VLOOKUP($A150,'Data Vlaue (Cr)'!$C:$FB,64)</f>
        <v>56</v>
      </c>
      <c r="O150" s="51">
        <f>VLOOKUP($A150,'Data Vlaue (Cr)'!$C:$FB,66)*100</f>
        <v>-56.48</v>
      </c>
    </row>
    <row r="151" spans="1:15" x14ac:dyDescent="0.25">
      <c r="A151" s="101" t="str">
        <f>'Data Vlaue (Cr)'!C146</f>
        <v>NMDC</v>
      </c>
      <c r="B151" s="50">
        <f>VLOOKUP($A151,'Data Vlaue (Cr)'!$C:$FB,8)</f>
        <v>75.88</v>
      </c>
      <c r="C151" s="50">
        <f>VLOOKUP($A151,'Data Vlaue (Cr)'!$C:$FB,11)*100</f>
        <v>-1.08</v>
      </c>
      <c r="D151" s="50">
        <f>VLOOKUP($A151,'Data Vlaue (Cr)'!$C:$FB,143)</f>
        <v>1004.42</v>
      </c>
      <c r="E151" s="50">
        <f>VLOOKUP($A151,'Data Vlaue (Cr)'!$C:$FB,144)</f>
        <v>1602.22</v>
      </c>
      <c r="F151" s="50">
        <f>VLOOKUP($A151,'Data Vlaue (Cr)'!$C:$FB,146)*100</f>
        <v>-37.31</v>
      </c>
      <c r="G151" s="49">
        <f>VLOOKUP($A151,'Data Vlaue (Cr)'!$C:$FB,43)</f>
        <v>224</v>
      </c>
      <c r="H151" s="49">
        <f>VLOOKUP($A151,'Data Vlaue (Cr)'!$C:$FB,44)</f>
        <v>263</v>
      </c>
      <c r="I151" s="49">
        <f>VLOOKUP($A151,'Data Vlaue (Cr)'!$C:$FB,46)*100</f>
        <v>-15.120000000000001</v>
      </c>
      <c r="J151" s="51">
        <f>VLOOKUP($A151,'Data Vlaue (Cr)'!$C:$FB,59)</f>
        <v>541</v>
      </c>
      <c r="K151" s="51">
        <f>VLOOKUP($A151,'Data Vlaue (Cr)'!$C:$FB,60)</f>
        <v>927</v>
      </c>
      <c r="L151" s="51">
        <f>VLOOKUP($A151,'Data Vlaue (Cr)'!$C:$FB,62)*100</f>
        <v>-41.67</v>
      </c>
      <c r="M151" s="51">
        <f>VLOOKUP($A151,'Data Vlaue (Cr)'!$C:$FB,63)</f>
        <v>209</v>
      </c>
      <c r="N151" s="51">
        <f>VLOOKUP($A151,'Data Vlaue (Cr)'!$C:$FB,64)</f>
        <v>338</v>
      </c>
      <c r="O151" s="51">
        <f>VLOOKUP($A151,'Data Vlaue (Cr)'!$C:$FB,66)*100</f>
        <v>-38.15</v>
      </c>
    </row>
    <row r="152" spans="1:15" x14ac:dyDescent="0.25">
      <c r="A152" s="101" t="str">
        <f>'Data Vlaue (Cr)'!C147</f>
        <v>NTPC</v>
      </c>
      <c r="B152" s="50">
        <f>VLOOKUP($A152,'Data Vlaue (Cr)'!$C:$FB,8)</f>
        <v>341.5</v>
      </c>
      <c r="C152" s="50">
        <f>VLOOKUP($A152,'Data Vlaue (Cr)'!$C:$FB,11)*100</f>
        <v>0.66</v>
      </c>
      <c r="D152" s="50">
        <f>VLOOKUP($A152,'Data Vlaue (Cr)'!$C:$FB,143)</f>
        <v>1990.22</v>
      </c>
      <c r="E152" s="50">
        <f>VLOOKUP($A152,'Data Vlaue (Cr)'!$C:$FB,144)</f>
        <v>2931.26</v>
      </c>
      <c r="F152" s="50">
        <f>VLOOKUP($A152,'Data Vlaue (Cr)'!$C:$FB,146)*100</f>
        <v>-32.1</v>
      </c>
      <c r="G152" s="49">
        <f>VLOOKUP($A152,'Data Vlaue (Cr)'!$C:$FB,43)</f>
        <v>284</v>
      </c>
      <c r="H152" s="49">
        <f>VLOOKUP($A152,'Data Vlaue (Cr)'!$C:$FB,44)</f>
        <v>302</v>
      </c>
      <c r="I152" s="49">
        <f>VLOOKUP($A152,'Data Vlaue (Cr)'!$C:$FB,46)*100</f>
        <v>-6.2</v>
      </c>
      <c r="J152" s="51">
        <f>VLOOKUP($A152,'Data Vlaue (Cr)'!$C:$FB,59)</f>
        <v>1135</v>
      </c>
      <c r="K152" s="51">
        <f>VLOOKUP($A152,'Data Vlaue (Cr)'!$C:$FB,60)</f>
        <v>1693</v>
      </c>
      <c r="L152" s="51">
        <f>VLOOKUP($A152,'Data Vlaue (Cr)'!$C:$FB,62)*100</f>
        <v>-32.93</v>
      </c>
      <c r="M152" s="51">
        <f>VLOOKUP($A152,'Data Vlaue (Cr)'!$C:$FB,63)</f>
        <v>549</v>
      </c>
      <c r="N152" s="51">
        <f>VLOOKUP($A152,'Data Vlaue (Cr)'!$C:$FB,64)</f>
        <v>913</v>
      </c>
      <c r="O152" s="51">
        <f>VLOOKUP($A152,'Data Vlaue (Cr)'!$C:$FB,66)*100</f>
        <v>-39.92</v>
      </c>
    </row>
    <row r="153" spans="1:15" x14ac:dyDescent="0.25">
      <c r="A153" s="101" t="str">
        <f>'Data Vlaue (Cr)'!C148</f>
        <v>NUVAMA</v>
      </c>
      <c r="B153" s="50">
        <f>VLOOKUP($A153,'Data Vlaue (Cr)'!$C:$FB,8)</f>
        <v>7225.5</v>
      </c>
      <c r="C153" s="50">
        <f>VLOOKUP($A153,'Data Vlaue (Cr)'!$C:$FB,11)*100</f>
        <v>0.11</v>
      </c>
      <c r="D153" s="50">
        <f>VLOOKUP($A153,'Data Vlaue (Cr)'!$C:$FB,143)</f>
        <v>186.42</v>
      </c>
      <c r="E153" s="50">
        <f>VLOOKUP($A153,'Data Vlaue (Cr)'!$C:$FB,144)</f>
        <v>291.17</v>
      </c>
      <c r="F153" s="50">
        <f>VLOOKUP($A153,'Data Vlaue (Cr)'!$C:$FB,146)*100</f>
        <v>-35.980000000000004</v>
      </c>
      <c r="G153" s="49">
        <f>VLOOKUP($A153,'Data Vlaue (Cr)'!$C:$FB,43)</f>
        <v>33</v>
      </c>
      <c r="H153" s="49">
        <f>VLOOKUP($A153,'Data Vlaue (Cr)'!$C:$FB,44)</f>
        <v>70</v>
      </c>
      <c r="I153" s="49">
        <f>VLOOKUP($A153,'Data Vlaue (Cr)'!$C:$FB,46)*100</f>
        <v>-53.339999999999996</v>
      </c>
      <c r="J153" s="51">
        <f>VLOOKUP($A153,'Data Vlaue (Cr)'!$C:$FB,59)</f>
        <v>85</v>
      </c>
      <c r="K153" s="51">
        <f>VLOOKUP($A153,'Data Vlaue (Cr)'!$C:$FB,60)</f>
        <v>122</v>
      </c>
      <c r="L153" s="51">
        <f>VLOOKUP($A153,'Data Vlaue (Cr)'!$C:$FB,62)*100</f>
        <v>-30.54</v>
      </c>
      <c r="M153" s="51">
        <f>VLOOKUP($A153,'Data Vlaue (Cr)'!$C:$FB,63)</f>
        <v>70</v>
      </c>
      <c r="N153" s="51">
        <f>VLOOKUP($A153,'Data Vlaue (Cr)'!$C:$FB,64)</f>
        <v>99</v>
      </c>
      <c r="O153" s="51">
        <f>VLOOKUP($A153,'Data Vlaue (Cr)'!$C:$FB,66)*100</f>
        <v>-28.599999999999998</v>
      </c>
    </row>
    <row r="154" spans="1:15" x14ac:dyDescent="0.25">
      <c r="A154" s="101" t="str">
        <f>'Data Vlaue (Cr)'!C149</f>
        <v>NYKAA</v>
      </c>
      <c r="B154" s="50">
        <f>VLOOKUP($A154,'Data Vlaue (Cr)'!$C:$FB,8)</f>
        <v>263.31</v>
      </c>
      <c r="C154" s="50">
        <f>VLOOKUP($A154,'Data Vlaue (Cr)'!$C:$FB,11)*100</f>
        <v>0.65</v>
      </c>
      <c r="D154" s="50">
        <f>VLOOKUP($A154,'Data Vlaue (Cr)'!$C:$FB,143)</f>
        <v>1298.6600000000001</v>
      </c>
      <c r="E154" s="50">
        <f>VLOOKUP($A154,'Data Vlaue (Cr)'!$C:$FB,144)</f>
        <v>1269.08</v>
      </c>
      <c r="F154" s="50">
        <f>VLOOKUP($A154,'Data Vlaue (Cr)'!$C:$FB,146)*100</f>
        <v>2.33</v>
      </c>
      <c r="G154" s="49">
        <f>VLOOKUP($A154,'Data Vlaue (Cr)'!$C:$FB,43)</f>
        <v>373</v>
      </c>
      <c r="H154" s="49">
        <f>VLOOKUP($A154,'Data Vlaue (Cr)'!$C:$FB,44)</f>
        <v>209</v>
      </c>
      <c r="I154" s="49">
        <f>VLOOKUP($A154,'Data Vlaue (Cr)'!$C:$FB,46)*100</f>
        <v>78.849999999999994</v>
      </c>
      <c r="J154" s="51">
        <f>VLOOKUP($A154,'Data Vlaue (Cr)'!$C:$FB,59)</f>
        <v>578</v>
      </c>
      <c r="K154" s="51">
        <f>VLOOKUP($A154,'Data Vlaue (Cr)'!$C:$FB,60)</f>
        <v>713</v>
      </c>
      <c r="L154" s="51">
        <f>VLOOKUP($A154,'Data Vlaue (Cr)'!$C:$FB,62)*100</f>
        <v>-18.87</v>
      </c>
      <c r="M154" s="51">
        <f>VLOOKUP($A154,'Data Vlaue (Cr)'!$C:$FB,63)</f>
        <v>335</v>
      </c>
      <c r="N154" s="51">
        <f>VLOOKUP($A154,'Data Vlaue (Cr)'!$C:$FB,64)</f>
        <v>343</v>
      </c>
      <c r="O154" s="51">
        <f>VLOOKUP($A154,'Data Vlaue (Cr)'!$C:$FB,66)*100</f>
        <v>-2.44</v>
      </c>
    </row>
    <row r="155" spans="1:15" x14ac:dyDescent="0.25">
      <c r="A155" s="101" t="str">
        <f>'Data Vlaue (Cr)'!C150</f>
        <v>OBEROIRLTY</v>
      </c>
      <c r="B155" s="50">
        <f>VLOOKUP($A155,'Data Vlaue (Cr)'!$C:$FB,8)</f>
        <v>1687.1</v>
      </c>
      <c r="C155" s="50">
        <f>VLOOKUP($A155,'Data Vlaue (Cr)'!$C:$FB,11)*100</f>
        <v>5.35</v>
      </c>
      <c r="D155" s="50">
        <f>VLOOKUP($A155,'Data Vlaue (Cr)'!$C:$FB,143)</f>
        <v>7072.96</v>
      </c>
      <c r="E155" s="50">
        <f>VLOOKUP($A155,'Data Vlaue (Cr)'!$C:$FB,144)</f>
        <v>1252.42</v>
      </c>
      <c r="F155" s="50">
        <f>VLOOKUP($A155,'Data Vlaue (Cr)'!$C:$FB,146)*100</f>
        <v>464.74</v>
      </c>
      <c r="G155" s="49">
        <f>VLOOKUP($A155,'Data Vlaue (Cr)'!$C:$FB,43)</f>
        <v>666</v>
      </c>
      <c r="H155" s="49">
        <f>VLOOKUP($A155,'Data Vlaue (Cr)'!$C:$FB,44)</f>
        <v>196</v>
      </c>
      <c r="I155" s="49">
        <f>VLOOKUP($A155,'Data Vlaue (Cr)'!$C:$FB,46)*100</f>
        <v>240.38</v>
      </c>
      <c r="J155" s="51">
        <f>VLOOKUP($A155,'Data Vlaue (Cr)'!$C:$FB,59)</f>
        <v>4602</v>
      </c>
      <c r="K155" s="51">
        <f>VLOOKUP($A155,'Data Vlaue (Cr)'!$C:$FB,60)</f>
        <v>864</v>
      </c>
      <c r="L155" s="51">
        <f>VLOOKUP($A155,'Data Vlaue (Cr)'!$C:$FB,62)*100</f>
        <v>432.73</v>
      </c>
      <c r="M155" s="51">
        <f>VLOOKUP($A155,'Data Vlaue (Cr)'!$C:$FB,63)</f>
        <v>1747</v>
      </c>
      <c r="N155" s="51">
        <f>VLOOKUP($A155,'Data Vlaue (Cr)'!$C:$FB,64)</f>
        <v>223</v>
      </c>
      <c r="O155" s="51">
        <f>VLOOKUP($A155,'Data Vlaue (Cr)'!$C:$FB,66)*100</f>
        <v>683.8</v>
      </c>
    </row>
    <row r="156" spans="1:15" x14ac:dyDescent="0.25">
      <c r="A156" s="101" t="str">
        <f>'Data Vlaue (Cr)'!C151</f>
        <v>OFSS</v>
      </c>
      <c r="B156" s="50">
        <f>VLOOKUP($A156,'Data Vlaue (Cr)'!$C:$FB,8)</f>
        <v>8796.5</v>
      </c>
      <c r="C156" s="50">
        <f>VLOOKUP($A156,'Data Vlaue (Cr)'!$C:$FB,11)*100</f>
        <v>0.44999999999999996</v>
      </c>
      <c r="D156" s="50">
        <f>VLOOKUP($A156,'Data Vlaue (Cr)'!$C:$FB,143)</f>
        <v>1485.36</v>
      </c>
      <c r="E156" s="50">
        <f>VLOOKUP($A156,'Data Vlaue (Cr)'!$C:$FB,144)</f>
        <v>2494.9299999999998</v>
      </c>
      <c r="F156" s="50">
        <f>VLOOKUP($A156,'Data Vlaue (Cr)'!$C:$FB,146)*100</f>
        <v>-40.46</v>
      </c>
      <c r="G156" s="49">
        <f>VLOOKUP($A156,'Data Vlaue (Cr)'!$C:$FB,43)</f>
        <v>249</v>
      </c>
      <c r="H156" s="49">
        <f>VLOOKUP($A156,'Data Vlaue (Cr)'!$C:$FB,44)</f>
        <v>412</v>
      </c>
      <c r="I156" s="49">
        <f>VLOOKUP($A156,'Data Vlaue (Cr)'!$C:$FB,46)*100</f>
        <v>-39.700000000000003</v>
      </c>
      <c r="J156" s="51">
        <f>VLOOKUP($A156,'Data Vlaue (Cr)'!$C:$FB,59)</f>
        <v>826</v>
      </c>
      <c r="K156" s="51">
        <f>VLOOKUP($A156,'Data Vlaue (Cr)'!$C:$FB,60)</f>
        <v>1205</v>
      </c>
      <c r="L156" s="51">
        <f>VLOOKUP($A156,'Data Vlaue (Cr)'!$C:$FB,62)*100</f>
        <v>-31.45</v>
      </c>
      <c r="M156" s="51">
        <f>VLOOKUP($A156,'Data Vlaue (Cr)'!$C:$FB,63)</f>
        <v>365</v>
      </c>
      <c r="N156" s="51">
        <f>VLOOKUP($A156,'Data Vlaue (Cr)'!$C:$FB,64)</f>
        <v>787</v>
      </c>
      <c r="O156" s="51">
        <f>VLOOKUP($A156,'Data Vlaue (Cr)'!$C:$FB,66)*100</f>
        <v>-53.680000000000007</v>
      </c>
    </row>
    <row r="157" spans="1:15" x14ac:dyDescent="0.25">
      <c r="A157" s="101" t="str">
        <f>'Data Vlaue (Cr)'!C152</f>
        <v>OIL</v>
      </c>
      <c r="B157" s="50">
        <f>VLOOKUP($A157,'Data Vlaue (Cr)'!$C:$FB,8)</f>
        <v>417.25</v>
      </c>
      <c r="C157" s="50">
        <f>VLOOKUP($A157,'Data Vlaue (Cr)'!$C:$FB,11)*100</f>
        <v>-1.37</v>
      </c>
      <c r="D157" s="50">
        <f>VLOOKUP($A157,'Data Vlaue (Cr)'!$C:$FB,143)</f>
        <v>270.17</v>
      </c>
      <c r="E157" s="50">
        <f>VLOOKUP($A157,'Data Vlaue (Cr)'!$C:$FB,144)</f>
        <v>354.72</v>
      </c>
      <c r="F157" s="50">
        <f>VLOOKUP($A157,'Data Vlaue (Cr)'!$C:$FB,146)*100</f>
        <v>-23.84</v>
      </c>
      <c r="G157" s="49">
        <f>VLOOKUP($A157,'Data Vlaue (Cr)'!$C:$FB,43)</f>
        <v>63</v>
      </c>
      <c r="H157" s="49">
        <f>VLOOKUP($A157,'Data Vlaue (Cr)'!$C:$FB,44)</f>
        <v>82</v>
      </c>
      <c r="I157" s="49">
        <f>VLOOKUP($A157,'Data Vlaue (Cr)'!$C:$FB,46)*100</f>
        <v>-23.07</v>
      </c>
      <c r="J157" s="51">
        <f>VLOOKUP($A157,'Data Vlaue (Cr)'!$C:$FB,59)</f>
        <v>133</v>
      </c>
      <c r="K157" s="51">
        <f>VLOOKUP($A157,'Data Vlaue (Cr)'!$C:$FB,60)</f>
        <v>180</v>
      </c>
      <c r="L157" s="51">
        <f>VLOOKUP($A157,'Data Vlaue (Cr)'!$C:$FB,62)*100</f>
        <v>-25.97</v>
      </c>
      <c r="M157" s="51">
        <f>VLOOKUP($A157,'Data Vlaue (Cr)'!$C:$FB,63)</f>
        <v>69</v>
      </c>
      <c r="N157" s="51">
        <f>VLOOKUP($A157,'Data Vlaue (Cr)'!$C:$FB,64)</f>
        <v>84</v>
      </c>
      <c r="O157" s="51">
        <f>VLOOKUP($A157,'Data Vlaue (Cr)'!$C:$FB,66)*100</f>
        <v>-17.899999999999999</v>
      </c>
    </row>
    <row r="158" spans="1:15" x14ac:dyDescent="0.25">
      <c r="A158" s="101" t="str">
        <f>'Data Vlaue (Cr)'!C153</f>
        <v>ONGC</v>
      </c>
      <c r="B158" s="50">
        <f>VLOOKUP($A158,'Data Vlaue (Cr)'!$C:$FB,8)</f>
        <v>248.35</v>
      </c>
      <c r="C158" s="50">
        <f>VLOOKUP($A158,'Data Vlaue (Cr)'!$C:$FB,11)*100</f>
        <v>0.25</v>
      </c>
      <c r="D158" s="50">
        <f>VLOOKUP($A158,'Data Vlaue (Cr)'!$C:$FB,143)</f>
        <v>1373.82</v>
      </c>
      <c r="E158" s="50">
        <f>VLOOKUP($A158,'Data Vlaue (Cr)'!$C:$FB,144)</f>
        <v>1628.32</v>
      </c>
      <c r="F158" s="50">
        <f>VLOOKUP($A158,'Data Vlaue (Cr)'!$C:$FB,146)*100</f>
        <v>-15.629999999999999</v>
      </c>
      <c r="G158" s="49">
        <f>VLOOKUP($A158,'Data Vlaue (Cr)'!$C:$FB,43)</f>
        <v>229</v>
      </c>
      <c r="H158" s="49">
        <f>VLOOKUP($A158,'Data Vlaue (Cr)'!$C:$FB,44)</f>
        <v>207</v>
      </c>
      <c r="I158" s="49">
        <f>VLOOKUP($A158,'Data Vlaue (Cr)'!$C:$FB,46)*100</f>
        <v>10.91</v>
      </c>
      <c r="J158" s="51">
        <f>VLOOKUP($A158,'Data Vlaue (Cr)'!$C:$FB,59)</f>
        <v>703</v>
      </c>
      <c r="K158" s="51">
        <f>VLOOKUP($A158,'Data Vlaue (Cr)'!$C:$FB,60)</f>
        <v>837</v>
      </c>
      <c r="L158" s="51">
        <f>VLOOKUP($A158,'Data Vlaue (Cr)'!$C:$FB,62)*100</f>
        <v>-15.939999999999998</v>
      </c>
      <c r="M158" s="51">
        <f>VLOOKUP($A158,'Data Vlaue (Cr)'!$C:$FB,63)</f>
        <v>432</v>
      </c>
      <c r="N158" s="51">
        <f>VLOOKUP($A158,'Data Vlaue (Cr)'!$C:$FB,64)</f>
        <v>577</v>
      </c>
      <c r="O158" s="51">
        <f>VLOOKUP($A158,'Data Vlaue (Cr)'!$C:$FB,66)*100</f>
        <v>-25.11</v>
      </c>
    </row>
    <row r="159" spans="1:15" x14ac:dyDescent="0.25">
      <c r="A159" s="101" t="str">
        <f>'Data Vlaue (Cr)'!C154</f>
        <v>PAGEIND</v>
      </c>
      <c r="B159" s="50">
        <f>VLOOKUP($A159,'Data Vlaue (Cr)'!$C:$FB,8)</f>
        <v>41020</v>
      </c>
      <c r="C159" s="50">
        <f>VLOOKUP($A159,'Data Vlaue (Cr)'!$C:$FB,11)*100</f>
        <v>1.2</v>
      </c>
      <c r="D159" s="50">
        <f>VLOOKUP($A159,'Data Vlaue (Cr)'!$C:$FB,143)</f>
        <v>1120.5999999999999</v>
      </c>
      <c r="E159" s="50">
        <f>VLOOKUP($A159,'Data Vlaue (Cr)'!$C:$FB,144)</f>
        <v>895.96</v>
      </c>
      <c r="F159" s="50">
        <f>VLOOKUP($A159,'Data Vlaue (Cr)'!$C:$FB,146)*100</f>
        <v>25.069999999999997</v>
      </c>
      <c r="G159" s="49">
        <f>VLOOKUP($A159,'Data Vlaue (Cr)'!$C:$FB,43)</f>
        <v>159</v>
      </c>
      <c r="H159" s="49">
        <f>VLOOKUP($A159,'Data Vlaue (Cr)'!$C:$FB,44)</f>
        <v>110</v>
      </c>
      <c r="I159" s="49">
        <f>VLOOKUP($A159,'Data Vlaue (Cr)'!$C:$FB,46)*100</f>
        <v>44.12</v>
      </c>
      <c r="J159" s="51">
        <f>VLOOKUP($A159,'Data Vlaue (Cr)'!$C:$FB,59)</f>
        <v>738</v>
      </c>
      <c r="K159" s="51">
        <f>VLOOKUP($A159,'Data Vlaue (Cr)'!$C:$FB,60)</f>
        <v>681</v>
      </c>
      <c r="L159" s="51">
        <f>VLOOKUP($A159,'Data Vlaue (Cr)'!$C:$FB,62)*100</f>
        <v>8.4500000000000011</v>
      </c>
      <c r="M159" s="51">
        <f>VLOOKUP($A159,'Data Vlaue (Cr)'!$C:$FB,63)</f>
        <v>185</v>
      </c>
      <c r="N159" s="51">
        <f>VLOOKUP($A159,'Data Vlaue (Cr)'!$C:$FB,64)</f>
        <v>59</v>
      </c>
      <c r="O159" s="51">
        <f>VLOOKUP($A159,'Data Vlaue (Cr)'!$C:$FB,66)*100</f>
        <v>214.63</v>
      </c>
    </row>
    <row r="160" spans="1:15" x14ac:dyDescent="0.25">
      <c r="A160" s="101" t="str">
        <f>'Data Vlaue (Cr)'!C155</f>
        <v>PATANJALI</v>
      </c>
      <c r="B160" s="50">
        <f>VLOOKUP($A160,'Data Vlaue (Cr)'!$C:$FB,8)</f>
        <v>589.85</v>
      </c>
      <c r="C160" s="50">
        <f>VLOOKUP($A160,'Data Vlaue (Cr)'!$C:$FB,11)*100</f>
        <v>0.89999999999999991</v>
      </c>
      <c r="D160" s="50">
        <f>VLOOKUP($A160,'Data Vlaue (Cr)'!$C:$FB,143)</f>
        <v>532.63</v>
      </c>
      <c r="E160" s="50">
        <f>VLOOKUP($A160,'Data Vlaue (Cr)'!$C:$FB,144)</f>
        <v>330.3</v>
      </c>
      <c r="F160" s="50">
        <f>VLOOKUP($A160,'Data Vlaue (Cr)'!$C:$FB,146)*100</f>
        <v>61.260000000000005</v>
      </c>
      <c r="G160" s="49">
        <f>VLOOKUP($A160,'Data Vlaue (Cr)'!$C:$FB,43)</f>
        <v>217</v>
      </c>
      <c r="H160" s="49">
        <f>VLOOKUP($A160,'Data Vlaue (Cr)'!$C:$FB,44)</f>
        <v>87</v>
      </c>
      <c r="I160" s="49">
        <f>VLOOKUP($A160,'Data Vlaue (Cr)'!$C:$FB,46)*100</f>
        <v>150.45999999999998</v>
      </c>
      <c r="J160" s="51">
        <f>VLOOKUP($A160,'Data Vlaue (Cr)'!$C:$FB,59)</f>
        <v>209</v>
      </c>
      <c r="K160" s="51">
        <f>VLOOKUP($A160,'Data Vlaue (Cr)'!$C:$FB,60)</f>
        <v>180</v>
      </c>
      <c r="L160" s="51">
        <f>VLOOKUP($A160,'Data Vlaue (Cr)'!$C:$FB,62)*100</f>
        <v>15.920000000000002</v>
      </c>
      <c r="M160" s="51">
        <f>VLOOKUP($A160,'Data Vlaue (Cr)'!$C:$FB,63)</f>
        <v>99</v>
      </c>
      <c r="N160" s="51">
        <f>VLOOKUP($A160,'Data Vlaue (Cr)'!$C:$FB,64)</f>
        <v>58</v>
      </c>
      <c r="O160" s="51">
        <f>VLOOKUP($A160,'Data Vlaue (Cr)'!$C:$FB,66)*100</f>
        <v>69.86</v>
      </c>
    </row>
    <row r="161" spans="1:15" x14ac:dyDescent="0.25">
      <c r="A161" s="101" t="str">
        <f>'Data Vlaue (Cr)'!C156</f>
        <v>PAYTM</v>
      </c>
      <c r="B161" s="50">
        <f>VLOOKUP($A161,'Data Vlaue (Cr)'!$C:$FB,8)</f>
        <v>1274</v>
      </c>
      <c r="C161" s="50">
        <f>VLOOKUP($A161,'Data Vlaue (Cr)'!$C:$FB,11)*100</f>
        <v>-0.26</v>
      </c>
      <c r="D161" s="50">
        <f>VLOOKUP($A161,'Data Vlaue (Cr)'!$C:$FB,143)</f>
        <v>5951.08</v>
      </c>
      <c r="E161" s="50">
        <f>VLOOKUP($A161,'Data Vlaue (Cr)'!$C:$FB,144)</f>
        <v>7254.36</v>
      </c>
      <c r="F161" s="50">
        <f>VLOOKUP($A161,'Data Vlaue (Cr)'!$C:$FB,146)*100</f>
        <v>-17.97</v>
      </c>
      <c r="G161" s="49">
        <f>VLOOKUP($A161,'Data Vlaue (Cr)'!$C:$FB,43)</f>
        <v>969</v>
      </c>
      <c r="H161" s="49">
        <f>VLOOKUP($A161,'Data Vlaue (Cr)'!$C:$FB,44)</f>
        <v>1087</v>
      </c>
      <c r="I161" s="49">
        <f>VLOOKUP($A161,'Data Vlaue (Cr)'!$C:$FB,46)*100</f>
        <v>-10.79</v>
      </c>
      <c r="J161" s="51">
        <f>VLOOKUP($A161,'Data Vlaue (Cr)'!$C:$FB,59)</f>
        <v>3170</v>
      </c>
      <c r="K161" s="51">
        <f>VLOOKUP($A161,'Data Vlaue (Cr)'!$C:$FB,60)</f>
        <v>4091</v>
      </c>
      <c r="L161" s="51">
        <f>VLOOKUP($A161,'Data Vlaue (Cr)'!$C:$FB,62)*100</f>
        <v>-22.52</v>
      </c>
      <c r="M161" s="51">
        <f>VLOOKUP($A161,'Data Vlaue (Cr)'!$C:$FB,63)</f>
        <v>1661</v>
      </c>
      <c r="N161" s="51">
        <f>VLOOKUP($A161,'Data Vlaue (Cr)'!$C:$FB,64)</f>
        <v>1966</v>
      </c>
      <c r="O161" s="51">
        <f>VLOOKUP($A161,'Data Vlaue (Cr)'!$C:$FB,66)*100</f>
        <v>-15.509999999999998</v>
      </c>
    </row>
    <row r="162" spans="1:15" x14ac:dyDescent="0.25">
      <c r="A162" s="101" t="str">
        <f>'Data Vlaue (Cr)'!C157</f>
        <v>PERSISTENT</v>
      </c>
      <c r="B162" s="50">
        <f>VLOOKUP($A162,'Data Vlaue (Cr)'!$C:$FB,8)</f>
        <v>5841.5</v>
      </c>
      <c r="C162" s="50">
        <f>VLOOKUP($A162,'Data Vlaue (Cr)'!$C:$FB,11)*100</f>
        <v>2.04</v>
      </c>
      <c r="D162" s="50">
        <f>VLOOKUP($A162,'Data Vlaue (Cr)'!$C:$FB,143)</f>
        <v>6594.16</v>
      </c>
      <c r="E162" s="50">
        <f>VLOOKUP($A162,'Data Vlaue (Cr)'!$C:$FB,144)</f>
        <v>22329.45</v>
      </c>
      <c r="F162" s="50">
        <f>VLOOKUP($A162,'Data Vlaue (Cr)'!$C:$FB,146)*100</f>
        <v>-70.47</v>
      </c>
      <c r="G162" s="49">
        <f>VLOOKUP($A162,'Data Vlaue (Cr)'!$C:$FB,43)</f>
        <v>551</v>
      </c>
      <c r="H162" s="49">
        <f>VLOOKUP($A162,'Data Vlaue (Cr)'!$C:$FB,44)</f>
        <v>2167</v>
      </c>
      <c r="I162" s="49">
        <f>VLOOKUP($A162,'Data Vlaue (Cr)'!$C:$FB,46)*100</f>
        <v>-74.58</v>
      </c>
      <c r="J162" s="51">
        <f>VLOOKUP($A162,'Data Vlaue (Cr)'!$C:$FB,59)</f>
        <v>3657</v>
      </c>
      <c r="K162" s="51">
        <f>VLOOKUP($A162,'Data Vlaue (Cr)'!$C:$FB,60)</f>
        <v>13713</v>
      </c>
      <c r="L162" s="51">
        <f>VLOOKUP($A162,'Data Vlaue (Cr)'!$C:$FB,62)*100</f>
        <v>-73.33</v>
      </c>
      <c r="M162" s="51">
        <f>VLOOKUP($A162,'Data Vlaue (Cr)'!$C:$FB,63)</f>
        <v>2414</v>
      </c>
      <c r="N162" s="51">
        <f>VLOOKUP($A162,'Data Vlaue (Cr)'!$C:$FB,64)</f>
        <v>6791</v>
      </c>
      <c r="O162" s="51">
        <f>VLOOKUP($A162,'Data Vlaue (Cr)'!$C:$FB,66)*100</f>
        <v>-64.459999999999994</v>
      </c>
    </row>
    <row r="163" spans="1:15" x14ac:dyDescent="0.25">
      <c r="A163" s="101" t="str">
        <f>'Data Vlaue (Cr)'!C158</f>
        <v>PETRONET</v>
      </c>
      <c r="B163" s="50">
        <f>VLOOKUP($A163,'Data Vlaue (Cr)'!$C:$FB,8)</f>
        <v>278.75</v>
      </c>
      <c r="C163" s="50">
        <f>VLOOKUP($A163,'Data Vlaue (Cr)'!$C:$FB,11)*100</f>
        <v>-0.32</v>
      </c>
      <c r="D163" s="50">
        <f>VLOOKUP($A163,'Data Vlaue (Cr)'!$C:$FB,143)</f>
        <v>471.98</v>
      </c>
      <c r="E163" s="50">
        <f>VLOOKUP($A163,'Data Vlaue (Cr)'!$C:$FB,144)</f>
        <v>484.1</v>
      </c>
      <c r="F163" s="50">
        <f>VLOOKUP($A163,'Data Vlaue (Cr)'!$C:$FB,146)*100</f>
        <v>-2.5</v>
      </c>
      <c r="G163" s="49">
        <f>VLOOKUP($A163,'Data Vlaue (Cr)'!$C:$FB,43)</f>
        <v>229</v>
      </c>
      <c r="H163" s="49">
        <f>VLOOKUP($A163,'Data Vlaue (Cr)'!$C:$FB,44)</f>
        <v>164</v>
      </c>
      <c r="I163" s="49">
        <f>VLOOKUP($A163,'Data Vlaue (Cr)'!$C:$FB,46)*100</f>
        <v>39.51</v>
      </c>
      <c r="J163" s="51">
        <f>VLOOKUP($A163,'Data Vlaue (Cr)'!$C:$FB,59)</f>
        <v>150</v>
      </c>
      <c r="K163" s="51">
        <f>VLOOKUP($A163,'Data Vlaue (Cr)'!$C:$FB,60)</f>
        <v>186</v>
      </c>
      <c r="L163" s="51">
        <f>VLOOKUP($A163,'Data Vlaue (Cr)'!$C:$FB,62)*100</f>
        <v>-19.41</v>
      </c>
      <c r="M163" s="51">
        <f>VLOOKUP($A163,'Data Vlaue (Cr)'!$C:$FB,63)</f>
        <v>84</v>
      </c>
      <c r="N163" s="51">
        <f>VLOOKUP($A163,'Data Vlaue (Cr)'!$C:$FB,64)</f>
        <v>124</v>
      </c>
      <c r="O163" s="51">
        <f>VLOOKUP($A163,'Data Vlaue (Cr)'!$C:$FB,66)*100</f>
        <v>-32.26</v>
      </c>
    </row>
    <row r="164" spans="1:15" x14ac:dyDescent="0.25">
      <c r="A164" s="101" t="str">
        <f>'Data Vlaue (Cr)'!C159</f>
        <v>PFC</v>
      </c>
      <c r="B164" s="50">
        <f>VLOOKUP($A164,'Data Vlaue (Cr)'!$C:$FB,8)</f>
        <v>401.55</v>
      </c>
      <c r="C164" s="50">
        <f>VLOOKUP($A164,'Data Vlaue (Cr)'!$C:$FB,11)*100</f>
        <v>-0.85000000000000009</v>
      </c>
      <c r="D164" s="50">
        <f>VLOOKUP($A164,'Data Vlaue (Cr)'!$C:$FB,143)</f>
        <v>1739.16</v>
      </c>
      <c r="E164" s="50">
        <f>VLOOKUP($A164,'Data Vlaue (Cr)'!$C:$FB,144)</f>
        <v>2073.35</v>
      </c>
      <c r="F164" s="50">
        <f>VLOOKUP($A164,'Data Vlaue (Cr)'!$C:$FB,146)*100</f>
        <v>-16.12</v>
      </c>
      <c r="G164" s="49">
        <f>VLOOKUP($A164,'Data Vlaue (Cr)'!$C:$FB,43)</f>
        <v>375</v>
      </c>
      <c r="H164" s="49">
        <f>VLOOKUP($A164,'Data Vlaue (Cr)'!$C:$FB,44)</f>
        <v>443</v>
      </c>
      <c r="I164" s="49">
        <f>VLOOKUP($A164,'Data Vlaue (Cr)'!$C:$FB,46)*100</f>
        <v>-15.32</v>
      </c>
      <c r="J164" s="51">
        <f>VLOOKUP($A164,'Data Vlaue (Cr)'!$C:$FB,59)</f>
        <v>824</v>
      </c>
      <c r="K164" s="51">
        <f>VLOOKUP($A164,'Data Vlaue (Cr)'!$C:$FB,60)</f>
        <v>1008</v>
      </c>
      <c r="L164" s="51">
        <f>VLOOKUP($A164,'Data Vlaue (Cr)'!$C:$FB,62)*100</f>
        <v>-18.279999999999998</v>
      </c>
      <c r="M164" s="51">
        <f>VLOOKUP($A164,'Data Vlaue (Cr)'!$C:$FB,63)</f>
        <v>498</v>
      </c>
      <c r="N164" s="51">
        <f>VLOOKUP($A164,'Data Vlaue (Cr)'!$C:$FB,64)</f>
        <v>571</v>
      </c>
      <c r="O164" s="51">
        <f>VLOOKUP($A164,'Data Vlaue (Cr)'!$C:$FB,66)*100</f>
        <v>-12.709999999999999</v>
      </c>
    </row>
    <row r="165" spans="1:15" x14ac:dyDescent="0.25">
      <c r="A165" s="101" t="str">
        <f>'Data Vlaue (Cr)'!C160</f>
        <v>PGEL</v>
      </c>
      <c r="B165" s="50">
        <f>VLOOKUP($A165,'Data Vlaue (Cr)'!$C:$FB,8)</f>
        <v>568.85</v>
      </c>
      <c r="C165" s="50">
        <f>VLOOKUP($A165,'Data Vlaue (Cr)'!$C:$FB,11)*100</f>
        <v>-0.43</v>
      </c>
      <c r="D165" s="50">
        <f>VLOOKUP($A165,'Data Vlaue (Cr)'!$C:$FB,143)</f>
        <v>547.83000000000004</v>
      </c>
      <c r="E165" s="50">
        <f>VLOOKUP($A165,'Data Vlaue (Cr)'!$C:$FB,144)</f>
        <v>1161.21</v>
      </c>
      <c r="F165" s="50">
        <f>VLOOKUP($A165,'Data Vlaue (Cr)'!$C:$FB,146)*100</f>
        <v>-52.82</v>
      </c>
      <c r="G165" s="49">
        <f>VLOOKUP($A165,'Data Vlaue (Cr)'!$C:$FB,43)</f>
        <v>108</v>
      </c>
      <c r="H165" s="49">
        <f>VLOOKUP($A165,'Data Vlaue (Cr)'!$C:$FB,44)</f>
        <v>189</v>
      </c>
      <c r="I165" s="49">
        <f>VLOOKUP($A165,'Data Vlaue (Cr)'!$C:$FB,46)*100</f>
        <v>-42.95</v>
      </c>
      <c r="J165" s="51">
        <f>VLOOKUP($A165,'Data Vlaue (Cr)'!$C:$FB,59)</f>
        <v>297</v>
      </c>
      <c r="K165" s="51">
        <f>VLOOKUP($A165,'Data Vlaue (Cr)'!$C:$FB,60)</f>
        <v>635</v>
      </c>
      <c r="L165" s="51">
        <f>VLOOKUP($A165,'Data Vlaue (Cr)'!$C:$FB,62)*100</f>
        <v>-53.290000000000006</v>
      </c>
      <c r="M165" s="51">
        <f>VLOOKUP($A165,'Data Vlaue (Cr)'!$C:$FB,63)</f>
        <v>128</v>
      </c>
      <c r="N165" s="51">
        <f>VLOOKUP($A165,'Data Vlaue (Cr)'!$C:$FB,64)</f>
        <v>297</v>
      </c>
      <c r="O165" s="51">
        <f>VLOOKUP($A165,'Data Vlaue (Cr)'!$C:$FB,66)*100</f>
        <v>-56.879999999999995</v>
      </c>
    </row>
    <row r="166" spans="1:15" x14ac:dyDescent="0.25">
      <c r="A166" s="101" t="str">
        <f>'Data Vlaue (Cr)'!C161</f>
        <v>PHOENIXLTD</v>
      </c>
      <c r="B166" s="50">
        <f>VLOOKUP($A166,'Data Vlaue (Cr)'!$C:$FB,8)</f>
        <v>1694.9</v>
      </c>
      <c r="C166" s="50">
        <f>VLOOKUP($A166,'Data Vlaue (Cr)'!$C:$FB,11)*100</f>
        <v>1.1100000000000001</v>
      </c>
      <c r="D166" s="50">
        <f>VLOOKUP($A166,'Data Vlaue (Cr)'!$C:$FB,143)</f>
        <v>1337.14</v>
      </c>
      <c r="E166" s="50">
        <f>VLOOKUP($A166,'Data Vlaue (Cr)'!$C:$FB,144)</f>
        <v>1001.66</v>
      </c>
      <c r="F166" s="50">
        <f>VLOOKUP($A166,'Data Vlaue (Cr)'!$C:$FB,146)*100</f>
        <v>33.489999999999995</v>
      </c>
      <c r="G166" s="49">
        <f>VLOOKUP($A166,'Data Vlaue (Cr)'!$C:$FB,43)</f>
        <v>299</v>
      </c>
      <c r="H166" s="49">
        <f>VLOOKUP($A166,'Data Vlaue (Cr)'!$C:$FB,44)</f>
        <v>134</v>
      </c>
      <c r="I166" s="49">
        <f>VLOOKUP($A166,'Data Vlaue (Cr)'!$C:$FB,46)*100</f>
        <v>123.07</v>
      </c>
      <c r="J166" s="51">
        <f>VLOOKUP($A166,'Data Vlaue (Cr)'!$C:$FB,59)</f>
        <v>772</v>
      </c>
      <c r="K166" s="51">
        <f>VLOOKUP($A166,'Data Vlaue (Cr)'!$C:$FB,60)</f>
        <v>674</v>
      </c>
      <c r="L166" s="51">
        <f>VLOOKUP($A166,'Data Vlaue (Cr)'!$C:$FB,62)*100</f>
        <v>14.49</v>
      </c>
      <c r="M166" s="51">
        <f>VLOOKUP($A166,'Data Vlaue (Cr)'!$C:$FB,63)</f>
        <v>247</v>
      </c>
      <c r="N166" s="51">
        <f>VLOOKUP($A166,'Data Vlaue (Cr)'!$C:$FB,64)</f>
        <v>199</v>
      </c>
      <c r="O166" s="51">
        <f>VLOOKUP($A166,'Data Vlaue (Cr)'!$C:$FB,66)*100</f>
        <v>24.12</v>
      </c>
    </row>
    <row r="167" spans="1:15" x14ac:dyDescent="0.25">
      <c r="A167" s="101" t="str">
        <f>'Data Vlaue (Cr)'!C162</f>
        <v>PIDILITIND</v>
      </c>
      <c r="B167" s="50">
        <f>VLOOKUP($A167,'Data Vlaue (Cr)'!$C:$FB,8)</f>
        <v>1523</v>
      </c>
      <c r="C167" s="50">
        <f>VLOOKUP($A167,'Data Vlaue (Cr)'!$C:$FB,11)*100</f>
        <v>1.48</v>
      </c>
      <c r="D167" s="50">
        <f>VLOOKUP($A167,'Data Vlaue (Cr)'!$C:$FB,143)</f>
        <v>633.89</v>
      </c>
      <c r="E167" s="50">
        <f>VLOOKUP($A167,'Data Vlaue (Cr)'!$C:$FB,144)</f>
        <v>385.02</v>
      </c>
      <c r="F167" s="50">
        <f>VLOOKUP($A167,'Data Vlaue (Cr)'!$C:$FB,146)*100</f>
        <v>64.64</v>
      </c>
      <c r="G167" s="49">
        <f>VLOOKUP($A167,'Data Vlaue (Cr)'!$C:$FB,43)</f>
        <v>150</v>
      </c>
      <c r="H167" s="49">
        <f>VLOOKUP($A167,'Data Vlaue (Cr)'!$C:$FB,44)</f>
        <v>126</v>
      </c>
      <c r="I167" s="49">
        <f>VLOOKUP($A167,'Data Vlaue (Cr)'!$C:$FB,46)*100</f>
        <v>18.8</v>
      </c>
      <c r="J167" s="51">
        <f>VLOOKUP($A167,'Data Vlaue (Cr)'!$C:$FB,59)</f>
        <v>372</v>
      </c>
      <c r="K167" s="51">
        <f>VLOOKUP($A167,'Data Vlaue (Cr)'!$C:$FB,60)</f>
        <v>171</v>
      </c>
      <c r="L167" s="51">
        <f>VLOOKUP($A167,'Data Vlaue (Cr)'!$C:$FB,62)*100</f>
        <v>117.8</v>
      </c>
      <c r="M167" s="51">
        <f>VLOOKUP($A167,'Data Vlaue (Cr)'!$C:$FB,63)</f>
        <v>106</v>
      </c>
      <c r="N167" s="51">
        <f>VLOOKUP($A167,'Data Vlaue (Cr)'!$C:$FB,64)</f>
        <v>89</v>
      </c>
      <c r="O167" s="51">
        <f>VLOOKUP($A167,'Data Vlaue (Cr)'!$C:$FB,66)*100</f>
        <v>18.740000000000002</v>
      </c>
    </row>
    <row r="168" spans="1:15" x14ac:dyDescent="0.25">
      <c r="A168" s="101" t="str">
        <f>'Data Vlaue (Cr)'!C163</f>
        <v>PIIND</v>
      </c>
      <c r="B168" s="50">
        <f>VLOOKUP($A168,'Data Vlaue (Cr)'!$C:$FB,8)</f>
        <v>3550.3</v>
      </c>
      <c r="C168" s="50">
        <f>VLOOKUP($A168,'Data Vlaue (Cr)'!$C:$FB,11)*100</f>
        <v>-0.13999999999999999</v>
      </c>
      <c r="D168" s="50">
        <f>VLOOKUP($A168,'Data Vlaue (Cr)'!$C:$FB,143)</f>
        <v>263.87</v>
      </c>
      <c r="E168" s="50">
        <f>VLOOKUP($A168,'Data Vlaue (Cr)'!$C:$FB,144)</f>
        <v>168.42</v>
      </c>
      <c r="F168" s="50">
        <f>VLOOKUP($A168,'Data Vlaue (Cr)'!$C:$FB,146)*100</f>
        <v>56.67</v>
      </c>
      <c r="G168" s="49">
        <f>VLOOKUP($A168,'Data Vlaue (Cr)'!$C:$FB,43)</f>
        <v>92</v>
      </c>
      <c r="H168" s="49">
        <f>VLOOKUP($A168,'Data Vlaue (Cr)'!$C:$FB,44)</f>
        <v>44</v>
      </c>
      <c r="I168" s="49">
        <f>VLOOKUP($A168,'Data Vlaue (Cr)'!$C:$FB,46)*100</f>
        <v>107.2</v>
      </c>
      <c r="J168" s="51">
        <f>VLOOKUP($A168,'Data Vlaue (Cr)'!$C:$FB,59)</f>
        <v>131</v>
      </c>
      <c r="K168" s="51">
        <f>VLOOKUP($A168,'Data Vlaue (Cr)'!$C:$FB,60)</f>
        <v>104</v>
      </c>
      <c r="L168" s="51">
        <f>VLOOKUP($A168,'Data Vlaue (Cr)'!$C:$FB,62)*100</f>
        <v>26.840000000000003</v>
      </c>
      <c r="M168" s="51">
        <f>VLOOKUP($A168,'Data Vlaue (Cr)'!$C:$FB,63)</f>
        <v>36</v>
      </c>
      <c r="N168" s="51">
        <f>VLOOKUP($A168,'Data Vlaue (Cr)'!$C:$FB,64)</f>
        <v>17</v>
      </c>
      <c r="O168" s="51">
        <f>VLOOKUP($A168,'Data Vlaue (Cr)'!$C:$FB,66)*100</f>
        <v>118.87</v>
      </c>
    </row>
    <row r="169" spans="1:15" x14ac:dyDescent="0.25">
      <c r="A169" s="101" t="str">
        <f>'Data Vlaue (Cr)'!C164</f>
        <v>PNB</v>
      </c>
      <c r="B169" s="50">
        <f>VLOOKUP($A169,'Data Vlaue (Cr)'!$C:$FB,8)</f>
        <v>116.11</v>
      </c>
      <c r="C169" s="50">
        <f>VLOOKUP($A169,'Data Vlaue (Cr)'!$C:$FB,11)*100</f>
        <v>-0.25</v>
      </c>
      <c r="D169" s="50">
        <f>VLOOKUP($A169,'Data Vlaue (Cr)'!$C:$FB,143)</f>
        <v>3996.29</v>
      </c>
      <c r="E169" s="50">
        <f>VLOOKUP($A169,'Data Vlaue (Cr)'!$C:$FB,144)</f>
        <v>3116.96</v>
      </c>
      <c r="F169" s="50">
        <f>VLOOKUP($A169,'Data Vlaue (Cr)'!$C:$FB,146)*100</f>
        <v>28.21</v>
      </c>
      <c r="G169" s="49">
        <f>VLOOKUP($A169,'Data Vlaue (Cr)'!$C:$FB,43)</f>
        <v>725</v>
      </c>
      <c r="H169" s="49">
        <f>VLOOKUP($A169,'Data Vlaue (Cr)'!$C:$FB,44)</f>
        <v>521</v>
      </c>
      <c r="I169" s="49">
        <f>VLOOKUP($A169,'Data Vlaue (Cr)'!$C:$FB,46)*100</f>
        <v>39.129999999999995</v>
      </c>
      <c r="J169" s="51">
        <f>VLOOKUP($A169,'Data Vlaue (Cr)'!$C:$FB,59)</f>
        <v>1947</v>
      </c>
      <c r="K169" s="51">
        <f>VLOOKUP($A169,'Data Vlaue (Cr)'!$C:$FB,60)</f>
        <v>1640</v>
      </c>
      <c r="L169" s="51">
        <f>VLOOKUP($A169,'Data Vlaue (Cr)'!$C:$FB,62)*100</f>
        <v>18.740000000000002</v>
      </c>
      <c r="M169" s="51">
        <f>VLOOKUP($A169,'Data Vlaue (Cr)'!$C:$FB,63)</f>
        <v>1239</v>
      </c>
      <c r="N169" s="51">
        <f>VLOOKUP($A169,'Data Vlaue (Cr)'!$C:$FB,64)</f>
        <v>907</v>
      </c>
      <c r="O169" s="51">
        <f>VLOOKUP($A169,'Data Vlaue (Cr)'!$C:$FB,66)*100</f>
        <v>36.620000000000005</v>
      </c>
    </row>
    <row r="170" spans="1:15" x14ac:dyDescent="0.25">
      <c r="A170" s="101" t="str">
        <f>'Data Vlaue (Cr)'!C165</f>
        <v>PNBHOUSING</v>
      </c>
      <c r="B170" s="50">
        <f>VLOOKUP($A170,'Data Vlaue (Cr)'!$C:$FB,8)</f>
        <v>843.4</v>
      </c>
      <c r="C170" s="50">
        <f>VLOOKUP($A170,'Data Vlaue (Cr)'!$C:$FB,11)*100</f>
        <v>-0.64</v>
      </c>
      <c r="D170" s="50">
        <f>VLOOKUP($A170,'Data Vlaue (Cr)'!$C:$FB,143)</f>
        <v>543.17999999999995</v>
      </c>
      <c r="E170" s="50">
        <f>VLOOKUP($A170,'Data Vlaue (Cr)'!$C:$FB,144)</f>
        <v>410.54</v>
      </c>
      <c r="F170" s="50">
        <f>VLOOKUP($A170,'Data Vlaue (Cr)'!$C:$FB,146)*100</f>
        <v>32.31</v>
      </c>
      <c r="G170" s="49">
        <f>VLOOKUP($A170,'Data Vlaue (Cr)'!$C:$FB,43)</f>
        <v>168</v>
      </c>
      <c r="H170" s="49">
        <f>VLOOKUP($A170,'Data Vlaue (Cr)'!$C:$FB,44)</f>
        <v>131</v>
      </c>
      <c r="I170" s="49">
        <f>VLOOKUP($A170,'Data Vlaue (Cr)'!$C:$FB,46)*100</f>
        <v>28.08</v>
      </c>
      <c r="J170" s="51">
        <f>VLOOKUP($A170,'Data Vlaue (Cr)'!$C:$FB,59)</f>
        <v>233</v>
      </c>
      <c r="K170" s="51">
        <f>VLOOKUP($A170,'Data Vlaue (Cr)'!$C:$FB,60)</f>
        <v>182</v>
      </c>
      <c r="L170" s="51">
        <f>VLOOKUP($A170,'Data Vlaue (Cr)'!$C:$FB,62)*100</f>
        <v>28.07</v>
      </c>
      <c r="M170" s="51">
        <f>VLOOKUP($A170,'Data Vlaue (Cr)'!$C:$FB,63)</f>
        <v>127</v>
      </c>
      <c r="N170" s="51">
        <f>VLOOKUP($A170,'Data Vlaue (Cr)'!$C:$FB,64)</f>
        <v>83</v>
      </c>
      <c r="O170" s="51">
        <f>VLOOKUP($A170,'Data Vlaue (Cr)'!$C:$FB,66)*100</f>
        <v>52.38</v>
      </c>
    </row>
    <row r="171" spans="1:15" x14ac:dyDescent="0.25">
      <c r="A171" s="101" t="str">
        <f>'Data Vlaue (Cr)'!C166</f>
        <v>POLICYBZR</v>
      </c>
      <c r="B171" s="50">
        <f>VLOOKUP($A171,'Data Vlaue (Cr)'!$C:$FB,8)</f>
        <v>1691</v>
      </c>
      <c r="C171" s="50">
        <f>VLOOKUP($A171,'Data Vlaue (Cr)'!$C:$FB,11)*100</f>
        <v>1.01</v>
      </c>
      <c r="D171" s="50">
        <f>VLOOKUP($A171,'Data Vlaue (Cr)'!$C:$FB,143)</f>
        <v>621.44000000000005</v>
      </c>
      <c r="E171" s="50">
        <f>VLOOKUP($A171,'Data Vlaue (Cr)'!$C:$FB,144)</f>
        <v>601.63</v>
      </c>
      <c r="F171" s="50">
        <f>VLOOKUP($A171,'Data Vlaue (Cr)'!$C:$FB,146)*100</f>
        <v>3.29</v>
      </c>
      <c r="G171" s="49">
        <f>VLOOKUP($A171,'Data Vlaue (Cr)'!$C:$FB,43)</f>
        <v>233</v>
      </c>
      <c r="H171" s="49">
        <f>VLOOKUP($A171,'Data Vlaue (Cr)'!$C:$FB,44)</f>
        <v>231</v>
      </c>
      <c r="I171" s="49">
        <f>VLOOKUP($A171,'Data Vlaue (Cr)'!$C:$FB,46)*100</f>
        <v>0.64</v>
      </c>
      <c r="J171" s="51">
        <f>VLOOKUP($A171,'Data Vlaue (Cr)'!$C:$FB,59)</f>
        <v>304</v>
      </c>
      <c r="K171" s="51">
        <f>VLOOKUP($A171,'Data Vlaue (Cr)'!$C:$FB,60)</f>
        <v>237</v>
      </c>
      <c r="L171" s="51">
        <f>VLOOKUP($A171,'Data Vlaue (Cr)'!$C:$FB,62)*100</f>
        <v>28.4</v>
      </c>
      <c r="M171" s="51">
        <f>VLOOKUP($A171,'Data Vlaue (Cr)'!$C:$FB,63)</f>
        <v>73</v>
      </c>
      <c r="N171" s="51">
        <f>VLOOKUP($A171,'Data Vlaue (Cr)'!$C:$FB,64)</f>
        <v>124</v>
      </c>
      <c r="O171" s="51">
        <f>VLOOKUP($A171,'Data Vlaue (Cr)'!$C:$FB,66)*100</f>
        <v>-41.11</v>
      </c>
    </row>
    <row r="172" spans="1:15" x14ac:dyDescent="0.25">
      <c r="A172" s="101" t="str">
        <f>'Data Vlaue (Cr)'!C167</f>
        <v>POLYCAB</v>
      </c>
      <c r="B172" s="50">
        <f>VLOOKUP($A172,'Data Vlaue (Cr)'!$C:$FB,8)</f>
        <v>7578</v>
      </c>
      <c r="C172" s="50">
        <f>VLOOKUP($A172,'Data Vlaue (Cr)'!$C:$FB,11)*100</f>
        <v>-1.05</v>
      </c>
      <c r="D172" s="50">
        <f>VLOOKUP($A172,'Data Vlaue (Cr)'!$C:$FB,143)</f>
        <v>2524.2600000000002</v>
      </c>
      <c r="E172" s="50">
        <f>VLOOKUP($A172,'Data Vlaue (Cr)'!$C:$FB,144)</f>
        <v>1832.42</v>
      </c>
      <c r="F172" s="50">
        <f>VLOOKUP($A172,'Data Vlaue (Cr)'!$C:$FB,146)*100</f>
        <v>37.76</v>
      </c>
      <c r="G172" s="49">
        <f>VLOOKUP($A172,'Data Vlaue (Cr)'!$C:$FB,43)</f>
        <v>520</v>
      </c>
      <c r="H172" s="49">
        <f>VLOOKUP($A172,'Data Vlaue (Cr)'!$C:$FB,44)</f>
        <v>339</v>
      </c>
      <c r="I172" s="49">
        <f>VLOOKUP($A172,'Data Vlaue (Cr)'!$C:$FB,46)*100</f>
        <v>53.349999999999994</v>
      </c>
      <c r="J172" s="51">
        <f>VLOOKUP($A172,'Data Vlaue (Cr)'!$C:$FB,59)</f>
        <v>1356</v>
      </c>
      <c r="K172" s="51">
        <f>VLOOKUP($A172,'Data Vlaue (Cr)'!$C:$FB,60)</f>
        <v>936</v>
      </c>
      <c r="L172" s="51">
        <f>VLOOKUP($A172,'Data Vlaue (Cr)'!$C:$FB,62)*100</f>
        <v>44.87</v>
      </c>
      <c r="M172" s="51">
        <f>VLOOKUP($A172,'Data Vlaue (Cr)'!$C:$FB,63)</f>
        <v>593</v>
      </c>
      <c r="N172" s="51">
        <f>VLOOKUP($A172,'Data Vlaue (Cr)'!$C:$FB,64)</f>
        <v>511</v>
      </c>
      <c r="O172" s="51">
        <f>VLOOKUP($A172,'Data Vlaue (Cr)'!$C:$FB,66)*100</f>
        <v>16.05</v>
      </c>
    </row>
    <row r="173" spans="1:15" x14ac:dyDescent="0.25">
      <c r="A173" s="101" t="str">
        <f>'Data Vlaue (Cr)'!C168</f>
        <v>POWERGRID</v>
      </c>
      <c r="B173" s="50">
        <f>VLOOKUP($A173,'Data Vlaue (Cr)'!$C:$FB,8)</f>
        <v>291.85000000000002</v>
      </c>
      <c r="C173" s="50">
        <f>VLOOKUP($A173,'Data Vlaue (Cr)'!$C:$FB,11)*100</f>
        <v>0.31</v>
      </c>
      <c r="D173" s="50">
        <f>VLOOKUP($A173,'Data Vlaue (Cr)'!$C:$FB,143)</f>
        <v>844.06</v>
      </c>
      <c r="E173" s="50">
        <f>VLOOKUP($A173,'Data Vlaue (Cr)'!$C:$FB,144)</f>
        <v>1558.61</v>
      </c>
      <c r="F173" s="50">
        <f>VLOOKUP($A173,'Data Vlaue (Cr)'!$C:$FB,146)*100</f>
        <v>-45.85</v>
      </c>
      <c r="G173" s="49">
        <f>VLOOKUP($A173,'Data Vlaue (Cr)'!$C:$FB,43)</f>
        <v>248</v>
      </c>
      <c r="H173" s="49">
        <f>VLOOKUP($A173,'Data Vlaue (Cr)'!$C:$FB,44)</f>
        <v>249</v>
      </c>
      <c r="I173" s="49">
        <f>VLOOKUP($A173,'Data Vlaue (Cr)'!$C:$FB,46)*100</f>
        <v>-0.38</v>
      </c>
      <c r="J173" s="51">
        <f>VLOOKUP($A173,'Data Vlaue (Cr)'!$C:$FB,59)</f>
        <v>374</v>
      </c>
      <c r="K173" s="51">
        <f>VLOOKUP($A173,'Data Vlaue (Cr)'!$C:$FB,60)</f>
        <v>842</v>
      </c>
      <c r="L173" s="51">
        <f>VLOOKUP($A173,'Data Vlaue (Cr)'!$C:$FB,62)*100</f>
        <v>-55.610000000000007</v>
      </c>
      <c r="M173" s="51">
        <f>VLOOKUP($A173,'Data Vlaue (Cr)'!$C:$FB,63)</f>
        <v>213</v>
      </c>
      <c r="N173" s="51">
        <f>VLOOKUP($A173,'Data Vlaue (Cr)'!$C:$FB,64)</f>
        <v>460</v>
      </c>
      <c r="O173" s="51">
        <f>VLOOKUP($A173,'Data Vlaue (Cr)'!$C:$FB,66)*100</f>
        <v>-53.65</v>
      </c>
    </row>
    <row r="174" spans="1:15" x14ac:dyDescent="0.25">
      <c r="A174" s="101" t="str">
        <f>'Data Vlaue (Cr)'!C169</f>
        <v>POWERINDIA</v>
      </c>
      <c r="B174" s="50">
        <f>VLOOKUP($A174,'Data Vlaue (Cr)'!$C:$FB,8)</f>
        <v>17700</v>
      </c>
      <c r="C174" s="50">
        <f>VLOOKUP($A174,'Data Vlaue (Cr)'!$C:$FB,11)*100</f>
        <v>1.21</v>
      </c>
      <c r="D174" s="50">
        <f>VLOOKUP($A174,'Data Vlaue (Cr)'!$C:$FB,143)</f>
        <v>339.1</v>
      </c>
      <c r="E174" s="50">
        <f>VLOOKUP($A174,'Data Vlaue (Cr)'!$C:$FB,144)</f>
        <v>180.73</v>
      </c>
      <c r="F174" s="50">
        <f>VLOOKUP($A174,'Data Vlaue (Cr)'!$C:$FB,146)*100</f>
        <v>87.63</v>
      </c>
      <c r="G174" s="49">
        <f>VLOOKUP($A174,'Data Vlaue (Cr)'!$C:$FB,43)</f>
        <v>123</v>
      </c>
      <c r="H174" s="49">
        <f>VLOOKUP($A174,'Data Vlaue (Cr)'!$C:$FB,44)</f>
        <v>72</v>
      </c>
      <c r="I174" s="49">
        <f>VLOOKUP($A174,'Data Vlaue (Cr)'!$C:$FB,46)*100</f>
        <v>70.94</v>
      </c>
      <c r="J174" s="51">
        <f>VLOOKUP($A174,'Data Vlaue (Cr)'!$C:$FB,59)</f>
        <v>187</v>
      </c>
      <c r="K174" s="51">
        <f>VLOOKUP($A174,'Data Vlaue (Cr)'!$C:$FB,60)</f>
        <v>83</v>
      </c>
      <c r="L174" s="51">
        <f>VLOOKUP($A174,'Data Vlaue (Cr)'!$C:$FB,62)*100</f>
        <v>126.18</v>
      </c>
      <c r="M174" s="51">
        <f>VLOOKUP($A174,'Data Vlaue (Cr)'!$C:$FB,63)</f>
        <v>21</v>
      </c>
      <c r="N174" s="51">
        <f>VLOOKUP($A174,'Data Vlaue (Cr)'!$C:$FB,64)</f>
        <v>25</v>
      </c>
      <c r="O174" s="51">
        <f>VLOOKUP($A174,'Data Vlaue (Cr)'!$C:$FB,66)*100</f>
        <v>-13.309999999999999</v>
      </c>
    </row>
    <row r="175" spans="1:15" x14ac:dyDescent="0.25">
      <c r="A175" s="101" t="str">
        <f>'Data Vlaue (Cr)'!C170</f>
        <v>PPLPHARMA</v>
      </c>
      <c r="B175" s="50">
        <f>VLOOKUP($A175,'Data Vlaue (Cr)'!$C:$FB,8)</f>
        <v>194.16</v>
      </c>
      <c r="C175" s="50">
        <f>VLOOKUP($A175,'Data Vlaue (Cr)'!$C:$FB,11)*100</f>
        <v>0.33999999999999997</v>
      </c>
      <c r="D175" s="50">
        <f>VLOOKUP($A175,'Data Vlaue (Cr)'!$C:$FB,143)</f>
        <v>244.47</v>
      </c>
      <c r="E175" s="50">
        <f>VLOOKUP($A175,'Data Vlaue (Cr)'!$C:$FB,144)</f>
        <v>513.75</v>
      </c>
      <c r="F175" s="50">
        <f>VLOOKUP($A175,'Data Vlaue (Cr)'!$C:$FB,146)*100</f>
        <v>-52.42</v>
      </c>
      <c r="G175" s="49">
        <f>VLOOKUP($A175,'Data Vlaue (Cr)'!$C:$FB,43)</f>
        <v>97</v>
      </c>
      <c r="H175" s="49">
        <f>VLOOKUP($A175,'Data Vlaue (Cr)'!$C:$FB,44)</f>
        <v>120</v>
      </c>
      <c r="I175" s="49">
        <f>VLOOKUP($A175,'Data Vlaue (Cr)'!$C:$FB,46)*100</f>
        <v>-19.12</v>
      </c>
      <c r="J175" s="51">
        <f>VLOOKUP($A175,'Data Vlaue (Cr)'!$C:$FB,59)</f>
        <v>115</v>
      </c>
      <c r="K175" s="51">
        <f>VLOOKUP($A175,'Data Vlaue (Cr)'!$C:$FB,60)</f>
        <v>250</v>
      </c>
      <c r="L175" s="51">
        <f>VLOOKUP($A175,'Data Vlaue (Cr)'!$C:$FB,62)*100</f>
        <v>-54.120000000000005</v>
      </c>
      <c r="M175" s="51">
        <f>VLOOKUP($A175,'Data Vlaue (Cr)'!$C:$FB,63)</f>
        <v>25</v>
      </c>
      <c r="N175" s="51">
        <f>VLOOKUP($A175,'Data Vlaue (Cr)'!$C:$FB,64)</f>
        <v>129</v>
      </c>
      <c r="O175" s="51">
        <f>VLOOKUP($A175,'Data Vlaue (Cr)'!$C:$FB,66)*100</f>
        <v>-80.430000000000007</v>
      </c>
    </row>
    <row r="176" spans="1:15" x14ac:dyDescent="0.25">
      <c r="A176" s="101" t="str">
        <f>'Data Vlaue (Cr)'!C171</f>
        <v>PRESTIGE</v>
      </c>
      <c r="B176" s="50">
        <f>VLOOKUP($A176,'Data Vlaue (Cr)'!$C:$FB,8)</f>
        <v>1696.9</v>
      </c>
      <c r="C176" s="50">
        <f>VLOOKUP($A176,'Data Vlaue (Cr)'!$C:$FB,11)*100</f>
        <v>1.25</v>
      </c>
      <c r="D176" s="50">
        <f>VLOOKUP($A176,'Data Vlaue (Cr)'!$C:$FB,143)</f>
        <v>1297.97</v>
      </c>
      <c r="E176" s="50">
        <f>VLOOKUP($A176,'Data Vlaue (Cr)'!$C:$FB,144)</f>
        <v>3810.95</v>
      </c>
      <c r="F176" s="50">
        <f>VLOOKUP($A176,'Data Vlaue (Cr)'!$C:$FB,146)*100</f>
        <v>-65.94</v>
      </c>
      <c r="G176" s="49">
        <f>VLOOKUP($A176,'Data Vlaue (Cr)'!$C:$FB,43)</f>
        <v>156</v>
      </c>
      <c r="H176" s="49">
        <f>VLOOKUP($A176,'Data Vlaue (Cr)'!$C:$FB,44)</f>
        <v>433</v>
      </c>
      <c r="I176" s="49">
        <f>VLOOKUP($A176,'Data Vlaue (Cr)'!$C:$FB,46)*100</f>
        <v>-63.93</v>
      </c>
      <c r="J176" s="51">
        <f>VLOOKUP($A176,'Data Vlaue (Cr)'!$C:$FB,59)</f>
        <v>856</v>
      </c>
      <c r="K176" s="51">
        <f>VLOOKUP($A176,'Data Vlaue (Cr)'!$C:$FB,60)</f>
        <v>2576</v>
      </c>
      <c r="L176" s="51">
        <f>VLOOKUP($A176,'Data Vlaue (Cr)'!$C:$FB,62)*100</f>
        <v>-66.78</v>
      </c>
      <c r="M176" s="51">
        <f>VLOOKUP($A176,'Data Vlaue (Cr)'!$C:$FB,63)</f>
        <v>264</v>
      </c>
      <c r="N176" s="51">
        <f>VLOOKUP($A176,'Data Vlaue (Cr)'!$C:$FB,64)</f>
        <v>772</v>
      </c>
      <c r="O176" s="51">
        <f>VLOOKUP($A176,'Data Vlaue (Cr)'!$C:$FB,66)*100</f>
        <v>-65.739999999999995</v>
      </c>
    </row>
    <row r="177" spans="1:15" x14ac:dyDescent="0.25">
      <c r="A177" s="101" t="str">
        <f>'Data Vlaue (Cr)'!C172</f>
        <v>RBLBANK</v>
      </c>
      <c r="B177" s="50">
        <f>VLOOKUP($A177,'Data Vlaue (Cr)'!$C:$FB,8)</f>
        <v>306.75</v>
      </c>
      <c r="C177" s="50">
        <f>VLOOKUP($A177,'Data Vlaue (Cr)'!$C:$FB,11)*100</f>
        <v>2.4</v>
      </c>
      <c r="D177" s="50">
        <f>VLOOKUP($A177,'Data Vlaue (Cr)'!$C:$FB,143)</f>
        <v>4593.75</v>
      </c>
      <c r="E177" s="50">
        <f>VLOOKUP($A177,'Data Vlaue (Cr)'!$C:$FB,144)</f>
        <v>179.37</v>
      </c>
      <c r="F177" s="50">
        <f>VLOOKUP($A177,'Data Vlaue (Cr)'!$C:$FB,146)*100</f>
        <v>2461.06</v>
      </c>
      <c r="G177" s="49">
        <f>VLOOKUP($A177,'Data Vlaue (Cr)'!$C:$FB,43)</f>
        <v>2250</v>
      </c>
      <c r="H177" s="49">
        <f>VLOOKUP($A177,'Data Vlaue (Cr)'!$C:$FB,44)</f>
        <v>119</v>
      </c>
      <c r="I177" s="49">
        <f>VLOOKUP($A177,'Data Vlaue (Cr)'!$C:$FB,46)*100</f>
        <v>1791.45</v>
      </c>
      <c r="J177" s="51">
        <f>VLOOKUP($A177,'Data Vlaue (Cr)'!$C:$FB,59)</f>
        <v>1544</v>
      </c>
      <c r="K177" s="51">
        <f>VLOOKUP($A177,'Data Vlaue (Cr)'!$C:$FB,60)</f>
        <v>38</v>
      </c>
      <c r="L177" s="51">
        <f>VLOOKUP($A177,'Data Vlaue (Cr)'!$C:$FB,62)*100</f>
        <v>4012.24</v>
      </c>
      <c r="M177" s="51">
        <f>VLOOKUP($A177,'Data Vlaue (Cr)'!$C:$FB,63)</f>
        <v>838</v>
      </c>
      <c r="N177" s="51">
        <f>VLOOKUP($A177,'Data Vlaue (Cr)'!$C:$FB,64)</f>
        <v>30</v>
      </c>
      <c r="O177" s="51">
        <f>VLOOKUP($A177,'Data Vlaue (Cr)'!$C:$FB,66)*100</f>
        <v>2730.36</v>
      </c>
    </row>
    <row r="178" spans="1:15" x14ac:dyDescent="0.25">
      <c r="A178" s="101" t="str">
        <f>'Data Vlaue (Cr)'!C173</f>
        <v>RECLTD</v>
      </c>
      <c r="B178" s="50">
        <f>VLOOKUP($A178,'Data Vlaue (Cr)'!$C:$FB,8)</f>
        <v>377.5</v>
      </c>
      <c r="C178" s="50">
        <f>VLOOKUP($A178,'Data Vlaue (Cr)'!$C:$FB,11)*100</f>
        <v>0.44999999999999996</v>
      </c>
      <c r="D178" s="50">
        <f>VLOOKUP($A178,'Data Vlaue (Cr)'!$C:$FB,143)</f>
        <v>1292.3499999999999</v>
      </c>
      <c r="E178" s="50">
        <f>VLOOKUP($A178,'Data Vlaue (Cr)'!$C:$FB,144)</f>
        <v>1980.52</v>
      </c>
      <c r="F178" s="50">
        <f>VLOOKUP($A178,'Data Vlaue (Cr)'!$C:$FB,146)*100</f>
        <v>-34.75</v>
      </c>
      <c r="G178" s="49">
        <f>VLOOKUP($A178,'Data Vlaue (Cr)'!$C:$FB,43)</f>
        <v>311</v>
      </c>
      <c r="H178" s="49">
        <f>VLOOKUP($A178,'Data Vlaue (Cr)'!$C:$FB,44)</f>
        <v>445</v>
      </c>
      <c r="I178" s="49">
        <f>VLOOKUP($A178,'Data Vlaue (Cr)'!$C:$FB,46)*100</f>
        <v>-30.06</v>
      </c>
      <c r="J178" s="51">
        <f>VLOOKUP($A178,'Data Vlaue (Cr)'!$C:$FB,59)</f>
        <v>584</v>
      </c>
      <c r="K178" s="51">
        <f>VLOOKUP($A178,'Data Vlaue (Cr)'!$C:$FB,60)</f>
        <v>957</v>
      </c>
      <c r="L178" s="51">
        <f>VLOOKUP($A178,'Data Vlaue (Cr)'!$C:$FB,62)*100</f>
        <v>-38.99</v>
      </c>
      <c r="M178" s="51">
        <f>VLOOKUP($A178,'Data Vlaue (Cr)'!$C:$FB,63)</f>
        <v>376</v>
      </c>
      <c r="N178" s="51">
        <f>VLOOKUP($A178,'Data Vlaue (Cr)'!$C:$FB,64)</f>
        <v>543</v>
      </c>
      <c r="O178" s="51">
        <f>VLOOKUP($A178,'Data Vlaue (Cr)'!$C:$FB,66)*100</f>
        <v>-30.89</v>
      </c>
    </row>
    <row r="179" spans="1:15" x14ac:dyDescent="0.25">
      <c r="A179" s="101" t="str">
        <f>'Data Vlaue (Cr)'!C174</f>
        <v>RELIANCE</v>
      </c>
      <c r="B179" s="50">
        <f>VLOOKUP($A179,'Data Vlaue (Cr)'!$C:$FB,8)</f>
        <v>1398.3</v>
      </c>
      <c r="C179" s="50">
        <f>VLOOKUP($A179,'Data Vlaue (Cr)'!$C:$FB,11)*100</f>
        <v>1.7500000000000002</v>
      </c>
      <c r="D179" s="50">
        <f>VLOOKUP($A179,'Data Vlaue (Cr)'!$C:$FB,143)</f>
        <v>16847.04</v>
      </c>
      <c r="E179" s="50">
        <f>VLOOKUP($A179,'Data Vlaue (Cr)'!$C:$FB,144)</f>
        <v>10801.44</v>
      </c>
      <c r="F179" s="50">
        <f>VLOOKUP($A179,'Data Vlaue (Cr)'!$C:$FB,146)*100</f>
        <v>55.97</v>
      </c>
      <c r="G179" s="49">
        <f>VLOOKUP($A179,'Data Vlaue (Cr)'!$C:$FB,43)</f>
        <v>2597</v>
      </c>
      <c r="H179" s="49">
        <f>VLOOKUP($A179,'Data Vlaue (Cr)'!$C:$FB,44)</f>
        <v>1821</v>
      </c>
      <c r="I179" s="49">
        <f>VLOOKUP($A179,'Data Vlaue (Cr)'!$C:$FB,46)*100</f>
        <v>42.6</v>
      </c>
      <c r="J179" s="51">
        <f>VLOOKUP($A179,'Data Vlaue (Cr)'!$C:$FB,59)</f>
        <v>9870</v>
      </c>
      <c r="K179" s="51">
        <f>VLOOKUP($A179,'Data Vlaue (Cr)'!$C:$FB,60)</f>
        <v>5819</v>
      </c>
      <c r="L179" s="51">
        <f>VLOOKUP($A179,'Data Vlaue (Cr)'!$C:$FB,62)*100</f>
        <v>69.62</v>
      </c>
      <c r="M179" s="51">
        <f>VLOOKUP($A179,'Data Vlaue (Cr)'!$C:$FB,63)</f>
        <v>4236</v>
      </c>
      <c r="N179" s="51">
        <f>VLOOKUP($A179,'Data Vlaue (Cr)'!$C:$FB,64)</f>
        <v>3138</v>
      </c>
      <c r="O179" s="51">
        <f>VLOOKUP($A179,'Data Vlaue (Cr)'!$C:$FB,66)*100</f>
        <v>35</v>
      </c>
    </row>
    <row r="180" spans="1:15" x14ac:dyDescent="0.25">
      <c r="A180" s="101" t="str">
        <f>'Data Vlaue (Cr)'!C175</f>
        <v>RVNL</v>
      </c>
      <c r="B180" s="50">
        <f>VLOOKUP($A180,'Data Vlaue (Cr)'!$C:$FB,8)</f>
        <v>336.05</v>
      </c>
      <c r="C180" s="50">
        <f>VLOOKUP($A180,'Data Vlaue (Cr)'!$C:$FB,11)*100</f>
        <v>-0.75</v>
      </c>
      <c r="D180" s="50">
        <f>VLOOKUP($A180,'Data Vlaue (Cr)'!$C:$FB,143)</f>
        <v>638.28</v>
      </c>
      <c r="E180" s="50">
        <f>VLOOKUP($A180,'Data Vlaue (Cr)'!$C:$FB,144)</f>
        <v>835.57</v>
      </c>
      <c r="F180" s="50">
        <f>VLOOKUP($A180,'Data Vlaue (Cr)'!$C:$FB,146)*100</f>
        <v>-23.61</v>
      </c>
      <c r="G180" s="49">
        <f>VLOOKUP($A180,'Data Vlaue (Cr)'!$C:$FB,43)</f>
        <v>188</v>
      </c>
      <c r="H180" s="49">
        <f>VLOOKUP($A180,'Data Vlaue (Cr)'!$C:$FB,44)</f>
        <v>191</v>
      </c>
      <c r="I180" s="49">
        <f>VLOOKUP($A180,'Data Vlaue (Cr)'!$C:$FB,46)*100</f>
        <v>-1.58</v>
      </c>
      <c r="J180" s="51">
        <f>VLOOKUP($A180,'Data Vlaue (Cr)'!$C:$FB,59)</f>
        <v>336</v>
      </c>
      <c r="K180" s="51">
        <f>VLOOKUP($A180,'Data Vlaue (Cr)'!$C:$FB,60)</f>
        <v>481</v>
      </c>
      <c r="L180" s="51">
        <f>VLOOKUP($A180,'Data Vlaue (Cr)'!$C:$FB,62)*100</f>
        <v>-30.209999999999997</v>
      </c>
      <c r="M180" s="51">
        <f>VLOOKUP($A180,'Data Vlaue (Cr)'!$C:$FB,63)</f>
        <v>94</v>
      </c>
      <c r="N180" s="51">
        <f>VLOOKUP($A180,'Data Vlaue (Cr)'!$C:$FB,64)</f>
        <v>131</v>
      </c>
      <c r="O180" s="51">
        <f>VLOOKUP($A180,'Data Vlaue (Cr)'!$C:$FB,66)*100</f>
        <v>-28.65</v>
      </c>
    </row>
    <row r="181" spans="1:15" x14ac:dyDescent="0.25">
      <c r="A181" s="101" t="str">
        <f>'Data Vlaue (Cr)'!C176</f>
        <v>SAIL</v>
      </c>
      <c r="B181" s="50">
        <f>VLOOKUP($A181,'Data Vlaue (Cr)'!$C:$FB,8)</f>
        <v>131.38</v>
      </c>
      <c r="C181" s="50">
        <f>VLOOKUP($A181,'Data Vlaue (Cr)'!$C:$FB,11)*100</f>
        <v>0.84</v>
      </c>
      <c r="D181" s="50">
        <f>VLOOKUP($A181,'Data Vlaue (Cr)'!$C:$FB,143)</f>
        <v>1313.2</v>
      </c>
      <c r="E181" s="50">
        <f>VLOOKUP($A181,'Data Vlaue (Cr)'!$C:$FB,144)</f>
        <v>1139.06</v>
      </c>
      <c r="F181" s="50">
        <f>VLOOKUP($A181,'Data Vlaue (Cr)'!$C:$FB,146)*100</f>
        <v>15.290000000000001</v>
      </c>
      <c r="G181" s="49">
        <f>VLOOKUP($A181,'Data Vlaue (Cr)'!$C:$FB,43)</f>
        <v>322</v>
      </c>
      <c r="H181" s="49">
        <f>VLOOKUP($A181,'Data Vlaue (Cr)'!$C:$FB,44)</f>
        <v>222</v>
      </c>
      <c r="I181" s="49">
        <f>VLOOKUP($A181,'Data Vlaue (Cr)'!$C:$FB,46)*100</f>
        <v>45.08</v>
      </c>
      <c r="J181" s="51">
        <f>VLOOKUP($A181,'Data Vlaue (Cr)'!$C:$FB,59)</f>
        <v>619</v>
      </c>
      <c r="K181" s="51">
        <f>VLOOKUP($A181,'Data Vlaue (Cr)'!$C:$FB,60)</f>
        <v>606</v>
      </c>
      <c r="L181" s="51">
        <f>VLOOKUP($A181,'Data Vlaue (Cr)'!$C:$FB,62)*100</f>
        <v>2.12</v>
      </c>
      <c r="M181" s="51">
        <f>VLOOKUP($A181,'Data Vlaue (Cr)'!$C:$FB,63)</f>
        <v>346</v>
      </c>
      <c r="N181" s="51">
        <f>VLOOKUP($A181,'Data Vlaue (Cr)'!$C:$FB,64)</f>
        <v>287</v>
      </c>
      <c r="O181" s="51">
        <f>VLOOKUP($A181,'Data Vlaue (Cr)'!$C:$FB,66)*100</f>
        <v>20.260000000000002</v>
      </c>
    </row>
    <row r="182" spans="1:15" x14ac:dyDescent="0.25">
      <c r="A182" s="101" t="str">
        <f>'Data Vlaue (Cr)'!C177</f>
        <v>SAMMAANCAP</v>
      </c>
      <c r="B182" s="50">
        <f>VLOOKUP($A182,'Data Vlaue (Cr)'!$C:$FB,8)</f>
        <v>166.89</v>
      </c>
      <c r="C182" s="50">
        <f>VLOOKUP($A182,'Data Vlaue (Cr)'!$C:$FB,11)*100</f>
        <v>1.1599999999999999</v>
      </c>
      <c r="D182" s="50">
        <f>VLOOKUP($A182,'Data Vlaue (Cr)'!$C:$FB,143)</f>
        <v>47.56</v>
      </c>
      <c r="E182" s="50">
        <f>VLOOKUP($A182,'Data Vlaue (Cr)'!$C:$FB,144)</f>
        <v>72.959999999999994</v>
      </c>
      <c r="F182" s="50">
        <f>VLOOKUP($A182,'Data Vlaue (Cr)'!$C:$FB,146)*100</f>
        <v>-34.82</v>
      </c>
      <c r="G182" s="49">
        <f>VLOOKUP($A182,'Data Vlaue (Cr)'!$C:$FB,43)</f>
        <v>19</v>
      </c>
      <c r="H182" s="49">
        <f>VLOOKUP($A182,'Data Vlaue (Cr)'!$C:$FB,44)</f>
        <v>44</v>
      </c>
      <c r="I182" s="49">
        <f>VLOOKUP($A182,'Data Vlaue (Cr)'!$C:$FB,46)*100</f>
        <v>-56.910000000000004</v>
      </c>
      <c r="J182" s="51">
        <f>VLOOKUP($A182,'Data Vlaue (Cr)'!$C:$FB,59)</f>
        <v>20</v>
      </c>
      <c r="K182" s="51">
        <f>VLOOKUP($A182,'Data Vlaue (Cr)'!$C:$FB,60)</f>
        <v>17</v>
      </c>
      <c r="L182" s="51">
        <f>VLOOKUP($A182,'Data Vlaue (Cr)'!$C:$FB,62)*100</f>
        <v>15.64</v>
      </c>
      <c r="M182" s="51">
        <f>VLOOKUP($A182,'Data Vlaue (Cr)'!$C:$FB,63)</f>
        <v>9</v>
      </c>
      <c r="N182" s="51">
        <f>VLOOKUP($A182,'Data Vlaue (Cr)'!$C:$FB,64)</f>
        <v>13</v>
      </c>
      <c r="O182" s="51">
        <f>VLOOKUP($A182,'Data Vlaue (Cr)'!$C:$FB,66)*100</f>
        <v>-30.94</v>
      </c>
    </row>
    <row r="183" spans="1:15" x14ac:dyDescent="0.25">
      <c r="A183" s="101" t="str">
        <f>'Data Vlaue (Cr)'!C178</f>
        <v>SBICARD</v>
      </c>
      <c r="B183" s="50">
        <f>VLOOKUP($A183,'Data Vlaue (Cr)'!$C:$FB,8)</f>
        <v>934.85</v>
      </c>
      <c r="C183" s="50">
        <f>VLOOKUP($A183,'Data Vlaue (Cr)'!$C:$FB,11)*100</f>
        <v>0.61</v>
      </c>
      <c r="D183" s="50">
        <f>VLOOKUP($A183,'Data Vlaue (Cr)'!$C:$FB,143)</f>
        <v>1933.19</v>
      </c>
      <c r="E183" s="50">
        <f>VLOOKUP($A183,'Data Vlaue (Cr)'!$C:$FB,144)</f>
        <v>1571.43</v>
      </c>
      <c r="F183" s="50">
        <f>VLOOKUP($A183,'Data Vlaue (Cr)'!$C:$FB,146)*100</f>
        <v>23.02</v>
      </c>
      <c r="G183" s="49">
        <f>VLOOKUP($A183,'Data Vlaue (Cr)'!$C:$FB,43)</f>
        <v>442</v>
      </c>
      <c r="H183" s="49">
        <f>VLOOKUP($A183,'Data Vlaue (Cr)'!$C:$FB,44)</f>
        <v>311</v>
      </c>
      <c r="I183" s="49">
        <f>VLOOKUP($A183,'Data Vlaue (Cr)'!$C:$FB,46)*100</f>
        <v>41.9</v>
      </c>
      <c r="J183" s="51">
        <f>VLOOKUP($A183,'Data Vlaue (Cr)'!$C:$FB,59)</f>
        <v>1033</v>
      </c>
      <c r="K183" s="51">
        <f>VLOOKUP($A183,'Data Vlaue (Cr)'!$C:$FB,60)</f>
        <v>866</v>
      </c>
      <c r="L183" s="51">
        <f>VLOOKUP($A183,'Data Vlaue (Cr)'!$C:$FB,62)*100</f>
        <v>19.27</v>
      </c>
      <c r="M183" s="51">
        <f>VLOOKUP($A183,'Data Vlaue (Cr)'!$C:$FB,63)</f>
        <v>434</v>
      </c>
      <c r="N183" s="51">
        <f>VLOOKUP($A183,'Data Vlaue (Cr)'!$C:$FB,64)</f>
        <v>386</v>
      </c>
      <c r="O183" s="51">
        <f>VLOOKUP($A183,'Data Vlaue (Cr)'!$C:$FB,66)*100</f>
        <v>12.31</v>
      </c>
    </row>
    <row r="184" spans="1:15" x14ac:dyDescent="0.25">
      <c r="A184" s="101" t="str">
        <f>'Data Vlaue (Cr)'!C179</f>
        <v>SBILIFE</v>
      </c>
      <c r="B184" s="50">
        <f>VLOOKUP($A184,'Data Vlaue (Cr)'!$C:$FB,8)</f>
        <v>1835.7</v>
      </c>
      <c r="C184" s="50">
        <f>VLOOKUP($A184,'Data Vlaue (Cr)'!$C:$FB,11)*100</f>
        <v>-0.27</v>
      </c>
      <c r="D184" s="50">
        <f>VLOOKUP($A184,'Data Vlaue (Cr)'!$C:$FB,143)</f>
        <v>1121.26</v>
      </c>
      <c r="E184" s="50">
        <f>VLOOKUP($A184,'Data Vlaue (Cr)'!$C:$FB,144)</f>
        <v>1445.22</v>
      </c>
      <c r="F184" s="50">
        <f>VLOOKUP($A184,'Data Vlaue (Cr)'!$C:$FB,146)*100</f>
        <v>-22.42</v>
      </c>
      <c r="G184" s="49">
        <f>VLOOKUP($A184,'Data Vlaue (Cr)'!$C:$FB,43)</f>
        <v>231</v>
      </c>
      <c r="H184" s="49">
        <f>VLOOKUP($A184,'Data Vlaue (Cr)'!$C:$FB,44)</f>
        <v>287</v>
      </c>
      <c r="I184" s="49">
        <f>VLOOKUP($A184,'Data Vlaue (Cr)'!$C:$FB,46)*100</f>
        <v>-19.580000000000002</v>
      </c>
      <c r="J184" s="51">
        <f>VLOOKUP($A184,'Data Vlaue (Cr)'!$C:$FB,59)</f>
        <v>586</v>
      </c>
      <c r="K184" s="51">
        <f>VLOOKUP($A184,'Data Vlaue (Cr)'!$C:$FB,60)</f>
        <v>843</v>
      </c>
      <c r="L184" s="51">
        <f>VLOOKUP($A184,'Data Vlaue (Cr)'!$C:$FB,62)*100</f>
        <v>-30.4</v>
      </c>
      <c r="M184" s="51">
        <f>VLOOKUP($A184,'Data Vlaue (Cr)'!$C:$FB,63)</f>
        <v>295</v>
      </c>
      <c r="N184" s="51">
        <f>VLOOKUP($A184,'Data Vlaue (Cr)'!$C:$FB,64)</f>
        <v>290</v>
      </c>
      <c r="O184" s="51">
        <f>VLOOKUP($A184,'Data Vlaue (Cr)'!$C:$FB,66)*100</f>
        <v>1.6400000000000001</v>
      </c>
    </row>
    <row r="185" spans="1:15" x14ac:dyDescent="0.25">
      <c r="A185" s="101" t="str">
        <f>'Data Vlaue (Cr)'!C180</f>
        <v>SBIN</v>
      </c>
      <c r="B185" s="50">
        <f>VLOOKUP($A185,'Data Vlaue (Cr)'!$C:$FB,8)</f>
        <v>886.95</v>
      </c>
      <c r="C185" s="50">
        <f>VLOOKUP($A185,'Data Vlaue (Cr)'!$C:$FB,11)*100</f>
        <v>0.1</v>
      </c>
      <c r="D185" s="50">
        <f>VLOOKUP($A185,'Data Vlaue (Cr)'!$C:$FB,143)</f>
        <v>11412.29</v>
      </c>
      <c r="E185" s="50">
        <f>VLOOKUP($A185,'Data Vlaue (Cr)'!$C:$FB,144)</f>
        <v>10550.65</v>
      </c>
      <c r="F185" s="50">
        <f>VLOOKUP($A185,'Data Vlaue (Cr)'!$C:$FB,146)*100</f>
        <v>8.17</v>
      </c>
      <c r="G185" s="49">
        <f>VLOOKUP($A185,'Data Vlaue (Cr)'!$C:$FB,43)</f>
        <v>1452</v>
      </c>
      <c r="H185" s="49">
        <f>VLOOKUP($A185,'Data Vlaue (Cr)'!$C:$FB,44)</f>
        <v>1026</v>
      </c>
      <c r="I185" s="49">
        <f>VLOOKUP($A185,'Data Vlaue (Cr)'!$C:$FB,46)*100</f>
        <v>41.53</v>
      </c>
      <c r="J185" s="51">
        <f>VLOOKUP($A185,'Data Vlaue (Cr)'!$C:$FB,59)</f>
        <v>5997</v>
      </c>
      <c r="K185" s="51">
        <f>VLOOKUP($A185,'Data Vlaue (Cr)'!$C:$FB,60)</f>
        <v>5801</v>
      </c>
      <c r="L185" s="51">
        <f>VLOOKUP($A185,'Data Vlaue (Cr)'!$C:$FB,62)*100</f>
        <v>3.38</v>
      </c>
      <c r="M185" s="51">
        <f>VLOOKUP($A185,'Data Vlaue (Cr)'!$C:$FB,63)</f>
        <v>3876</v>
      </c>
      <c r="N185" s="51">
        <f>VLOOKUP($A185,'Data Vlaue (Cr)'!$C:$FB,64)</f>
        <v>3674</v>
      </c>
      <c r="O185" s="51">
        <f>VLOOKUP($A185,'Data Vlaue (Cr)'!$C:$FB,66)*100</f>
        <v>5.52</v>
      </c>
    </row>
    <row r="186" spans="1:15" x14ac:dyDescent="0.25">
      <c r="A186" s="101" t="str">
        <f>'Data Vlaue (Cr)'!C181</f>
        <v>SHREECEM</v>
      </c>
      <c r="B186" s="50">
        <f>VLOOKUP($A186,'Data Vlaue (Cr)'!$C:$FB,8)</f>
        <v>30010</v>
      </c>
      <c r="C186" s="50">
        <f>VLOOKUP($A186,'Data Vlaue (Cr)'!$C:$FB,11)*100</f>
        <v>0.22999999999999998</v>
      </c>
      <c r="D186" s="50">
        <f>VLOOKUP($A186,'Data Vlaue (Cr)'!$C:$FB,143)</f>
        <v>296.20999999999998</v>
      </c>
      <c r="E186" s="50">
        <f>VLOOKUP($A186,'Data Vlaue (Cr)'!$C:$FB,144)</f>
        <v>338.4</v>
      </c>
      <c r="F186" s="50">
        <f>VLOOKUP($A186,'Data Vlaue (Cr)'!$C:$FB,146)*100</f>
        <v>-12.47</v>
      </c>
      <c r="G186" s="49">
        <f>VLOOKUP($A186,'Data Vlaue (Cr)'!$C:$FB,43)</f>
        <v>74</v>
      </c>
      <c r="H186" s="49">
        <f>VLOOKUP($A186,'Data Vlaue (Cr)'!$C:$FB,44)</f>
        <v>88</v>
      </c>
      <c r="I186" s="49">
        <f>VLOOKUP($A186,'Data Vlaue (Cr)'!$C:$FB,46)*100</f>
        <v>-15.55</v>
      </c>
      <c r="J186" s="51">
        <f>VLOOKUP($A186,'Data Vlaue (Cr)'!$C:$FB,59)</f>
        <v>94</v>
      </c>
      <c r="K186" s="51">
        <f>VLOOKUP($A186,'Data Vlaue (Cr)'!$C:$FB,60)</f>
        <v>210</v>
      </c>
      <c r="L186" s="51">
        <f>VLOOKUP($A186,'Data Vlaue (Cr)'!$C:$FB,62)*100</f>
        <v>-55.31</v>
      </c>
      <c r="M186" s="51">
        <f>VLOOKUP($A186,'Data Vlaue (Cr)'!$C:$FB,63)</f>
        <v>124</v>
      </c>
      <c r="N186" s="51">
        <f>VLOOKUP($A186,'Data Vlaue (Cr)'!$C:$FB,64)</f>
        <v>38</v>
      </c>
      <c r="O186" s="51">
        <f>VLOOKUP($A186,'Data Vlaue (Cr)'!$C:$FB,66)*100</f>
        <v>227.38</v>
      </c>
    </row>
    <row r="187" spans="1:15" x14ac:dyDescent="0.25">
      <c r="A187" s="101" t="str">
        <f>'Data Vlaue (Cr)'!C182</f>
        <v>SHRIRAMFIN</v>
      </c>
      <c r="B187" s="50">
        <f>VLOOKUP($A187,'Data Vlaue (Cr)'!$C:$FB,8)</f>
        <v>672.5</v>
      </c>
      <c r="C187" s="50">
        <f>VLOOKUP($A187,'Data Vlaue (Cr)'!$C:$FB,11)*100</f>
        <v>-0.69</v>
      </c>
      <c r="D187" s="50">
        <f>VLOOKUP($A187,'Data Vlaue (Cr)'!$C:$FB,143)</f>
        <v>2432.41</v>
      </c>
      <c r="E187" s="50">
        <f>VLOOKUP($A187,'Data Vlaue (Cr)'!$C:$FB,144)</f>
        <v>2801.58</v>
      </c>
      <c r="F187" s="50">
        <f>VLOOKUP($A187,'Data Vlaue (Cr)'!$C:$FB,146)*100</f>
        <v>-13.18</v>
      </c>
      <c r="G187" s="49">
        <f>VLOOKUP($A187,'Data Vlaue (Cr)'!$C:$FB,43)</f>
        <v>571</v>
      </c>
      <c r="H187" s="49">
        <f>VLOOKUP($A187,'Data Vlaue (Cr)'!$C:$FB,44)</f>
        <v>536</v>
      </c>
      <c r="I187" s="49">
        <f>VLOOKUP($A187,'Data Vlaue (Cr)'!$C:$FB,46)*100</f>
        <v>6.61</v>
      </c>
      <c r="J187" s="51">
        <f>VLOOKUP($A187,'Data Vlaue (Cr)'!$C:$FB,59)</f>
        <v>1266</v>
      </c>
      <c r="K187" s="51">
        <f>VLOOKUP($A187,'Data Vlaue (Cr)'!$C:$FB,60)</f>
        <v>1440</v>
      </c>
      <c r="L187" s="51">
        <f>VLOOKUP($A187,'Data Vlaue (Cr)'!$C:$FB,62)*100</f>
        <v>-12.1</v>
      </c>
      <c r="M187" s="51">
        <f>VLOOKUP($A187,'Data Vlaue (Cr)'!$C:$FB,63)</f>
        <v>566</v>
      </c>
      <c r="N187" s="51">
        <f>VLOOKUP($A187,'Data Vlaue (Cr)'!$C:$FB,64)</f>
        <v>767</v>
      </c>
      <c r="O187" s="51">
        <f>VLOOKUP($A187,'Data Vlaue (Cr)'!$C:$FB,66)*100</f>
        <v>-26.179999999999996</v>
      </c>
    </row>
    <row r="188" spans="1:15" x14ac:dyDescent="0.25">
      <c r="A188" s="101" t="str">
        <f>'Data Vlaue (Cr)'!C183</f>
        <v>SIEMENS</v>
      </c>
      <c r="B188" s="50">
        <f>VLOOKUP($A188,'Data Vlaue (Cr)'!$C:$FB,8)</f>
        <v>3119</v>
      </c>
      <c r="C188" s="50">
        <f>VLOOKUP($A188,'Data Vlaue (Cr)'!$C:$FB,11)*100</f>
        <v>0.01</v>
      </c>
      <c r="D188" s="50">
        <f>VLOOKUP($A188,'Data Vlaue (Cr)'!$C:$FB,143)</f>
        <v>981.2</v>
      </c>
      <c r="E188" s="50">
        <f>VLOOKUP($A188,'Data Vlaue (Cr)'!$C:$FB,144)</f>
        <v>860.09</v>
      </c>
      <c r="F188" s="50">
        <f>VLOOKUP($A188,'Data Vlaue (Cr)'!$C:$FB,146)*100</f>
        <v>14.08</v>
      </c>
      <c r="G188" s="49">
        <f>VLOOKUP($A188,'Data Vlaue (Cr)'!$C:$FB,43)</f>
        <v>231</v>
      </c>
      <c r="H188" s="49">
        <f>VLOOKUP($A188,'Data Vlaue (Cr)'!$C:$FB,44)</f>
        <v>136</v>
      </c>
      <c r="I188" s="49">
        <f>VLOOKUP($A188,'Data Vlaue (Cr)'!$C:$FB,46)*100</f>
        <v>69.12</v>
      </c>
      <c r="J188" s="51">
        <f>VLOOKUP($A188,'Data Vlaue (Cr)'!$C:$FB,59)</f>
        <v>503</v>
      </c>
      <c r="K188" s="51">
        <f>VLOOKUP($A188,'Data Vlaue (Cr)'!$C:$FB,60)</f>
        <v>537</v>
      </c>
      <c r="L188" s="51">
        <f>VLOOKUP($A188,'Data Vlaue (Cr)'!$C:$FB,62)*100</f>
        <v>-6.3</v>
      </c>
      <c r="M188" s="51">
        <f>VLOOKUP($A188,'Data Vlaue (Cr)'!$C:$FB,63)</f>
        <v>228</v>
      </c>
      <c r="N188" s="51">
        <f>VLOOKUP($A188,'Data Vlaue (Cr)'!$C:$FB,64)</f>
        <v>165</v>
      </c>
      <c r="O188" s="51">
        <f>VLOOKUP($A188,'Data Vlaue (Cr)'!$C:$FB,66)*100</f>
        <v>38.369999999999997</v>
      </c>
    </row>
    <row r="189" spans="1:15" x14ac:dyDescent="0.25">
      <c r="A189" s="101" t="str">
        <f>'Data Vlaue (Cr)'!C216</f>
        <v>ZYDUSLIFE</v>
      </c>
      <c r="B189" s="50">
        <f>VLOOKUP($A189,'Data Vlaue (Cr)'!$C:$FB,8)</f>
        <v>984.6</v>
      </c>
      <c r="C189" s="50">
        <f>VLOOKUP($A189,'Data Vlaue (Cr)'!$C:$FB,11)*100</f>
        <v>0.75</v>
      </c>
      <c r="D189" s="50">
        <f>VLOOKUP($A189,'Data Vlaue (Cr)'!$C:$FB,143)</f>
        <v>499.68</v>
      </c>
      <c r="E189" s="50">
        <f>VLOOKUP($A189,'Data Vlaue (Cr)'!$C:$FB,144)</f>
        <v>421.4</v>
      </c>
      <c r="F189" s="50">
        <f>VLOOKUP($A189,'Data Vlaue (Cr)'!$C:$FB,146)*100</f>
        <v>18.579999999999998</v>
      </c>
      <c r="G189" s="49">
        <f>VLOOKUP($A189,'Data Vlaue (Cr)'!$C:$FB,43)</f>
        <v>130</v>
      </c>
      <c r="H189" s="49">
        <f>VLOOKUP($A189,'Data Vlaue (Cr)'!$C:$FB,44)</f>
        <v>176</v>
      </c>
      <c r="I189" s="49">
        <f>VLOOKUP($A189,'Data Vlaue (Cr)'!$C:$FB,46)*100</f>
        <v>-26.41</v>
      </c>
      <c r="J189" s="51">
        <f>VLOOKUP($A189,'Data Vlaue (Cr)'!$C:$FB,59)</f>
        <v>247</v>
      </c>
      <c r="K189" s="51">
        <f>VLOOKUP($A189,'Data Vlaue (Cr)'!$C:$FB,60)</f>
        <v>180</v>
      </c>
      <c r="L189" s="51">
        <f>VLOOKUP($A189,'Data Vlaue (Cr)'!$C:$FB,62)*100</f>
        <v>37.4</v>
      </c>
      <c r="M189" s="51">
        <f>VLOOKUP($A189,'Data Vlaue (Cr)'!$C:$FB,63)</f>
        <v>113</v>
      </c>
      <c r="N189" s="51">
        <f>VLOOKUP($A189,'Data Vlaue (Cr)'!$C:$FB,64)</f>
        <v>57</v>
      </c>
      <c r="O189" s="51">
        <f>VLOOKUP($A189,'Data Vlaue (Cr)'!$C:$FB,66)*100</f>
        <v>97.52</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14250790.09</v>
      </c>
      <c r="E212" s="131">
        <f>SUM(E7:E211)</f>
        <v>12858498.980000002</v>
      </c>
      <c r="F212" s="132">
        <f>(D212-E212)/E212</f>
        <v>0.10827788781299863</v>
      </c>
      <c r="G212" s="131">
        <f>SUM(G7:G211)</f>
        <v>119730</v>
      </c>
      <c r="H212" s="131">
        <f>SUM(H7:H211)</f>
        <v>96431</v>
      </c>
      <c r="I212" s="132">
        <f>(G212-H212)/H212</f>
        <v>0.24161317418672418</v>
      </c>
      <c r="J212" s="131">
        <f>SUM(J7:J211)</f>
        <v>7886516</v>
      </c>
      <c r="K212" s="131">
        <f>SUM(K7:K211)</f>
        <v>6945534</v>
      </c>
      <c r="L212" s="132">
        <f>(J212-K212)/K212</f>
        <v>0.13548015170611791</v>
      </c>
      <c r="M212" s="131">
        <f>SUM(M7:M211)</f>
        <v>6326056</v>
      </c>
      <c r="N212" s="131">
        <f>SUM(N7:N211)</f>
        <v>5963523</v>
      </c>
      <c r="O212" s="132">
        <f>(M212-N212)/N212</f>
        <v>6.0791750111469346E-2</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45946</v>
      </c>
      <c r="C6" s="34" t="s">
        <v>328</v>
      </c>
      <c r="D6" s="21">
        <f>B6</f>
        <v>45946</v>
      </c>
      <c r="E6" s="34" t="s">
        <v>322</v>
      </c>
      <c r="F6" s="34" t="s">
        <v>328</v>
      </c>
      <c r="G6" s="21">
        <f>D6</f>
        <v>45946</v>
      </c>
      <c r="H6" s="34" t="s">
        <v>322</v>
      </c>
      <c r="I6" s="34" t="s">
        <v>328</v>
      </c>
      <c r="J6" s="21">
        <f>D6</f>
        <v>45946</v>
      </c>
      <c r="K6" s="34" t="s">
        <v>322</v>
      </c>
      <c r="L6" s="34" t="s">
        <v>328</v>
      </c>
      <c r="M6" s="21">
        <f>D6</f>
        <v>45946</v>
      </c>
      <c r="N6" s="34" t="s">
        <v>322</v>
      </c>
      <c r="O6" s="34" t="s">
        <v>328</v>
      </c>
    </row>
    <row r="7" spans="1:15" x14ac:dyDescent="0.25">
      <c r="A7" s="101" t="str">
        <f>'Data shares'!C2</f>
        <v>360ONE</v>
      </c>
      <c r="B7" s="50">
        <f>VLOOKUP($A7,'Data shares'!$C:$FB,7)</f>
        <v>1171.8</v>
      </c>
      <c r="C7" s="50">
        <f>VLOOKUP($A7,'Data shares'!$C:$FB,10)*100</f>
        <v>0.98</v>
      </c>
      <c r="D7" s="49">
        <f>VLOOKUP($A7,'Data shares'!$C:$FB,66)</f>
        <v>7817500</v>
      </c>
      <c r="E7" s="49">
        <f>VLOOKUP($A7,'Data shares'!$C:$FB,67)</f>
        <v>16208000</v>
      </c>
      <c r="F7" s="50">
        <f>VLOOKUP($A7,'Data shares'!$C:$FB,69)*100</f>
        <v>-51.77</v>
      </c>
      <c r="G7" s="49">
        <f>VLOOKUP($A7,'Data shares'!$C:$FB,42)</f>
        <v>1861500</v>
      </c>
      <c r="H7" s="49">
        <f>VLOOKUP($A7,'Data shares'!$C:$FB,43)</f>
        <v>3374500</v>
      </c>
      <c r="I7" s="50">
        <f>VLOOKUP($A7,'Data shares'!$C:$FB,45)*100</f>
        <v>-44.84</v>
      </c>
      <c r="J7" s="49">
        <f>VLOOKUP($A7,'Data shares'!$C:$FB,58)</f>
        <v>4231000</v>
      </c>
      <c r="K7" s="49">
        <f>VLOOKUP($A7,'Data shares'!$C:$FB,59)</f>
        <v>10036500</v>
      </c>
      <c r="L7" s="50">
        <f>VLOOKUP($A7,'Data shares'!$C:$FB,61)*100</f>
        <v>-57.84</v>
      </c>
      <c r="M7" s="49">
        <f>VLOOKUP($A7,'Data shares'!$C:$FB,62)</f>
        <v>1725000</v>
      </c>
      <c r="N7" s="49">
        <f>VLOOKUP($A7,'Data shares'!$C:$FB,63)</f>
        <v>2797000</v>
      </c>
      <c r="O7" s="140">
        <f>VLOOKUP($A7,'Data shares'!$C:$FB,65)*100</f>
        <v>-38.33</v>
      </c>
    </row>
    <row r="8" spans="1:15" x14ac:dyDescent="0.25">
      <c r="A8" s="101" t="str">
        <f>'Data shares'!C3</f>
        <v>ABB</v>
      </c>
      <c r="B8" s="50">
        <f>VLOOKUP($A8,'Data shares'!$C:$FB,7)</f>
        <v>5212</v>
      </c>
      <c r="C8" s="50">
        <f>VLOOKUP($A8,'Data shares'!$C:$FB,10)*100</f>
        <v>0.74</v>
      </c>
      <c r="D8" s="49">
        <f>VLOOKUP($A8,'Data shares'!$C:$FB,66)</f>
        <v>8386375</v>
      </c>
      <c r="E8" s="49">
        <f>VLOOKUP($A8,'Data shares'!$C:$FB,67)</f>
        <v>3664375</v>
      </c>
      <c r="F8" s="50">
        <f>VLOOKUP($A8,'Data shares'!$C:$FB,69)*100</f>
        <v>128.85999999999999</v>
      </c>
      <c r="G8" s="49">
        <f>VLOOKUP($A8,'Data shares'!$C:$FB,42)</f>
        <v>1794375</v>
      </c>
      <c r="H8" s="49">
        <f>VLOOKUP($A8,'Data shares'!$C:$FB,43)</f>
        <v>482375</v>
      </c>
      <c r="I8" s="50">
        <f>VLOOKUP($A8,'Data shares'!$C:$FB,45)*100</f>
        <v>271.99</v>
      </c>
      <c r="J8" s="49">
        <f>VLOOKUP($A8,'Data shares'!$C:$FB,58)</f>
        <v>4026000</v>
      </c>
      <c r="K8" s="49">
        <f>VLOOKUP($A8,'Data shares'!$C:$FB,59)</f>
        <v>2437250</v>
      </c>
      <c r="L8" s="50">
        <f>VLOOKUP($A8,'Data shares'!$C:$FB,61)*100</f>
        <v>65.19</v>
      </c>
      <c r="M8" s="49">
        <f>VLOOKUP($A8,'Data shares'!$C:$FB,62)</f>
        <v>2566000</v>
      </c>
      <c r="N8" s="49">
        <f>VLOOKUP($A8,'Data shares'!$C:$FB,63)</f>
        <v>744750</v>
      </c>
      <c r="O8" s="140">
        <f>VLOOKUP($A8,'Data shares'!$C:$FB,65)*100</f>
        <v>244.55</v>
      </c>
    </row>
    <row r="9" spans="1:15" x14ac:dyDescent="0.25">
      <c r="A9" s="101" t="str">
        <f>'Data shares'!C4</f>
        <v>ABCAPITAL</v>
      </c>
      <c r="B9" s="50">
        <f>VLOOKUP($A9,'Data shares'!$C:$FB,7)</f>
        <v>300</v>
      </c>
      <c r="C9" s="50">
        <f>VLOOKUP($A9,'Data shares'!$C:$FB,10)*100</f>
        <v>-1.1499999999999999</v>
      </c>
      <c r="D9" s="49">
        <f>VLOOKUP($A9,'Data shares'!$C:$FB,66)</f>
        <v>38254000</v>
      </c>
      <c r="E9" s="49">
        <f>VLOOKUP($A9,'Data shares'!$C:$FB,67)</f>
        <v>53912100</v>
      </c>
      <c r="F9" s="50">
        <f>VLOOKUP($A9,'Data shares'!$C:$FB,69)*100</f>
        <v>-29.04</v>
      </c>
      <c r="G9" s="49">
        <f>VLOOKUP($A9,'Data shares'!$C:$FB,42)</f>
        <v>8937300</v>
      </c>
      <c r="H9" s="49">
        <f>VLOOKUP($A9,'Data shares'!$C:$FB,43)</f>
        <v>10933700</v>
      </c>
      <c r="I9" s="50">
        <f>VLOOKUP($A9,'Data shares'!$C:$FB,45)*100</f>
        <v>-18.260000000000002</v>
      </c>
      <c r="J9" s="49">
        <f>VLOOKUP($A9,'Data shares'!$C:$FB,58)</f>
        <v>20239900</v>
      </c>
      <c r="K9" s="49">
        <f>VLOOKUP($A9,'Data shares'!$C:$FB,59)</f>
        <v>28123200</v>
      </c>
      <c r="L9" s="50">
        <f>VLOOKUP($A9,'Data shares'!$C:$FB,61)*100</f>
        <v>-28.03</v>
      </c>
      <c r="M9" s="49">
        <f>VLOOKUP($A9,'Data shares'!$C:$FB,62)</f>
        <v>9076800</v>
      </c>
      <c r="N9" s="49">
        <f>VLOOKUP($A9,'Data shares'!$C:$FB,63)</f>
        <v>14855200</v>
      </c>
      <c r="O9" s="140">
        <f>VLOOKUP($A9,'Data shares'!$C:$FB,65)*100</f>
        <v>-38.9</v>
      </c>
    </row>
    <row r="10" spans="1:15" x14ac:dyDescent="0.25">
      <c r="A10" s="101" t="str">
        <f>'Data shares'!C5</f>
        <v>ADANIENSOL</v>
      </c>
      <c r="B10" s="50">
        <f>VLOOKUP($A10,'Data shares'!$C:$FB,7)</f>
        <v>947.95</v>
      </c>
      <c r="C10" s="50">
        <f>VLOOKUP($A10,'Data shares'!$C:$FB,10)*100</f>
        <v>0.4</v>
      </c>
      <c r="D10" s="49">
        <f>VLOOKUP($A10,'Data shares'!$C:$FB,66)</f>
        <v>8866125</v>
      </c>
      <c r="E10" s="49">
        <f>VLOOKUP($A10,'Data shares'!$C:$FB,67)</f>
        <v>9078075</v>
      </c>
      <c r="F10" s="50">
        <f>VLOOKUP($A10,'Data shares'!$C:$FB,69)*100</f>
        <v>-2.33</v>
      </c>
      <c r="G10" s="49">
        <f>VLOOKUP($A10,'Data shares'!$C:$FB,42)</f>
        <v>2002725</v>
      </c>
      <c r="H10" s="49">
        <f>VLOOKUP($A10,'Data shares'!$C:$FB,43)</f>
        <v>2542725</v>
      </c>
      <c r="I10" s="50">
        <f>VLOOKUP($A10,'Data shares'!$C:$FB,45)*100</f>
        <v>-21.240000000000002</v>
      </c>
      <c r="J10" s="49">
        <f>VLOOKUP($A10,'Data shares'!$C:$FB,58)</f>
        <v>4978125</v>
      </c>
      <c r="K10" s="49">
        <f>VLOOKUP($A10,'Data shares'!$C:$FB,59)</f>
        <v>4988925</v>
      </c>
      <c r="L10" s="50">
        <f>VLOOKUP($A10,'Data shares'!$C:$FB,61)*100</f>
        <v>-0.22</v>
      </c>
      <c r="M10" s="49">
        <f>VLOOKUP($A10,'Data shares'!$C:$FB,62)</f>
        <v>1885275</v>
      </c>
      <c r="N10" s="49">
        <f>VLOOKUP($A10,'Data shares'!$C:$FB,63)</f>
        <v>1546425</v>
      </c>
      <c r="O10" s="140">
        <f>VLOOKUP($A10,'Data shares'!$C:$FB,65)*100</f>
        <v>21.91</v>
      </c>
    </row>
    <row r="11" spans="1:15" x14ac:dyDescent="0.25">
      <c r="A11" s="101" t="str">
        <f>'Data shares'!C6</f>
        <v>ADANIENT</v>
      </c>
      <c r="B11" s="50">
        <f>VLOOKUP($A11,'Data shares'!$C:$FB,7)</f>
        <v>2557.6</v>
      </c>
      <c r="C11" s="50">
        <f>VLOOKUP($A11,'Data shares'!$C:$FB,10)*100</f>
        <v>0.98</v>
      </c>
      <c r="D11" s="49">
        <f>VLOOKUP($A11,'Data shares'!$C:$FB,66)</f>
        <v>15867900</v>
      </c>
      <c r="E11" s="49">
        <f>VLOOKUP($A11,'Data shares'!$C:$FB,67)</f>
        <v>14381700</v>
      </c>
      <c r="F11" s="50">
        <f>VLOOKUP($A11,'Data shares'!$C:$FB,69)*100</f>
        <v>10.33</v>
      </c>
      <c r="G11" s="49">
        <f>VLOOKUP($A11,'Data shares'!$C:$FB,42)</f>
        <v>2013600</v>
      </c>
      <c r="H11" s="49">
        <f>VLOOKUP($A11,'Data shares'!$C:$FB,43)</f>
        <v>1720800</v>
      </c>
      <c r="I11" s="50">
        <f>VLOOKUP($A11,'Data shares'!$C:$FB,45)*100</f>
        <v>17.02</v>
      </c>
      <c r="J11" s="49">
        <f>VLOOKUP($A11,'Data shares'!$C:$FB,58)</f>
        <v>10440000</v>
      </c>
      <c r="K11" s="49">
        <f>VLOOKUP($A11,'Data shares'!$C:$FB,59)</f>
        <v>9432900</v>
      </c>
      <c r="L11" s="50">
        <f>VLOOKUP($A11,'Data shares'!$C:$FB,61)*100</f>
        <v>10.68</v>
      </c>
      <c r="M11" s="49">
        <f>VLOOKUP($A11,'Data shares'!$C:$FB,62)</f>
        <v>3414300</v>
      </c>
      <c r="N11" s="49">
        <f>VLOOKUP($A11,'Data shares'!$C:$FB,63)</f>
        <v>3228000</v>
      </c>
      <c r="O11" s="140">
        <f>VLOOKUP($A11,'Data shares'!$C:$FB,65)*100</f>
        <v>5.7700000000000005</v>
      </c>
    </row>
    <row r="12" spans="1:15" x14ac:dyDescent="0.25">
      <c r="A12" s="101" t="str">
        <f>'Data shares'!C7</f>
        <v>ADANIGREEN</v>
      </c>
      <c r="B12" s="50">
        <f>VLOOKUP($A12,'Data shares'!$C:$FB,7)</f>
        <v>1060.3</v>
      </c>
      <c r="C12" s="50">
        <f>VLOOKUP($A12,'Data shares'!$C:$FB,10)*100</f>
        <v>1.58</v>
      </c>
      <c r="D12" s="49">
        <f>VLOOKUP($A12,'Data shares'!$C:$FB,66)</f>
        <v>20175000</v>
      </c>
      <c r="E12" s="49">
        <f>VLOOKUP($A12,'Data shares'!$C:$FB,67)</f>
        <v>13816200</v>
      </c>
      <c r="F12" s="50">
        <f>VLOOKUP($A12,'Data shares'!$C:$FB,69)*100</f>
        <v>46.02</v>
      </c>
      <c r="G12" s="49">
        <f>VLOOKUP($A12,'Data shares'!$C:$FB,42)</f>
        <v>3109800</v>
      </c>
      <c r="H12" s="49">
        <f>VLOOKUP($A12,'Data shares'!$C:$FB,43)</f>
        <v>2209800</v>
      </c>
      <c r="I12" s="50">
        <f>VLOOKUP($A12,'Data shares'!$C:$FB,45)*100</f>
        <v>40.729999999999997</v>
      </c>
      <c r="J12" s="49">
        <f>VLOOKUP($A12,'Data shares'!$C:$FB,58)</f>
        <v>13364400</v>
      </c>
      <c r="K12" s="49">
        <f>VLOOKUP($A12,'Data shares'!$C:$FB,59)</f>
        <v>8794200</v>
      </c>
      <c r="L12" s="50">
        <f>VLOOKUP($A12,'Data shares'!$C:$FB,61)*100</f>
        <v>51.970000000000006</v>
      </c>
      <c r="M12" s="49">
        <f>VLOOKUP($A12,'Data shares'!$C:$FB,62)</f>
        <v>3700800</v>
      </c>
      <c r="N12" s="49">
        <f>VLOOKUP($A12,'Data shares'!$C:$FB,63)</f>
        <v>2812200</v>
      </c>
      <c r="O12" s="140">
        <f>VLOOKUP($A12,'Data shares'!$C:$FB,65)*100</f>
        <v>31.6</v>
      </c>
    </row>
    <row r="13" spans="1:15" x14ac:dyDescent="0.25">
      <c r="A13" s="101" t="str">
        <f>'Data shares'!C8</f>
        <v>ADANIPORTS</v>
      </c>
      <c r="B13" s="50">
        <f>VLOOKUP($A13,'Data shares'!$C:$FB,7)</f>
        <v>1479.5</v>
      </c>
      <c r="C13" s="50">
        <f>VLOOKUP($A13,'Data shares'!$C:$FB,10)*100</f>
        <v>1.9900000000000002</v>
      </c>
      <c r="D13" s="49">
        <f>VLOOKUP($A13,'Data shares'!$C:$FB,66)</f>
        <v>44000675</v>
      </c>
      <c r="E13" s="49">
        <f>VLOOKUP($A13,'Data shares'!$C:$FB,67)</f>
        <v>25291850</v>
      </c>
      <c r="F13" s="50">
        <f>VLOOKUP($A13,'Data shares'!$C:$FB,69)*100</f>
        <v>73.97</v>
      </c>
      <c r="G13" s="49">
        <f>VLOOKUP($A13,'Data shares'!$C:$FB,42)</f>
        <v>5151375</v>
      </c>
      <c r="H13" s="49">
        <f>VLOOKUP($A13,'Data shares'!$C:$FB,43)</f>
        <v>3551575</v>
      </c>
      <c r="I13" s="50">
        <f>VLOOKUP($A13,'Data shares'!$C:$FB,45)*100</f>
        <v>45.04</v>
      </c>
      <c r="J13" s="49">
        <f>VLOOKUP($A13,'Data shares'!$C:$FB,58)</f>
        <v>27978925</v>
      </c>
      <c r="K13" s="49">
        <f>VLOOKUP($A13,'Data shares'!$C:$FB,59)</f>
        <v>15565275</v>
      </c>
      <c r="L13" s="50">
        <f>VLOOKUP($A13,'Data shares'!$C:$FB,61)*100</f>
        <v>79.75</v>
      </c>
      <c r="M13" s="49">
        <f>VLOOKUP($A13,'Data shares'!$C:$FB,62)</f>
        <v>10870375</v>
      </c>
      <c r="N13" s="49">
        <f>VLOOKUP($A13,'Data shares'!$C:$FB,63)</f>
        <v>6175000</v>
      </c>
      <c r="O13" s="140">
        <f>VLOOKUP($A13,'Data shares'!$C:$FB,65)*100</f>
        <v>76.039999999999992</v>
      </c>
    </row>
    <row r="14" spans="1:15" x14ac:dyDescent="0.25">
      <c r="A14" s="101" t="str">
        <f>'Data shares'!C9</f>
        <v>ALKEM</v>
      </c>
      <c r="B14" s="50">
        <f>VLOOKUP($A14,'Data shares'!$C:$FB,7)</f>
        <v>5524</v>
      </c>
      <c r="C14" s="50">
        <f>VLOOKUP($A14,'Data shares'!$C:$FB,10)*100</f>
        <v>-0.76</v>
      </c>
      <c r="D14" s="49">
        <f>VLOOKUP($A14,'Data shares'!$C:$FB,66)</f>
        <v>460875</v>
      </c>
      <c r="E14" s="49">
        <f>VLOOKUP($A14,'Data shares'!$C:$FB,67)</f>
        <v>901250</v>
      </c>
      <c r="F14" s="50">
        <f>VLOOKUP($A14,'Data shares'!$C:$FB,69)*100</f>
        <v>-48.86</v>
      </c>
      <c r="G14" s="49">
        <f>VLOOKUP($A14,'Data shares'!$C:$FB,42)</f>
        <v>104875</v>
      </c>
      <c r="H14" s="49">
        <f>VLOOKUP($A14,'Data shares'!$C:$FB,43)</f>
        <v>186875</v>
      </c>
      <c r="I14" s="50">
        <f>VLOOKUP($A14,'Data shares'!$C:$FB,45)*100</f>
        <v>-43.88</v>
      </c>
      <c r="J14" s="49">
        <f>VLOOKUP($A14,'Data shares'!$C:$FB,58)</f>
        <v>233000</v>
      </c>
      <c r="K14" s="49">
        <f>VLOOKUP($A14,'Data shares'!$C:$FB,59)</f>
        <v>563000</v>
      </c>
      <c r="L14" s="50">
        <f>VLOOKUP($A14,'Data shares'!$C:$FB,61)*100</f>
        <v>-58.609999999999992</v>
      </c>
      <c r="M14" s="49">
        <f>VLOOKUP($A14,'Data shares'!$C:$FB,62)</f>
        <v>123000</v>
      </c>
      <c r="N14" s="49">
        <f>VLOOKUP($A14,'Data shares'!$C:$FB,63)</f>
        <v>151375</v>
      </c>
      <c r="O14" s="140">
        <f>VLOOKUP($A14,'Data shares'!$C:$FB,65)*100</f>
        <v>-18.740000000000002</v>
      </c>
    </row>
    <row r="15" spans="1:15" x14ac:dyDescent="0.25">
      <c r="A15" s="101" t="str">
        <f>'Data shares'!C10</f>
        <v>AMBER</v>
      </c>
      <c r="B15" s="50">
        <f>VLOOKUP($A15,'Data shares'!$C:$FB,7)</f>
        <v>8239</v>
      </c>
      <c r="C15" s="50">
        <f>VLOOKUP($A15,'Data shares'!$C:$FB,10)*100</f>
        <v>1.1100000000000001</v>
      </c>
      <c r="D15" s="49">
        <f>VLOOKUP($A15,'Data shares'!$C:$FB,66)</f>
        <v>1290800</v>
      </c>
      <c r="E15" s="49">
        <f>VLOOKUP($A15,'Data shares'!$C:$FB,67)</f>
        <v>1193400</v>
      </c>
      <c r="F15" s="50">
        <f>VLOOKUP($A15,'Data shares'!$C:$FB,69)*100</f>
        <v>8.16</v>
      </c>
      <c r="G15" s="49">
        <f>VLOOKUP($A15,'Data shares'!$C:$FB,42)</f>
        <v>323500</v>
      </c>
      <c r="H15" s="49">
        <f>VLOOKUP($A15,'Data shares'!$C:$FB,43)</f>
        <v>254300</v>
      </c>
      <c r="I15" s="50">
        <f>VLOOKUP($A15,'Data shares'!$C:$FB,45)*100</f>
        <v>27.21</v>
      </c>
      <c r="J15" s="49">
        <f>VLOOKUP($A15,'Data shares'!$C:$FB,58)</f>
        <v>760600</v>
      </c>
      <c r="K15" s="49">
        <f>VLOOKUP($A15,'Data shares'!$C:$FB,59)</f>
        <v>718200</v>
      </c>
      <c r="L15" s="50">
        <f>VLOOKUP($A15,'Data shares'!$C:$FB,61)*100</f>
        <v>5.8999999999999995</v>
      </c>
      <c r="M15" s="49">
        <f>VLOOKUP($A15,'Data shares'!$C:$FB,62)</f>
        <v>206700</v>
      </c>
      <c r="N15" s="49">
        <f>VLOOKUP($A15,'Data shares'!$C:$FB,63)</f>
        <v>220900</v>
      </c>
      <c r="O15" s="140">
        <f>VLOOKUP($A15,'Data shares'!$C:$FB,65)*100</f>
        <v>-6.43</v>
      </c>
    </row>
    <row r="16" spans="1:15" x14ac:dyDescent="0.25">
      <c r="A16" s="101" t="str">
        <f>'Data shares'!C11</f>
        <v>AMBUJACEM</v>
      </c>
      <c r="B16" s="50">
        <f>VLOOKUP($A16,'Data shares'!$C:$FB,7)</f>
        <v>569.70000000000005</v>
      </c>
      <c r="C16" s="50">
        <f>VLOOKUP($A16,'Data shares'!$C:$FB,10)*100</f>
        <v>0.48</v>
      </c>
      <c r="D16" s="49">
        <f>VLOOKUP($A16,'Data shares'!$C:$FB,66)</f>
        <v>15866550</v>
      </c>
      <c r="E16" s="49">
        <f>VLOOKUP($A16,'Data shares'!$C:$FB,67)</f>
        <v>11127900</v>
      </c>
      <c r="F16" s="50">
        <f>VLOOKUP($A16,'Data shares'!$C:$FB,69)*100</f>
        <v>42.58</v>
      </c>
      <c r="G16" s="49">
        <f>VLOOKUP($A16,'Data shares'!$C:$FB,42)</f>
        <v>3914400</v>
      </c>
      <c r="H16" s="49">
        <f>VLOOKUP($A16,'Data shares'!$C:$FB,43)</f>
        <v>2640750</v>
      </c>
      <c r="I16" s="50">
        <f>VLOOKUP($A16,'Data shares'!$C:$FB,45)*100</f>
        <v>48.230000000000004</v>
      </c>
      <c r="J16" s="49">
        <f>VLOOKUP($A16,'Data shares'!$C:$FB,58)</f>
        <v>8065050</v>
      </c>
      <c r="K16" s="49">
        <f>VLOOKUP($A16,'Data shares'!$C:$FB,59)</f>
        <v>6088950</v>
      </c>
      <c r="L16" s="50">
        <f>VLOOKUP($A16,'Data shares'!$C:$FB,61)*100</f>
        <v>32.450000000000003</v>
      </c>
      <c r="M16" s="49">
        <f>VLOOKUP($A16,'Data shares'!$C:$FB,62)</f>
        <v>3887100</v>
      </c>
      <c r="N16" s="49">
        <f>VLOOKUP($A16,'Data shares'!$C:$FB,63)</f>
        <v>2398200</v>
      </c>
      <c r="O16" s="140">
        <f>VLOOKUP($A16,'Data shares'!$C:$FB,65)*100</f>
        <v>62.08</v>
      </c>
    </row>
    <row r="17" spans="1:15" x14ac:dyDescent="0.25">
      <c r="A17" s="101" t="str">
        <f>'Data shares'!C12</f>
        <v>ANGELONE</v>
      </c>
      <c r="B17" s="50">
        <f>VLOOKUP($A17,'Data shares'!$C:$FB,7)</f>
        <v>2482.6</v>
      </c>
      <c r="C17" s="50">
        <f>VLOOKUP($A17,'Data shares'!$C:$FB,10)*100</f>
        <v>1.53</v>
      </c>
      <c r="D17" s="49">
        <f>VLOOKUP($A17,'Data shares'!$C:$FB,66)</f>
        <v>47133500</v>
      </c>
      <c r="E17" s="49">
        <f>VLOOKUP($A17,'Data shares'!$C:$FB,67)</f>
        <v>18841000</v>
      </c>
      <c r="F17" s="50">
        <f>VLOOKUP($A17,'Data shares'!$C:$FB,69)*100</f>
        <v>150.16</v>
      </c>
      <c r="G17" s="49">
        <f>VLOOKUP($A17,'Data shares'!$C:$FB,42)</f>
        <v>4566000</v>
      </c>
      <c r="H17" s="49">
        <f>VLOOKUP($A17,'Data shares'!$C:$FB,43)</f>
        <v>2275000</v>
      </c>
      <c r="I17" s="50">
        <f>VLOOKUP($A17,'Data shares'!$C:$FB,45)*100</f>
        <v>100.69999999999999</v>
      </c>
      <c r="J17" s="49">
        <f>VLOOKUP($A17,'Data shares'!$C:$FB,58)</f>
        <v>25712000</v>
      </c>
      <c r="K17" s="49">
        <f>VLOOKUP($A17,'Data shares'!$C:$FB,59)</f>
        <v>11525500</v>
      </c>
      <c r="L17" s="50">
        <f>VLOOKUP($A17,'Data shares'!$C:$FB,61)*100</f>
        <v>123.09</v>
      </c>
      <c r="M17" s="49">
        <f>VLOOKUP($A17,'Data shares'!$C:$FB,62)</f>
        <v>16855500</v>
      </c>
      <c r="N17" s="49">
        <f>VLOOKUP($A17,'Data shares'!$C:$FB,63)</f>
        <v>5040500</v>
      </c>
      <c r="O17" s="140">
        <f>VLOOKUP($A17,'Data shares'!$C:$FB,65)*100</f>
        <v>234.39999999999998</v>
      </c>
    </row>
    <row r="18" spans="1:15" x14ac:dyDescent="0.25">
      <c r="A18" s="101" t="str">
        <f>'Data shares'!C13</f>
        <v>APLAPOLLO</v>
      </c>
      <c r="B18" s="50">
        <f>VLOOKUP($A18,'Data shares'!$C:$FB,7)</f>
        <v>1728</v>
      </c>
      <c r="C18" s="50">
        <f>VLOOKUP($A18,'Data shares'!$C:$FB,10)*100</f>
        <v>-0.35000000000000003</v>
      </c>
      <c r="D18" s="49">
        <f>VLOOKUP($A18,'Data shares'!$C:$FB,66)</f>
        <v>1295000</v>
      </c>
      <c r="E18" s="49">
        <f>VLOOKUP($A18,'Data shares'!$C:$FB,67)</f>
        <v>1144500</v>
      </c>
      <c r="F18" s="50">
        <f>VLOOKUP($A18,'Data shares'!$C:$FB,69)*100</f>
        <v>13.15</v>
      </c>
      <c r="G18" s="49">
        <f>VLOOKUP($A18,'Data shares'!$C:$FB,42)</f>
        <v>555450</v>
      </c>
      <c r="H18" s="49">
        <f>VLOOKUP($A18,'Data shares'!$C:$FB,43)</f>
        <v>434350</v>
      </c>
      <c r="I18" s="50">
        <f>VLOOKUP($A18,'Data shares'!$C:$FB,45)*100</f>
        <v>27.88</v>
      </c>
      <c r="J18" s="49">
        <f>VLOOKUP($A18,'Data shares'!$C:$FB,58)</f>
        <v>557900</v>
      </c>
      <c r="K18" s="49">
        <f>VLOOKUP($A18,'Data shares'!$C:$FB,59)</f>
        <v>502950</v>
      </c>
      <c r="L18" s="50">
        <f>VLOOKUP($A18,'Data shares'!$C:$FB,61)*100</f>
        <v>10.93</v>
      </c>
      <c r="M18" s="49">
        <f>VLOOKUP($A18,'Data shares'!$C:$FB,62)</f>
        <v>181650</v>
      </c>
      <c r="N18" s="49">
        <f>VLOOKUP($A18,'Data shares'!$C:$FB,63)</f>
        <v>207200</v>
      </c>
      <c r="O18" s="140">
        <f>VLOOKUP($A18,'Data shares'!$C:$FB,65)*100</f>
        <v>-12.33</v>
      </c>
    </row>
    <row r="19" spans="1:15" x14ac:dyDescent="0.25">
      <c r="A19" s="101" t="str">
        <f>'Data shares'!C14</f>
        <v>APOLLOHOSP</v>
      </c>
      <c r="B19" s="50">
        <f>VLOOKUP($A19,'Data shares'!$C:$FB,7)</f>
        <v>7833.5</v>
      </c>
      <c r="C19" s="50">
        <f>VLOOKUP($A19,'Data shares'!$C:$FB,10)*100</f>
        <v>0.1</v>
      </c>
      <c r="D19" s="49">
        <f>VLOOKUP($A19,'Data shares'!$C:$FB,66)</f>
        <v>1742125</v>
      </c>
      <c r="E19" s="49">
        <f>VLOOKUP($A19,'Data shares'!$C:$FB,67)</f>
        <v>3094000</v>
      </c>
      <c r="F19" s="50">
        <f>VLOOKUP($A19,'Data shares'!$C:$FB,69)*100</f>
        <v>-43.69</v>
      </c>
      <c r="G19" s="49">
        <f>VLOOKUP($A19,'Data shares'!$C:$FB,42)</f>
        <v>222375</v>
      </c>
      <c r="H19" s="49">
        <f>VLOOKUP($A19,'Data shares'!$C:$FB,43)</f>
        <v>276750</v>
      </c>
      <c r="I19" s="50">
        <f>VLOOKUP($A19,'Data shares'!$C:$FB,45)*100</f>
        <v>-19.650000000000002</v>
      </c>
      <c r="J19" s="49">
        <f>VLOOKUP($A19,'Data shares'!$C:$FB,58)</f>
        <v>941750</v>
      </c>
      <c r="K19" s="49">
        <f>VLOOKUP($A19,'Data shares'!$C:$FB,59)</f>
        <v>1723875</v>
      </c>
      <c r="L19" s="50">
        <f>VLOOKUP($A19,'Data shares'!$C:$FB,61)*100</f>
        <v>-45.37</v>
      </c>
      <c r="M19" s="49">
        <f>VLOOKUP($A19,'Data shares'!$C:$FB,62)</f>
        <v>578000</v>
      </c>
      <c r="N19" s="49">
        <f>VLOOKUP($A19,'Data shares'!$C:$FB,63)</f>
        <v>1093375</v>
      </c>
      <c r="O19" s="140">
        <f>VLOOKUP($A19,'Data shares'!$C:$FB,65)*100</f>
        <v>-47.14</v>
      </c>
    </row>
    <row r="20" spans="1:15" x14ac:dyDescent="0.25">
      <c r="A20" s="101" t="str">
        <f>'Data shares'!C15</f>
        <v>ASHOKLEY</v>
      </c>
      <c r="B20" s="50">
        <f>VLOOKUP($A20,'Data shares'!$C:$FB,7)</f>
        <v>137.24</v>
      </c>
      <c r="C20" s="50">
        <f>VLOOKUP($A20,'Data shares'!$C:$FB,10)*100</f>
        <v>1.1400000000000001</v>
      </c>
      <c r="D20" s="49">
        <f>VLOOKUP($A20,'Data shares'!$C:$FB,66)</f>
        <v>109005000</v>
      </c>
      <c r="E20" s="49">
        <f>VLOOKUP($A20,'Data shares'!$C:$FB,67)</f>
        <v>76695000</v>
      </c>
      <c r="F20" s="50">
        <f>VLOOKUP($A20,'Data shares'!$C:$FB,69)*100</f>
        <v>42.13</v>
      </c>
      <c r="G20" s="49">
        <f>VLOOKUP($A20,'Data shares'!$C:$FB,42)</f>
        <v>27150000</v>
      </c>
      <c r="H20" s="49">
        <f>VLOOKUP($A20,'Data shares'!$C:$FB,43)</f>
        <v>16145000</v>
      </c>
      <c r="I20" s="50">
        <f>VLOOKUP($A20,'Data shares'!$C:$FB,45)*100</f>
        <v>68.16</v>
      </c>
      <c r="J20" s="49">
        <f>VLOOKUP($A20,'Data shares'!$C:$FB,58)</f>
        <v>58420000</v>
      </c>
      <c r="K20" s="49">
        <f>VLOOKUP($A20,'Data shares'!$C:$FB,59)</f>
        <v>45580000</v>
      </c>
      <c r="L20" s="50">
        <f>VLOOKUP($A20,'Data shares'!$C:$FB,61)*100</f>
        <v>28.17</v>
      </c>
      <c r="M20" s="49">
        <f>VLOOKUP($A20,'Data shares'!$C:$FB,62)</f>
        <v>23435000</v>
      </c>
      <c r="N20" s="49">
        <f>VLOOKUP($A20,'Data shares'!$C:$FB,63)</f>
        <v>14970000</v>
      </c>
      <c r="O20" s="140">
        <f>VLOOKUP($A20,'Data shares'!$C:$FB,65)*100</f>
        <v>56.55</v>
      </c>
    </row>
    <row r="21" spans="1:15" x14ac:dyDescent="0.25">
      <c r="A21" s="101" t="str">
        <f>'Data shares'!C16</f>
        <v>ASIANPAINT</v>
      </c>
      <c r="B21" s="50">
        <f>VLOOKUP($A21,'Data shares'!$C:$FB,7)</f>
        <v>2409.6999999999998</v>
      </c>
      <c r="C21" s="50">
        <f>VLOOKUP($A21,'Data shares'!$C:$FB,10)*100</f>
        <v>1.46</v>
      </c>
      <c r="D21" s="49">
        <f>VLOOKUP($A21,'Data shares'!$C:$FB,66)</f>
        <v>18399750</v>
      </c>
      <c r="E21" s="49">
        <f>VLOOKUP($A21,'Data shares'!$C:$FB,67)</f>
        <v>21485750</v>
      </c>
      <c r="F21" s="50">
        <f>VLOOKUP($A21,'Data shares'!$C:$FB,69)*100</f>
        <v>-14.360000000000001</v>
      </c>
      <c r="G21" s="49">
        <f>VLOOKUP($A21,'Data shares'!$C:$FB,42)</f>
        <v>2199250</v>
      </c>
      <c r="H21" s="49">
        <f>VLOOKUP($A21,'Data shares'!$C:$FB,43)</f>
        <v>2485000</v>
      </c>
      <c r="I21" s="50">
        <f>VLOOKUP($A21,'Data shares'!$C:$FB,45)*100</f>
        <v>-11.5</v>
      </c>
      <c r="J21" s="49">
        <f>VLOOKUP($A21,'Data shares'!$C:$FB,58)</f>
        <v>10943000</v>
      </c>
      <c r="K21" s="49">
        <f>VLOOKUP($A21,'Data shares'!$C:$FB,59)</f>
        <v>13274500</v>
      </c>
      <c r="L21" s="50">
        <f>VLOOKUP($A21,'Data shares'!$C:$FB,61)*100</f>
        <v>-17.560000000000002</v>
      </c>
      <c r="M21" s="49">
        <f>VLOOKUP($A21,'Data shares'!$C:$FB,62)</f>
        <v>5257500</v>
      </c>
      <c r="N21" s="49">
        <f>VLOOKUP($A21,'Data shares'!$C:$FB,63)</f>
        <v>5726250</v>
      </c>
      <c r="O21" s="140">
        <f>VLOOKUP($A21,'Data shares'!$C:$FB,65)*100</f>
        <v>-8.19</v>
      </c>
    </row>
    <row r="22" spans="1:15" x14ac:dyDescent="0.25">
      <c r="A22" s="101" t="str">
        <f>'Data shares'!C17</f>
        <v>ASTRAL</v>
      </c>
      <c r="B22" s="50">
        <f>VLOOKUP($A22,'Data shares'!$C:$FB,7)</f>
        <v>1444.8</v>
      </c>
      <c r="C22" s="50">
        <f>VLOOKUP($A22,'Data shares'!$C:$FB,10)*100</f>
        <v>0.42</v>
      </c>
      <c r="D22" s="49">
        <f>VLOOKUP($A22,'Data shares'!$C:$FB,66)</f>
        <v>3468425</v>
      </c>
      <c r="E22" s="49">
        <f>VLOOKUP($A22,'Data shares'!$C:$FB,67)</f>
        <v>10663675</v>
      </c>
      <c r="F22" s="50">
        <f>VLOOKUP($A22,'Data shares'!$C:$FB,69)*100</f>
        <v>-67.47</v>
      </c>
      <c r="G22" s="49">
        <f>VLOOKUP($A22,'Data shares'!$C:$FB,42)</f>
        <v>1207000</v>
      </c>
      <c r="H22" s="49">
        <f>VLOOKUP($A22,'Data shares'!$C:$FB,43)</f>
        <v>2404225</v>
      </c>
      <c r="I22" s="50">
        <f>VLOOKUP($A22,'Data shares'!$C:$FB,45)*100</f>
        <v>-49.8</v>
      </c>
      <c r="J22" s="49">
        <f>VLOOKUP($A22,'Data shares'!$C:$FB,58)</f>
        <v>1625625</v>
      </c>
      <c r="K22" s="49">
        <f>VLOOKUP($A22,'Data shares'!$C:$FB,59)</f>
        <v>6019275</v>
      </c>
      <c r="L22" s="50">
        <f>VLOOKUP($A22,'Data shares'!$C:$FB,61)*100</f>
        <v>-72.989999999999995</v>
      </c>
      <c r="M22" s="49">
        <f>VLOOKUP($A22,'Data shares'!$C:$FB,62)</f>
        <v>635800</v>
      </c>
      <c r="N22" s="49">
        <f>VLOOKUP($A22,'Data shares'!$C:$FB,63)</f>
        <v>2240175</v>
      </c>
      <c r="O22" s="140">
        <f>VLOOKUP($A22,'Data shares'!$C:$FB,65)*100</f>
        <v>-71.61999999999999</v>
      </c>
    </row>
    <row r="23" spans="1:15" x14ac:dyDescent="0.25">
      <c r="A23" s="101" t="str">
        <f>'Data shares'!C18</f>
        <v>AUBANK</v>
      </c>
      <c r="B23" s="50">
        <f>VLOOKUP($A23,'Data shares'!$C:$FB,7)</f>
        <v>798.5</v>
      </c>
      <c r="C23" s="50">
        <f>VLOOKUP($A23,'Data shares'!$C:$FB,10)*100</f>
        <v>-0.44999999999999996</v>
      </c>
      <c r="D23" s="49">
        <f>VLOOKUP($A23,'Data shares'!$C:$FB,66)</f>
        <v>31721000</v>
      </c>
      <c r="E23" s="49">
        <f>VLOOKUP($A23,'Data shares'!$C:$FB,67)</f>
        <v>60517000</v>
      </c>
      <c r="F23" s="50">
        <f>VLOOKUP($A23,'Data shares'!$C:$FB,69)*100</f>
        <v>-47.58</v>
      </c>
      <c r="G23" s="49">
        <f>VLOOKUP($A23,'Data shares'!$C:$FB,42)</f>
        <v>7593000</v>
      </c>
      <c r="H23" s="49">
        <f>VLOOKUP($A23,'Data shares'!$C:$FB,43)</f>
        <v>10592000</v>
      </c>
      <c r="I23" s="50">
        <f>VLOOKUP($A23,'Data shares'!$C:$FB,45)*100</f>
        <v>-28.310000000000002</v>
      </c>
      <c r="J23" s="49">
        <f>VLOOKUP($A23,'Data shares'!$C:$FB,58)</f>
        <v>15390000</v>
      </c>
      <c r="K23" s="49">
        <f>VLOOKUP($A23,'Data shares'!$C:$FB,59)</f>
        <v>30931000</v>
      </c>
      <c r="L23" s="50">
        <f>VLOOKUP($A23,'Data shares'!$C:$FB,61)*100</f>
        <v>-50.239999999999995</v>
      </c>
      <c r="M23" s="49">
        <f>VLOOKUP($A23,'Data shares'!$C:$FB,62)</f>
        <v>8738000</v>
      </c>
      <c r="N23" s="49">
        <f>VLOOKUP($A23,'Data shares'!$C:$FB,63)</f>
        <v>18994000</v>
      </c>
      <c r="O23" s="140">
        <f>VLOOKUP($A23,'Data shares'!$C:$FB,65)*100</f>
        <v>-54</v>
      </c>
    </row>
    <row r="24" spans="1:15" x14ac:dyDescent="0.25">
      <c r="A24" s="101" t="str">
        <f>'Data shares'!C19</f>
        <v>AUROPHARMA</v>
      </c>
      <c r="B24" s="50">
        <f>VLOOKUP($A24,'Data shares'!$C:$FB,7)</f>
        <v>1106.3</v>
      </c>
      <c r="C24" s="50">
        <f>VLOOKUP($A24,'Data shares'!$C:$FB,10)*100</f>
        <v>-0.24</v>
      </c>
      <c r="D24" s="49">
        <f>VLOOKUP($A24,'Data shares'!$C:$FB,66)</f>
        <v>9579350</v>
      </c>
      <c r="E24" s="49">
        <f>VLOOKUP($A24,'Data shares'!$C:$FB,67)</f>
        <v>7383750</v>
      </c>
      <c r="F24" s="50">
        <f>VLOOKUP($A24,'Data shares'!$C:$FB,69)*100</f>
        <v>29.74</v>
      </c>
      <c r="G24" s="49">
        <f>VLOOKUP($A24,'Data shares'!$C:$FB,42)</f>
        <v>3062400</v>
      </c>
      <c r="H24" s="49">
        <f>VLOOKUP($A24,'Data shares'!$C:$FB,43)</f>
        <v>2229700</v>
      </c>
      <c r="I24" s="50">
        <f>VLOOKUP($A24,'Data shares'!$C:$FB,45)*100</f>
        <v>37.35</v>
      </c>
      <c r="J24" s="49">
        <f>VLOOKUP($A24,'Data shares'!$C:$FB,58)</f>
        <v>4711300</v>
      </c>
      <c r="K24" s="49">
        <f>VLOOKUP($A24,'Data shares'!$C:$FB,59)</f>
        <v>3204300</v>
      </c>
      <c r="L24" s="50">
        <f>VLOOKUP($A24,'Data shares'!$C:$FB,61)*100</f>
        <v>47.03</v>
      </c>
      <c r="M24" s="49">
        <f>VLOOKUP($A24,'Data shares'!$C:$FB,62)</f>
        <v>1805650</v>
      </c>
      <c r="N24" s="49">
        <f>VLOOKUP($A24,'Data shares'!$C:$FB,63)</f>
        <v>1949750</v>
      </c>
      <c r="O24" s="140">
        <f>VLOOKUP($A24,'Data shares'!$C:$FB,65)*100</f>
        <v>-7.39</v>
      </c>
    </row>
    <row r="25" spans="1:15" x14ac:dyDescent="0.25">
      <c r="A25" s="101" t="str">
        <f>'Data shares'!C20</f>
        <v>AXISBANK</v>
      </c>
      <c r="B25" s="50">
        <f>VLOOKUP($A25,'Data shares'!$C:$FB,7)</f>
        <v>1196.3</v>
      </c>
      <c r="C25" s="50">
        <f>VLOOKUP($A25,'Data shares'!$C:$FB,10)*100</f>
        <v>2.2800000000000002</v>
      </c>
      <c r="D25" s="49">
        <f>VLOOKUP($A25,'Data shares'!$C:$FB,66)</f>
        <v>241516875</v>
      </c>
      <c r="E25" s="49">
        <f>VLOOKUP($A25,'Data shares'!$C:$FB,67)</f>
        <v>103886875</v>
      </c>
      <c r="F25" s="50">
        <f>VLOOKUP($A25,'Data shares'!$C:$FB,69)*100</f>
        <v>132.47999999999999</v>
      </c>
      <c r="G25" s="49">
        <f>VLOOKUP($A25,'Data shares'!$C:$FB,42)</f>
        <v>28277500</v>
      </c>
      <c r="H25" s="49">
        <f>VLOOKUP($A25,'Data shares'!$C:$FB,43)</f>
        <v>16728125</v>
      </c>
      <c r="I25" s="50">
        <f>VLOOKUP($A25,'Data shares'!$C:$FB,45)*100</f>
        <v>69.040000000000006</v>
      </c>
      <c r="J25" s="49">
        <f>VLOOKUP($A25,'Data shares'!$C:$FB,58)</f>
        <v>123824375</v>
      </c>
      <c r="K25" s="49">
        <f>VLOOKUP($A25,'Data shares'!$C:$FB,59)</f>
        <v>49746250</v>
      </c>
      <c r="L25" s="50">
        <f>VLOOKUP($A25,'Data shares'!$C:$FB,61)*100</f>
        <v>148.91</v>
      </c>
      <c r="M25" s="49">
        <f>VLOOKUP($A25,'Data shares'!$C:$FB,62)</f>
        <v>89415000</v>
      </c>
      <c r="N25" s="49">
        <f>VLOOKUP($A25,'Data shares'!$C:$FB,63)</f>
        <v>37412500</v>
      </c>
      <c r="O25" s="140">
        <f>VLOOKUP($A25,'Data shares'!$C:$FB,65)*100</f>
        <v>139</v>
      </c>
    </row>
    <row r="26" spans="1:15" x14ac:dyDescent="0.25">
      <c r="A26" s="101" t="str">
        <f>'Data shares'!C21</f>
        <v>BAJAJ-AUTO</v>
      </c>
      <c r="B26" s="50">
        <f>VLOOKUP($A26,'Data shares'!$C:$FB,7)</f>
        <v>9151.5</v>
      </c>
      <c r="C26" s="50">
        <f>VLOOKUP($A26,'Data shares'!$C:$FB,10)*100</f>
        <v>1.71</v>
      </c>
      <c r="D26" s="49">
        <f>VLOOKUP($A26,'Data shares'!$C:$FB,66)</f>
        <v>5546025</v>
      </c>
      <c r="E26" s="49">
        <f>VLOOKUP($A26,'Data shares'!$C:$FB,67)</f>
        <v>7579200</v>
      </c>
      <c r="F26" s="50">
        <f>VLOOKUP($A26,'Data shares'!$C:$FB,69)*100</f>
        <v>-26.83</v>
      </c>
      <c r="G26" s="49">
        <f>VLOOKUP($A26,'Data shares'!$C:$FB,42)</f>
        <v>634800</v>
      </c>
      <c r="H26" s="49">
        <f>VLOOKUP($A26,'Data shares'!$C:$FB,43)</f>
        <v>793350</v>
      </c>
      <c r="I26" s="50">
        <f>VLOOKUP($A26,'Data shares'!$C:$FB,45)*100</f>
        <v>-19.98</v>
      </c>
      <c r="J26" s="49">
        <f>VLOOKUP($A26,'Data shares'!$C:$FB,58)</f>
        <v>3465975</v>
      </c>
      <c r="K26" s="49">
        <f>VLOOKUP($A26,'Data shares'!$C:$FB,59)</f>
        <v>4300875</v>
      </c>
      <c r="L26" s="50">
        <f>VLOOKUP($A26,'Data shares'!$C:$FB,61)*100</f>
        <v>-19.41</v>
      </c>
      <c r="M26" s="49">
        <f>VLOOKUP($A26,'Data shares'!$C:$FB,62)</f>
        <v>1445250</v>
      </c>
      <c r="N26" s="49">
        <f>VLOOKUP($A26,'Data shares'!$C:$FB,63)</f>
        <v>2484975</v>
      </c>
      <c r="O26" s="140">
        <f>VLOOKUP($A26,'Data shares'!$C:$FB,65)*100</f>
        <v>-41.839999999999996</v>
      </c>
    </row>
    <row r="27" spans="1:15" x14ac:dyDescent="0.25">
      <c r="A27" s="101" t="str">
        <f>'Data shares'!C22</f>
        <v>BAJAJFINSV</v>
      </c>
      <c r="B27" s="50">
        <f>VLOOKUP($A27,'Data shares'!$C:$FB,7)</f>
        <v>2090.1999999999998</v>
      </c>
      <c r="C27" s="50">
        <f>VLOOKUP($A27,'Data shares'!$C:$FB,10)*100</f>
        <v>0.28999999999999998</v>
      </c>
      <c r="D27" s="49">
        <f>VLOOKUP($A27,'Data shares'!$C:$FB,66)</f>
        <v>20073500</v>
      </c>
      <c r="E27" s="49">
        <f>VLOOKUP($A27,'Data shares'!$C:$FB,67)</f>
        <v>30037500</v>
      </c>
      <c r="F27" s="50">
        <f>VLOOKUP($A27,'Data shares'!$C:$FB,69)*100</f>
        <v>-33.17</v>
      </c>
      <c r="G27" s="49">
        <f>VLOOKUP($A27,'Data shares'!$C:$FB,42)</f>
        <v>1921000</v>
      </c>
      <c r="H27" s="49">
        <f>VLOOKUP($A27,'Data shares'!$C:$FB,43)</f>
        <v>2939000</v>
      </c>
      <c r="I27" s="50">
        <f>VLOOKUP($A27,'Data shares'!$C:$FB,45)*100</f>
        <v>-34.64</v>
      </c>
      <c r="J27" s="49">
        <f>VLOOKUP($A27,'Data shares'!$C:$FB,58)</f>
        <v>11939500</v>
      </c>
      <c r="K27" s="49">
        <f>VLOOKUP($A27,'Data shares'!$C:$FB,59)</f>
        <v>19000500</v>
      </c>
      <c r="L27" s="50">
        <f>VLOOKUP($A27,'Data shares'!$C:$FB,61)*100</f>
        <v>-37.159999999999997</v>
      </c>
      <c r="M27" s="49">
        <f>VLOOKUP($A27,'Data shares'!$C:$FB,62)</f>
        <v>6213000</v>
      </c>
      <c r="N27" s="49">
        <f>VLOOKUP($A27,'Data shares'!$C:$FB,63)</f>
        <v>8098000</v>
      </c>
      <c r="O27" s="140">
        <f>VLOOKUP($A27,'Data shares'!$C:$FB,65)*100</f>
        <v>-23.28</v>
      </c>
    </row>
    <row r="28" spans="1:15" x14ac:dyDescent="0.25">
      <c r="A28" s="101" t="str">
        <f>'Data shares'!C23</f>
        <v>BAJFINANCE</v>
      </c>
      <c r="B28" s="50">
        <f>VLOOKUP($A28,'Data shares'!$C:$FB,7)</f>
        <v>1065.75</v>
      </c>
      <c r="C28" s="50">
        <f>VLOOKUP($A28,'Data shares'!$C:$FB,10)*100</f>
        <v>0.54999999999999993</v>
      </c>
      <c r="D28" s="49">
        <f>VLOOKUP($A28,'Data shares'!$C:$FB,66)</f>
        <v>105969750</v>
      </c>
      <c r="E28" s="49">
        <f>VLOOKUP($A28,'Data shares'!$C:$FB,67)</f>
        <v>108786000</v>
      </c>
      <c r="F28" s="50">
        <f>VLOOKUP($A28,'Data shares'!$C:$FB,69)*100</f>
        <v>-2.59</v>
      </c>
      <c r="G28" s="49">
        <f>VLOOKUP($A28,'Data shares'!$C:$FB,42)</f>
        <v>12587250</v>
      </c>
      <c r="H28" s="49">
        <f>VLOOKUP($A28,'Data shares'!$C:$FB,43)</f>
        <v>13360500</v>
      </c>
      <c r="I28" s="50">
        <f>VLOOKUP($A28,'Data shares'!$C:$FB,45)*100</f>
        <v>-5.79</v>
      </c>
      <c r="J28" s="49">
        <f>VLOOKUP($A28,'Data shares'!$C:$FB,58)</f>
        <v>57305250</v>
      </c>
      <c r="K28" s="49">
        <f>VLOOKUP($A28,'Data shares'!$C:$FB,59)</f>
        <v>61202250</v>
      </c>
      <c r="L28" s="50">
        <f>VLOOKUP($A28,'Data shares'!$C:$FB,61)*100</f>
        <v>-6.370000000000001</v>
      </c>
      <c r="M28" s="49">
        <f>VLOOKUP($A28,'Data shares'!$C:$FB,62)</f>
        <v>36077250</v>
      </c>
      <c r="N28" s="49">
        <f>VLOOKUP($A28,'Data shares'!$C:$FB,63)</f>
        <v>34223250</v>
      </c>
      <c r="O28" s="140">
        <f>VLOOKUP($A28,'Data shares'!$C:$FB,65)*100</f>
        <v>5.42</v>
      </c>
    </row>
    <row r="29" spans="1:15" x14ac:dyDescent="0.25">
      <c r="A29" s="101" t="str">
        <f>'Data shares'!C24</f>
        <v>BANDHANBNK</v>
      </c>
      <c r="B29" s="50">
        <f>VLOOKUP($A29,'Data shares'!$C:$FB,7)</f>
        <v>161.56</v>
      </c>
      <c r="C29" s="50">
        <f>VLOOKUP($A29,'Data shares'!$C:$FB,10)*100</f>
        <v>-1</v>
      </c>
      <c r="D29" s="49">
        <f>VLOOKUP($A29,'Data shares'!$C:$FB,66)</f>
        <v>68814000</v>
      </c>
      <c r="E29" s="49">
        <f>VLOOKUP($A29,'Data shares'!$C:$FB,67)</f>
        <v>66387600</v>
      </c>
      <c r="F29" s="50">
        <f>VLOOKUP($A29,'Data shares'!$C:$FB,69)*100</f>
        <v>3.65</v>
      </c>
      <c r="G29" s="49">
        <f>VLOOKUP($A29,'Data shares'!$C:$FB,42)</f>
        <v>18698400</v>
      </c>
      <c r="H29" s="49">
        <f>VLOOKUP($A29,'Data shares'!$C:$FB,43)</f>
        <v>24670800</v>
      </c>
      <c r="I29" s="50">
        <f>VLOOKUP($A29,'Data shares'!$C:$FB,45)*100</f>
        <v>-24.21</v>
      </c>
      <c r="J29" s="49">
        <f>VLOOKUP($A29,'Data shares'!$C:$FB,58)</f>
        <v>34387200</v>
      </c>
      <c r="K29" s="49">
        <f>VLOOKUP($A29,'Data shares'!$C:$FB,59)</f>
        <v>27514800</v>
      </c>
      <c r="L29" s="50">
        <f>VLOOKUP($A29,'Data shares'!$C:$FB,61)*100</f>
        <v>24.98</v>
      </c>
      <c r="M29" s="49">
        <f>VLOOKUP($A29,'Data shares'!$C:$FB,62)</f>
        <v>15728400</v>
      </c>
      <c r="N29" s="49">
        <f>VLOOKUP($A29,'Data shares'!$C:$FB,63)</f>
        <v>14202000</v>
      </c>
      <c r="O29" s="140">
        <f>VLOOKUP($A29,'Data shares'!$C:$FB,65)*100</f>
        <v>10.75</v>
      </c>
    </row>
    <row r="30" spans="1:15" x14ac:dyDescent="0.25">
      <c r="A30" s="101" t="str">
        <f>'Data shares'!C25</f>
        <v>BANKBARODA</v>
      </c>
      <c r="B30" s="50">
        <f>VLOOKUP($A30,'Data shares'!$C:$FB,7)</f>
        <v>266.14999999999998</v>
      </c>
      <c r="C30" s="50">
        <f>VLOOKUP($A30,'Data shares'!$C:$FB,10)*100</f>
        <v>-0.84</v>
      </c>
      <c r="D30" s="49">
        <f>VLOOKUP($A30,'Data shares'!$C:$FB,66)</f>
        <v>67245750</v>
      </c>
      <c r="E30" s="49">
        <f>VLOOKUP($A30,'Data shares'!$C:$FB,67)</f>
        <v>104908050</v>
      </c>
      <c r="F30" s="50">
        <f>VLOOKUP($A30,'Data shares'!$C:$FB,69)*100</f>
        <v>-35.9</v>
      </c>
      <c r="G30" s="49">
        <f>VLOOKUP($A30,'Data shares'!$C:$FB,42)</f>
        <v>15882750</v>
      </c>
      <c r="H30" s="49">
        <f>VLOOKUP($A30,'Data shares'!$C:$FB,43)</f>
        <v>20229300</v>
      </c>
      <c r="I30" s="50">
        <f>VLOOKUP($A30,'Data shares'!$C:$FB,45)*100</f>
        <v>-21.490000000000002</v>
      </c>
      <c r="J30" s="49">
        <f>VLOOKUP($A30,'Data shares'!$C:$FB,58)</f>
        <v>33798375</v>
      </c>
      <c r="K30" s="49">
        <f>VLOOKUP($A30,'Data shares'!$C:$FB,59)</f>
        <v>52863525</v>
      </c>
      <c r="L30" s="50">
        <f>VLOOKUP($A30,'Data shares'!$C:$FB,61)*100</f>
        <v>-36.059999999999995</v>
      </c>
      <c r="M30" s="49">
        <f>VLOOKUP($A30,'Data shares'!$C:$FB,62)</f>
        <v>17564625</v>
      </c>
      <c r="N30" s="49">
        <f>VLOOKUP($A30,'Data shares'!$C:$FB,63)</f>
        <v>31815225</v>
      </c>
      <c r="O30" s="140">
        <f>VLOOKUP($A30,'Data shares'!$C:$FB,65)*100</f>
        <v>-44.79</v>
      </c>
    </row>
    <row r="31" spans="1:15" x14ac:dyDescent="0.25">
      <c r="A31" s="101" t="str">
        <f>'Data shares'!C26</f>
        <v>BANKINDIA</v>
      </c>
      <c r="B31" s="50">
        <f>VLOOKUP($A31,'Data shares'!$C:$FB,7)</f>
        <v>125.42</v>
      </c>
      <c r="C31" s="50">
        <f>VLOOKUP($A31,'Data shares'!$C:$FB,10)*100</f>
        <v>-0.73</v>
      </c>
      <c r="D31" s="49">
        <f>VLOOKUP($A31,'Data shares'!$C:$FB,66)</f>
        <v>35547200</v>
      </c>
      <c r="E31" s="49">
        <f>VLOOKUP($A31,'Data shares'!$C:$FB,67)</f>
        <v>37336000</v>
      </c>
      <c r="F31" s="50">
        <f>VLOOKUP($A31,'Data shares'!$C:$FB,69)*100</f>
        <v>-4.79</v>
      </c>
      <c r="G31" s="49">
        <f>VLOOKUP($A31,'Data shares'!$C:$FB,42)</f>
        <v>13920400</v>
      </c>
      <c r="H31" s="49">
        <f>VLOOKUP($A31,'Data shares'!$C:$FB,43)</f>
        <v>14159600</v>
      </c>
      <c r="I31" s="50">
        <f>VLOOKUP($A31,'Data shares'!$C:$FB,45)*100</f>
        <v>-1.69</v>
      </c>
      <c r="J31" s="49">
        <f>VLOOKUP($A31,'Data shares'!$C:$FB,58)</f>
        <v>16333200</v>
      </c>
      <c r="K31" s="49">
        <f>VLOOKUP($A31,'Data shares'!$C:$FB,59)</f>
        <v>17934800</v>
      </c>
      <c r="L31" s="50">
        <f>VLOOKUP($A31,'Data shares'!$C:$FB,61)*100</f>
        <v>-8.93</v>
      </c>
      <c r="M31" s="49">
        <f>VLOOKUP($A31,'Data shares'!$C:$FB,62)</f>
        <v>5293600</v>
      </c>
      <c r="N31" s="49">
        <f>VLOOKUP($A31,'Data shares'!$C:$FB,63)</f>
        <v>5241600</v>
      </c>
      <c r="O31" s="140">
        <f>VLOOKUP($A31,'Data shares'!$C:$FB,65)*100</f>
        <v>0.9900000000000001</v>
      </c>
    </row>
    <row r="32" spans="1:15" x14ac:dyDescent="0.25">
      <c r="A32" s="101" t="str">
        <f>'Data shares'!C27</f>
        <v>BANKNIFTY</v>
      </c>
      <c r="B32" s="50">
        <f>VLOOKUP($A32,'Data shares'!$C:$FB,7)</f>
        <v>57422.55</v>
      </c>
      <c r="C32" s="50">
        <f>VLOOKUP($A32,'Data shares'!$C:$FB,10)*100</f>
        <v>1.0999999999999999</v>
      </c>
      <c r="D32" s="49">
        <f>VLOOKUP($A32,'Data shares'!$C:$FB,66)</f>
        <v>149847775</v>
      </c>
      <c r="E32" s="49">
        <f>VLOOKUP($A32,'Data shares'!$C:$FB,67)</f>
        <v>117241775</v>
      </c>
      <c r="F32" s="50">
        <f>VLOOKUP($A32,'Data shares'!$C:$FB,69)*100</f>
        <v>27.810000000000002</v>
      </c>
      <c r="G32" s="49">
        <f>VLOOKUP($A32,'Data shares'!$C:$FB,42)</f>
        <v>1214115</v>
      </c>
      <c r="H32" s="49">
        <f>VLOOKUP($A32,'Data shares'!$C:$FB,43)</f>
        <v>857920</v>
      </c>
      <c r="I32" s="50">
        <f>VLOOKUP($A32,'Data shares'!$C:$FB,45)*100</f>
        <v>41.52</v>
      </c>
      <c r="J32" s="49">
        <f>VLOOKUP($A32,'Data shares'!$C:$FB,58)</f>
        <v>79310840</v>
      </c>
      <c r="K32" s="49">
        <f>VLOOKUP($A32,'Data shares'!$C:$FB,59)</f>
        <v>62327720</v>
      </c>
      <c r="L32" s="50">
        <f>VLOOKUP($A32,'Data shares'!$C:$FB,61)*100</f>
        <v>27.250000000000004</v>
      </c>
      <c r="M32" s="49">
        <f>VLOOKUP($A32,'Data shares'!$C:$FB,62)</f>
        <v>69322820</v>
      </c>
      <c r="N32" s="49">
        <f>VLOOKUP($A32,'Data shares'!$C:$FB,63)</f>
        <v>54056135</v>
      </c>
      <c r="O32" s="140">
        <f>VLOOKUP($A32,'Data shares'!$C:$FB,65)*100</f>
        <v>28.24</v>
      </c>
    </row>
    <row r="33" spans="1:15" x14ac:dyDescent="0.25">
      <c r="A33" s="101" t="str">
        <f>'Data shares'!C28</f>
        <v>BDL</v>
      </c>
      <c r="B33" s="50">
        <f>VLOOKUP($A33,'Data shares'!$C:$FB,7)</f>
        <v>1504.9</v>
      </c>
      <c r="C33" s="50">
        <f>VLOOKUP($A33,'Data shares'!$C:$FB,10)*100</f>
        <v>0.27</v>
      </c>
      <c r="D33" s="49">
        <f>VLOOKUP($A33,'Data shares'!$C:$FB,66)</f>
        <v>4438525</v>
      </c>
      <c r="E33" s="49">
        <f>VLOOKUP($A33,'Data shares'!$C:$FB,67)</f>
        <v>4998175</v>
      </c>
      <c r="F33" s="50">
        <f>VLOOKUP($A33,'Data shares'!$C:$FB,69)*100</f>
        <v>-11.200000000000001</v>
      </c>
      <c r="G33" s="49">
        <f>VLOOKUP($A33,'Data shares'!$C:$FB,42)</f>
        <v>646425</v>
      </c>
      <c r="H33" s="49">
        <f>VLOOKUP($A33,'Data shares'!$C:$FB,43)</f>
        <v>773175</v>
      </c>
      <c r="I33" s="50">
        <f>VLOOKUP($A33,'Data shares'!$C:$FB,45)*100</f>
        <v>-16.39</v>
      </c>
      <c r="J33" s="49">
        <f>VLOOKUP($A33,'Data shares'!$C:$FB,58)</f>
        <v>3055325</v>
      </c>
      <c r="K33" s="49">
        <f>VLOOKUP($A33,'Data shares'!$C:$FB,59)</f>
        <v>3166800</v>
      </c>
      <c r="L33" s="50">
        <f>VLOOKUP($A33,'Data shares'!$C:$FB,61)*100</f>
        <v>-3.52</v>
      </c>
      <c r="M33" s="49">
        <f>VLOOKUP($A33,'Data shares'!$C:$FB,62)</f>
        <v>736775</v>
      </c>
      <c r="N33" s="49">
        <f>VLOOKUP($A33,'Data shares'!$C:$FB,63)</f>
        <v>1058200</v>
      </c>
      <c r="O33" s="140">
        <f>VLOOKUP($A33,'Data shares'!$C:$FB,65)*100</f>
        <v>-30.37</v>
      </c>
    </row>
    <row r="34" spans="1:15" x14ac:dyDescent="0.25">
      <c r="A34" s="101" t="str">
        <f>'Data shares'!C29</f>
        <v>BEL</v>
      </c>
      <c r="B34" s="50">
        <f>VLOOKUP($A34,'Data shares'!$C:$FB,7)</f>
        <v>411.8</v>
      </c>
      <c r="C34" s="50">
        <f>VLOOKUP($A34,'Data shares'!$C:$FB,10)*100</f>
        <v>0.91</v>
      </c>
      <c r="D34" s="49">
        <f>VLOOKUP($A34,'Data shares'!$C:$FB,66)</f>
        <v>135540300</v>
      </c>
      <c r="E34" s="49">
        <f>VLOOKUP($A34,'Data shares'!$C:$FB,67)</f>
        <v>155310750</v>
      </c>
      <c r="F34" s="50">
        <f>VLOOKUP($A34,'Data shares'!$C:$FB,69)*100</f>
        <v>-12.73</v>
      </c>
      <c r="G34" s="49">
        <f>VLOOKUP($A34,'Data shares'!$C:$FB,42)</f>
        <v>18969600</v>
      </c>
      <c r="H34" s="49">
        <f>VLOOKUP($A34,'Data shares'!$C:$FB,43)</f>
        <v>20736600</v>
      </c>
      <c r="I34" s="50">
        <f>VLOOKUP($A34,'Data shares'!$C:$FB,45)*100</f>
        <v>-8.52</v>
      </c>
      <c r="J34" s="49">
        <f>VLOOKUP($A34,'Data shares'!$C:$FB,58)</f>
        <v>76171950</v>
      </c>
      <c r="K34" s="49">
        <f>VLOOKUP($A34,'Data shares'!$C:$FB,59)</f>
        <v>87785700</v>
      </c>
      <c r="L34" s="50">
        <f>VLOOKUP($A34,'Data shares'!$C:$FB,61)*100</f>
        <v>-13.23</v>
      </c>
      <c r="M34" s="49">
        <f>VLOOKUP($A34,'Data shares'!$C:$FB,62)</f>
        <v>40398750</v>
      </c>
      <c r="N34" s="49">
        <f>VLOOKUP($A34,'Data shares'!$C:$FB,63)</f>
        <v>46788450</v>
      </c>
      <c r="O34" s="140">
        <f>VLOOKUP($A34,'Data shares'!$C:$FB,65)*100</f>
        <v>-13.66</v>
      </c>
    </row>
    <row r="35" spans="1:15" x14ac:dyDescent="0.25">
      <c r="A35" s="101" t="str">
        <f>'Data shares'!C30</f>
        <v>BHARATFORG</v>
      </c>
      <c r="B35" s="50">
        <f>VLOOKUP($A35,'Data shares'!$C:$FB,7)</f>
        <v>1265.2</v>
      </c>
      <c r="C35" s="50">
        <f>VLOOKUP($A35,'Data shares'!$C:$FB,10)*100</f>
        <v>2.64</v>
      </c>
      <c r="D35" s="49">
        <f>VLOOKUP($A35,'Data shares'!$C:$FB,66)</f>
        <v>31744500</v>
      </c>
      <c r="E35" s="49">
        <f>VLOOKUP($A35,'Data shares'!$C:$FB,67)</f>
        <v>9972500</v>
      </c>
      <c r="F35" s="50">
        <f>VLOOKUP($A35,'Data shares'!$C:$FB,69)*100</f>
        <v>218.32</v>
      </c>
      <c r="G35" s="49">
        <f>VLOOKUP($A35,'Data shares'!$C:$FB,42)</f>
        <v>5793000</v>
      </c>
      <c r="H35" s="49">
        <f>VLOOKUP($A35,'Data shares'!$C:$FB,43)</f>
        <v>2811500</v>
      </c>
      <c r="I35" s="50">
        <f>VLOOKUP($A35,'Data shares'!$C:$FB,45)*100</f>
        <v>106.05</v>
      </c>
      <c r="J35" s="49">
        <f>VLOOKUP($A35,'Data shares'!$C:$FB,58)</f>
        <v>20207500</v>
      </c>
      <c r="K35" s="49">
        <f>VLOOKUP($A35,'Data shares'!$C:$FB,59)</f>
        <v>5126500</v>
      </c>
      <c r="L35" s="50">
        <f>VLOOKUP($A35,'Data shares'!$C:$FB,61)*100</f>
        <v>294.18</v>
      </c>
      <c r="M35" s="49">
        <f>VLOOKUP($A35,'Data shares'!$C:$FB,62)</f>
        <v>5744000</v>
      </c>
      <c r="N35" s="49">
        <f>VLOOKUP($A35,'Data shares'!$C:$FB,63)</f>
        <v>2034500</v>
      </c>
      <c r="O35" s="140">
        <f>VLOOKUP($A35,'Data shares'!$C:$FB,65)*100</f>
        <v>182.32999999999998</v>
      </c>
    </row>
    <row r="36" spans="1:15" x14ac:dyDescent="0.25">
      <c r="A36" s="101" t="str">
        <f>'Data shares'!C31</f>
        <v>BHARTIARTL</v>
      </c>
      <c r="B36" s="50">
        <f>VLOOKUP($A36,'Data shares'!$C:$FB,7)</f>
        <v>1967.4</v>
      </c>
      <c r="C36" s="50">
        <f>VLOOKUP($A36,'Data shares'!$C:$FB,10)*100</f>
        <v>-0.06</v>
      </c>
      <c r="D36" s="49">
        <f>VLOOKUP($A36,'Data shares'!$C:$FB,66)</f>
        <v>37887425</v>
      </c>
      <c r="E36" s="49">
        <f>VLOOKUP($A36,'Data shares'!$C:$FB,67)</f>
        <v>39036925</v>
      </c>
      <c r="F36" s="50">
        <f>VLOOKUP($A36,'Data shares'!$C:$FB,69)*100</f>
        <v>-2.94</v>
      </c>
      <c r="G36" s="49">
        <f>VLOOKUP($A36,'Data shares'!$C:$FB,42)</f>
        <v>6614375</v>
      </c>
      <c r="H36" s="49">
        <f>VLOOKUP($A36,'Data shares'!$C:$FB,43)</f>
        <v>4617000</v>
      </c>
      <c r="I36" s="50">
        <f>VLOOKUP($A36,'Data shares'!$C:$FB,45)*100</f>
        <v>43.26</v>
      </c>
      <c r="J36" s="49">
        <f>VLOOKUP($A36,'Data shares'!$C:$FB,58)</f>
        <v>20260175</v>
      </c>
      <c r="K36" s="49">
        <f>VLOOKUP($A36,'Data shares'!$C:$FB,59)</f>
        <v>22557750</v>
      </c>
      <c r="L36" s="50">
        <f>VLOOKUP($A36,'Data shares'!$C:$FB,61)*100</f>
        <v>-10.190000000000001</v>
      </c>
      <c r="M36" s="49">
        <f>VLOOKUP($A36,'Data shares'!$C:$FB,62)</f>
        <v>11012875</v>
      </c>
      <c r="N36" s="49">
        <f>VLOOKUP($A36,'Data shares'!$C:$FB,63)</f>
        <v>11862175</v>
      </c>
      <c r="O36" s="140">
        <f>VLOOKUP($A36,'Data shares'!$C:$FB,65)*100</f>
        <v>-7.16</v>
      </c>
    </row>
    <row r="37" spans="1:15" x14ac:dyDescent="0.25">
      <c r="A37" s="101" t="str">
        <f>'Data shares'!C32</f>
        <v>BHEL</v>
      </c>
      <c r="B37" s="50">
        <f>VLOOKUP($A37,'Data shares'!$C:$FB,7)</f>
        <v>236.17</v>
      </c>
      <c r="C37" s="50">
        <f>VLOOKUP($A37,'Data shares'!$C:$FB,10)*100</f>
        <v>0.16</v>
      </c>
      <c r="D37" s="49">
        <f>VLOOKUP($A37,'Data shares'!$C:$FB,66)</f>
        <v>40942125</v>
      </c>
      <c r="E37" s="49">
        <f>VLOOKUP($A37,'Data shares'!$C:$FB,67)</f>
        <v>54697125</v>
      </c>
      <c r="F37" s="50">
        <f>VLOOKUP($A37,'Data shares'!$C:$FB,69)*100</f>
        <v>-25.15</v>
      </c>
      <c r="G37" s="49">
        <f>VLOOKUP($A37,'Data shares'!$C:$FB,42)</f>
        <v>7998375</v>
      </c>
      <c r="H37" s="49">
        <f>VLOOKUP($A37,'Data shares'!$C:$FB,43)</f>
        <v>9578625</v>
      </c>
      <c r="I37" s="50">
        <f>VLOOKUP($A37,'Data shares'!$C:$FB,45)*100</f>
        <v>-16.5</v>
      </c>
      <c r="J37" s="49">
        <f>VLOOKUP($A37,'Data shares'!$C:$FB,58)</f>
        <v>22698375</v>
      </c>
      <c r="K37" s="49">
        <f>VLOOKUP($A37,'Data shares'!$C:$FB,59)</f>
        <v>29331750</v>
      </c>
      <c r="L37" s="50">
        <f>VLOOKUP($A37,'Data shares'!$C:$FB,61)*100</f>
        <v>-22.61</v>
      </c>
      <c r="M37" s="49">
        <f>VLOOKUP($A37,'Data shares'!$C:$FB,62)</f>
        <v>10245375</v>
      </c>
      <c r="N37" s="49">
        <f>VLOOKUP($A37,'Data shares'!$C:$FB,63)</f>
        <v>15786750</v>
      </c>
      <c r="O37" s="140">
        <f>VLOOKUP($A37,'Data shares'!$C:$FB,65)*100</f>
        <v>-35.099999999999994</v>
      </c>
    </row>
    <row r="38" spans="1:15" x14ac:dyDescent="0.25">
      <c r="A38" s="101" t="str">
        <f>'Data shares'!C33</f>
        <v>BIOCON</v>
      </c>
      <c r="B38" s="50">
        <f>VLOOKUP($A38,'Data shares'!$C:$FB,7)</f>
        <v>358.2</v>
      </c>
      <c r="C38" s="50">
        <f>VLOOKUP($A38,'Data shares'!$C:$FB,10)*100</f>
        <v>0.51</v>
      </c>
      <c r="D38" s="49">
        <f>VLOOKUP($A38,'Data shares'!$C:$FB,66)</f>
        <v>32860000</v>
      </c>
      <c r="E38" s="49">
        <f>VLOOKUP($A38,'Data shares'!$C:$FB,67)</f>
        <v>28850000</v>
      </c>
      <c r="F38" s="50">
        <f>VLOOKUP($A38,'Data shares'!$C:$FB,69)*100</f>
        <v>13.900000000000002</v>
      </c>
      <c r="G38" s="49">
        <f>VLOOKUP($A38,'Data shares'!$C:$FB,42)</f>
        <v>6650000</v>
      </c>
      <c r="H38" s="49">
        <f>VLOOKUP($A38,'Data shares'!$C:$FB,43)</f>
        <v>5130000</v>
      </c>
      <c r="I38" s="50">
        <f>VLOOKUP($A38,'Data shares'!$C:$FB,45)*100</f>
        <v>29.630000000000003</v>
      </c>
      <c r="J38" s="49">
        <f>VLOOKUP($A38,'Data shares'!$C:$FB,58)</f>
        <v>16920000</v>
      </c>
      <c r="K38" s="49">
        <f>VLOOKUP($A38,'Data shares'!$C:$FB,59)</f>
        <v>16235000</v>
      </c>
      <c r="L38" s="50">
        <f>VLOOKUP($A38,'Data shares'!$C:$FB,61)*100</f>
        <v>4.22</v>
      </c>
      <c r="M38" s="49">
        <f>VLOOKUP($A38,'Data shares'!$C:$FB,62)</f>
        <v>9290000</v>
      </c>
      <c r="N38" s="49">
        <f>VLOOKUP($A38,'Data shares'!$C:$FB,63)</f>
        <v>7485000</v>
      </c>
      <c r="O38" s="140">
        <f>VLOOKUP($A38,'Data shares'!$C:$FB,65)*100</f>
        <v>24.11</v>
      </c>
    </row>
    <row r="39" spans="1:15" x14ac:dyDescent="0.25">
      <c r="A39" s="101" t="str">
        <f>'Data shares'!C34</f>
        <v>BLUESTARCO</v>
      </c>
      <c r="B39" s="50">
        <f>VLOOKUP($A39,'Data shares'!$C:$FB,7)</f>
        <v>1957.6</v>
      </c>
      <c r="C39" s="50">
        <f>VLOOKUP($A39,'Data shares'!$C:$FB,10)*100</f>
        <v>2.3199999999999998</v>
      </c>
      <c r="D39" s="49">
        <f>VLOOKUP($A39,'Data shares'!$C:$FB,66)</f>
        <v>2702700</v>
      </c>
      <c r="E39" s="49">
        <f>VLOOKUP($A39,'Data shares'!$C:$FB,67)</f>
        <v>1370525</v>
      </c>
      <c r="F39" s="50">
        <f>VLOOKUP($A39,'Data shares'!$C:$FB,69)*100</f>
        <v>97.2</v>
      </c>
      <c r="G39" s="49">
        <f>VLOOKUP($A39,'Data shares'!$C:$FB,42)</f>
        <v>671775</v>
      </c>
      <c r="H39" s="49">
        <f>VLOOKUP($A39,'Data shares'!$C:$FB,43)</f>
        <v>531700</v>
      </c>
      <c r="I39" s="50">
        <f>VLOOKUP($A39,'Data shares'!$C:$FB,45)*100</f>
        <v>26.340000000000003</v>
      </c>
      <c r="J39" s="49">
        <f>VLOOKUP($A39,'Data shares'!$C:$FB,58)</f>
        <v>1475500</v>
      </c>
      <c r="K39" s="49">
        <f>VLOOKUP($A39,'Data shares'!$C:$FB,59)</f>
        <v>662350</v>
      </c>
      <c r="L39" s="50">
        <f>VLOOKUP($A39,'Data shares'!$C:$FB,61)*100</f>
        <v>122.77</v>
      </c>
      <c r="M39" s="49">
        <f>VLOOKUP($A39,'Data shares'!$C:$FB,62)</f>
        <v>555425</v>
      </c>
      <c r="N39" s="49">
        <f>VLOOKUP($A39,'Data shares'!$C:$FB,63)</f>
        <v>176475</v>
      </c>
      <c r="O39" s="140">
        <f>VLOOKUP($A39,'Data shares'!$C:$FB,65)*100</f>
        <v>214.73</v>
      </c>
    </row>
    <row r="40" spans="1:15" x14ac:dyDescent="0.25">
      <c r="A40" s="101" t="str">
        <f>'Data shares'!C35</f>
        <v>BOSCHLTD</v>
      </c>
      <c r="B40" s="50">
        <f>VLOOKUP($A40,'Data shares'!$C:$FB,7)</f>
        <v>38510</v>
      </c>
      <c r="C40" s="50">
        <f>VLOOKUP($A40,'Data shares'!$C:$FB,10)*100</f>
        <v>0.33999999999999997</v>
      </c>
      <c r="D40" s="49">
        <f>VLOOKUP($A40,'Data shares'!$C:$FB,66)</f>
        <v>136800</v>
      </c>
      <c r="E40" s="49">
        <f>VLOOKUP($A40,'Data shares'!$C:$FB,67)</f>
        <v>220050</v>
      </c>
      <c r="F40" s="50">
        <f>VLOOKUP($A40,'Data shares'!$C:$FB,69)*100</f>
        <v>-37.830000000000005</v>
      </c>
      <c r="G40" s="49">
        <f>VLOOKUP($A40,'Data shares'!$C:$FB,42)</f>
        <v>20950</v>
      </c>
      <c r="H40" s="49">
        <f>VLOOKUP($A40,'Data shares'!$C:$FB,43)</f>
        <v>35125</v>
      </c>
      <c r="I40" s="50">
        <f>VLOOKUP($A40,'Data shares'!$C:$FB,45)*100</f>
        <v>-40.36</v>
      </c>
      <c r="J40" s="49">
        <f>VLOOKUP($A40,'Data shares'!$C:$FB,58)</f>
        <v>82350</v>
      </c>
      <c r="K40" s="49">
        <f>VLOOKUP($A40,'Data shares'!$C:$FB,59)</f>
        <v>124925</v>
      </c>
      <c r="L40" s="50">
        <f>VLOOKUP($A40,'Data shares'!$C:$FB,61)*100</f>
        <v>-34.08</v>
      </c>
      <c r="M40" s="49">
        <f>VLOOKUP($A40,'Data shares'!$C:$FB,62)</f>
        <v>33500</v>
      </c>
      <c r="N40" s="49">
        <f>VLOOKUP($A40,'Data shares'!$C:$FB,63)</f>
        <v>60000</v>
      </c>
      <c r="O40" s="140">
        <f>VLOOKUP($A40,'Data shares'!$C:$FB,65)*100</f>
        <v>-44.17</v>
      </c>
    </row>
    <row r="41" spans="1:15" x14ac:dyDescent="0.25">
      <c r="A41" s="101" t="str">
        <f>'Data shares'!C36</f>
        <v>BPCL</v>
      </c>
      <c r="B41" s="50">
        <f>VLOOKUP($A41,'Data shares'!$C:$FB,7)</f>
        <v>335.9</v>
      </c>
      <c r="C41" s="50">
        <f>VLOOKUP($A41,'Data shares'!$C:$FB,10)*100</f>
        <v>-0.59</v>
      </c>
      <c r="D41" s="49">
        <f>VLOOKUP($A41,'Data shares'!$C:$FB,66)</f>
        <v>34286000</v>
      </c>
      <c r="E41" s="49">
        <f>VLOOKUP($A41,'Data shares'!$C:$FB,67)</f>
        <v>64560775</v>
      </c>
      <c r="F41" s="50">
        <f>VLOOKUP($A41,'Data shares'!$C:$FB,69)*100</f>
        <v>-46.89</v>
      </c>
      <c r="G41" s="49">
        <f>VLOOKUP($A41,'Data shares'!$C:$FB,42)</f>
        <v>7663000</v>
      </c>
      <c r="H41" s="49">
        <f>VLOOKUP($A41,'Data shares'!$C:$FB,43)</f>
        <v>12071200</v>
      </c>
      <c r="I41" s="50">
        <f>VLOOKUP($A41,'Data shares'!$C:$FB,45)*100</f>
        <v>-36.520000000000003</v>
      </c>
      <c r="J41" s="49">
        <f>VLOOKUP($A41,'Data shares'!$C:$FB,58)</f>
        <v>18638075</v>
      </c>
      <c r="K41" s="49">
        <f>VLOOKUP($A41,'Data shares'!$C:$FB,59)</f>
        <v>32206325</v>
      </c>
      <c r="L41" s="50">
        <f>VLOOKUP($A41,'Data shares'!$C:$FB,61)*100</f>
        <v>-42.13</v>
      </c>
      <c r="M41" s="49">
        <f>VLOOKUP($A41,'Data shares'!$C:$FB,62)</f>
        <v>7984925</v>
      </c>
      <c r="N41" s="49">
        <f>VLOOKUP($A41,'Data shares'!$C:$FB,63)</f>
        <v>20283250</v>
      </c>
      <c r="O41" s="140">
        <f>VLOOKUP($A41,'Data shares'!$C:$FB,65)*100</f>
        <v>-60.629999999999995</v>
      </c>
    </row>
    <row r="42" spans="1:15" x14ac:dyDescent="0.25">
      <c r="A42" s="101" t="str">
        <f>'Data shares'!C37</f>
        <v>BRITANNIA</v>
      </c>
      <c r="B42" s="50">
        <f>VLOOKUP($A42,'Data shares'!$C:$FB,7)</f>
        <v>6025.5</v>
      </c>
      <c r="C42" s="50">
        <f>VLOOKUP($A42,'Data shares'!$C:$FB,10)*100</f>
        <v>2.87</v>
      </c>
      <c r="D42" s="49">
        <f>VLOOKUP($A42,'Data shares'!$C:$FB,66)</f>
        <v>4708875</v>
      </c>
      <c r="E42" s="49">
        <f>VLOOKUP($A42,'Data shares'!$C:$FB,67)</f>
        <v>1934250</v>
      </c>
      <c r="F42" s="50">
        <f>VLOOKUP($A42,'Data shares'!$C:$FB,69)*100</f>
        <v>143.45000000000002</v>
      </c>
      <c r="G42" s="49">
        <f>VLOOKUP($A42,'Data shares'!$C:$FB,42)</f>
        <v>636375</v>
      </c>
      <c r="H42" s="49">
        <f>VLOOKUP($A42,'Data shares'!$C:$FB,43)</f>
        <v>388375</v>
      </c>
      <c r="I42" s="50">
        <f>VLOOKUP($A42,'Data shares'!$C:$FB,45)*100</f>
        <v>63.859999999999992</v>
      </c>
      <c r="J42" s="49">
        <f>VLOOKUP($A42,'Data shares'!$C:$FB,58)</f>
        <v>3188875</v>
      </c>
      <c r="K42" s="49">
        <f>VLOOKUP($A42,'Data shares'!$C:$FB,59)</f>
        <v>1120125</v>
      </c>
      <c r="L42" s="50">
        <f>VLOOKUP($A42,'Data shares'!$C:$FB,61)*100</f>
        <v>184.69</v>
      </c>
      <c r="M42" s="49">
        <f>VLOOKUP($A42,'Data shares'!$C:$FB,62)</f>
        <v>883625</v>
      </c>
      <c r="N42" s="49">
        <f>VLOOKUP($A42,'Data shares'!$C:$FB,63)</f>
        <v>425750</v>
      </c>
      <c r="O42" s="140">
        <f>VLOOKUP($A42,'Data shares'!$C:$FB,65)*100</f>
        <v>107.54999999999998</v>
      </c>
    </row>
    <row r="43" spans="1:15" x14ac:dyDescent="0.25">
      <c r="A43" s="101" t="str">
        <f>'Data shares'!C38</f>
        <v>BSE</v>
      </c>
      <c r="B43" s="50">
        <f>VLOOKUP($A43,'Data shares'!$C:$FB,7)</f>
        <v>2509.1999999999998</v>
      </c>
      <c r="C43" s="50">
        <f>VLOOKUP($A43,'Data shares'!$C:$FB,10)*100</f>
        <v>2.15</v>
      </c>
      <c r="D43" s="49">
        <f>VLOOKUP($A43,'Data shares'!$C:$FB,66)</f>
        <v>69946500</v>
      </c>
      <c r="E43" s="49">
        <f>VLOOKUP($A43,'Data shares'!$C:$FB,67)</f>
        <v>23860125</v>
      </c>
      <c r="F43" s="50">
        <f>VLOOKUP($A43,'Data shares'!$C:$FB,69)*100</f>
        <v>193.15</v>
      </c>
      <c r="G43" s="49">
        <f>VLOOKUP($A43,'Data shares'!$C:$FB,42)</f>
        <v>6732000</v>
      </c>
      <c r="H43" s="49">
        <f>VLOOKUP($A43,'Data shares'!$C:$FB,43)</f>
        <v>2359125</v>
      </c>
      <c r="I43" s="50">
        <f>VLOOKUP($A43,'Data shares'!$C:$FB,45)*100</f>
        <v>185.35999999999999</v>
      </c>
      <c r="J43" s="49">
        <f>VLOOKUP($A43,'Data shares'!$C:$FB,58)</f>
        <v>43125375</v>
      </c>
      <c r="K43" s="49">
        <f>VLOOKUP($A43,'Data shares'!$C:$FB,59)</f>
        <v>13297125</v>
      </c>
      <c r="L43" s="50">
        <f>VLOOKUP($A43,'Data shares'!$C:$FB,61)*100</f>
        <v>224.32</v>
      </c>
      <c r="M43" s="49">
        <f>VLOOKUP($A43,'Data shares'!$C:$FB,62)</f>
        <v>20089125</v>
      </c>
      <c r="N43" s="49">
        <f>VLOOKUP($A43,'Data shares'!$C:$FB,63)</f>
        <v>8203875</v>
      </c>
      <c r="O43" s="140">
        <f>VLOOKUP($A43,'Data shares'!$C:$FB,65)*100</f>
        <v>144.87</v>
      </c>
    </row>
    <row r="44" spans="1:15" x14ac:dyDescent="0.25">
      <c r="A44" s="101" t="str">
        <f>'Data shares'!C39</f>
        <v>CAMS</v>
      </c>
      <c r="B44" s="50">
        <f>VLOOKUP($A44,'Data shares'!$C:$FB,7)</f>
        <v>3830.8</v>
      </c>
      <c r="C44" s="50">
        <f>VLOOKUP($A44,'Data shares'!$C:$FB,10)*100</f>
        <v>-0.13999999999999999</v>
      </c>
      <c r="D44" s="49">
        <f>VLOOKUP($A44,'Data shares'!$C:$FB,66)</f>
        <v>1777350</v>
      </c>
      <c r="E44" s="49">
        <f>VLOOKUP($A44,'Data shares'!$C:$FB,67)</f>
        <v>2519250</v>
      </c>
      <c r="F44" s="50">
        <f>VLOOKUP($A44,'Data shares'!$C:$FB,69)*100</f>
        <v>-29.45</v>
      </c>
      <c r="G44" s="49">
        <f>VLOOKUP($A44,'Data shares'!$C:$FB,42)</f>
        <v>438000</v>
      </c>
      <c r="H44" s="49">
        <f>VLOOKUP($A44,'Data shares'!$C:$FB,43)</f>
        <v>470550</v>
      </c>
      <c r="I44" s="50">
        <f>VLOOKUP($A44,'Data shares'!$C:$FB,45)*100</f>
        <v>-6.92</v>
      </c>
      <c r="J44" s="49">
        <f>VLOOKUP($A44,'Data shares'!$C:$FB,58)</f>
        <v>1003050</v>
      </c>
      <c r="K44" s="49">
        <f>VLOOKUP($A44,'Data shares'!$C:$FB,59)</f>
        <v>1547550</v>
      </c>
      <c r="L44" s="50">
        <f>VLOOKUP($A44,'Data shares'!$C:$FB,61)*100</f>
        <v>-35.18</v>
      </c>
      <c r="M44" s="49">
        <f>VLOOKUP($A44,'Data shares'!$C:$FB,62)</f>
        <v>336300</v>
      </c>
      <c r="N44" s="49">
        <f>VLOOKUP($A44,'Data shares'!$C:$FB,63)</f>
        <v>501150</v>
      </c>
      <c r="O44" s="140">
        <f>VLOOKUP($A44,'Data shares'!$C:$FB,65)*100</f>
        <v>-32.89</v>
      </c>
    </row>
    <row r="45" spans="1:15" x14ac:dyDescent="0.25">
      <c r="A45" s="101" t="str">
        <f>'Data shares'!C40</f>
        <v>CANBK</v>
      </c>
      <c r="B45" s="50">
        <f>VLOOKUP($A45,'Data shares'!$C:$FB,7)</f>
        <v>127.37</v>
      </c>
      <c r="C45" s="50">
        <f>VLOOKUP($A45,'Data shares'!$C:$FB,10)*100</f>
        <v>-0.80999999999999994</v>
      </c>
      <c r="D45" s="49">
        <f>VLOOKUP($A45,'Data shares'!$C:$FB,66)</f>
        <v>344304000</v>
      </c>
      <c r="E45" s="49">
        <f>VLOOKUP($A45,'Data shares'!$C:$FB,67)</f>
        <v>271626750</v>
      </c>
      <c r="F45" s="50">
        <f>VLOOKUP($A45,'Data shares'!$C:$FB,69)*100</f>
        <v>26.76</v>
      </c>
      <c r="G45" s="49">
        <f>VLOOKUP($A45,'Data shares'!$C:$FB,42)</f>
        <v>66865500</v>
      </c>
      <c r="H45" s="49">
        <f>VLOOKUP($A45,'Data shares'!$C:$FB,43)</f>
        <v>63902250</v>
      </c>
      <c r="I45" s="50">
        <f>VLOOKUP($A45,'Data shares'!$C:$FB,45)*100</f>
        <v>4.6399999999999997</v>
      </c>
      <c r="J45" s="49">
        <f>VLOOKUP($A45,'Data shares'!$C:$FB,58)</f>
        <v>173718000</v>
      </c>
      <c r="K45" s="49">
        <f>VLOOKUP($A45,'Data shares'!$C:$FB,59)</f>
        <v>130497750</v>
      </c>
      <c r="L45" s="50">
        <f>VLOOKUP($A45,'Data shares'!$C:$FB,61)*100</f>
        <v>33.119999999999997</v>
      </c>
      <c r="M45" s="49">
        <f>VLOOKUP($A45,'Data shares'!$C:$FB,62)</f>
        <v>103720500</v>
      </c>
      <c r="N45" s="49">
        <f>VLOOKUP($A45,'Data shares'!$C:$FB,63)</f>
        <v>77226750</v>
      </c>
      <c r="O45" s="140">
        <f>VLOOKUP($A45,'Data shares'!$C:$FB,65)*100</f>
        <v>34.31</v>
      </c>
    </row>
    <row r="46" spans="1:15" x14ac:dyDescent="0.25">
      <c r="A46" s="101" t="str">
        <f>'Data shares'!C41</f>
        <v>CDSL</v>
      </c>
      <c r="B46" s="50">
        <f>VLOOKUP($A46,'Data shares'!$C:$FB,7)</f>
        <v>1620.3</v>
      </c>
      <c r="C46" s="50">
        <f>VLOOKUP($A46,'Data shares'!$C:$FB,10)*100</f>
        <v>-0.1</v>
      </c>
      <c r="D46" s="49">
        <f>VLOOKUP($A46,'Data shares'!$C:$FB,66)</f>
        <v>13205000</v>
      </c>
      <c r="E46" s="49">
        <f>VLOOKUP($A46,'Data shares'!$C:$FB,67)</f>
        <v>17582125</v>
      </c>
      <c r="F46" s="50">
        <f>VLOOKUP($A46,'Data shares'!$C:$FB,69)*100</f>
        <v>-24.9</v>
      </c>
      <c r="G46" s="49">
        <f>VLOOKUP($A46,'Data shares'!$C:$FB,42)</f>
        <v>1775550</v>
      </c>
      <c r="H46" s="49">
        <f>VLOOKUP($A46,'Data shares'!$C:$FB,43)</f>
        <v>1952725</v>
      </c>
      <c r="I46" s="50">
        <f>VLOOKUP($A46,'Data shares'!$C:$FB,45)*100</f>
        <v>-9.07</v>
      </c>
      <c r="J46" s="49">
        <f>VLOOKUP($A46,'Data shares'!$C:$FB,58)</f>
        <v>7758175</v>
      </c>
      <c r="K46" s="49">
        <f>VLOOKUP($A46,'Data shares'!$C:$FB,59)</f>
        <v>10635725</v>
      </c>
      <c r="L46" s="50">
        <f>VLOOKUP($A46,'Data shares'!$C:$FB,61)*100</f>
        <v>-27.060000000000002</v>
      </c>
      <c r="M46" s="49">
        <f>VLOOKUP($A46,'Data shares'!$C:$FB,62)</f>
        <v>3671275</v>
      </c>
      <c r="N46" s="49">
        <f>VLOOKUP($A46,'Data shares'!$C:$FB,63)</f>
        <v>4993675</v>
      </c>
      <c r="O46" s="140">
        <f>VLOOKUP($A46,'Data shares'!$C:$FB,65)*100</f>
        <v>-26.479999999999997</v>
      </c>
    </row>
    <row r="47" spans="1:15" x14ac:dyDescent="0.25">
      <c r="A47" s="101" t="str">
        <f>'Data shares'!C42</f>
        <v>CGPOWER</v>
      </c>
      <c r="B47" s="50">
        <f>VLOOKUP($A47,'Data shares'!$C:$FB,7)</f>
        <v>760.6</v>
      </c>
      <c r="C47" s="50">
        <f>VLOOKUP($A47,'Data shares'!$C:$FB,10)*100</f>
        <v>0.44</v>
      </c>
      <c r="D47" s="49">
        <f>VLOOKUP($A47,'Data shares'!$C:$FB,66)</f>
        <v>11680700</v>
      </c>
      <c r="E47" s="49">
        <f>VLOOKUP($A47,'Data shares'!$C:$FB,67)</f>
        <v>11653500</v>
      </c>
      <c r="F47" s="50">
        <f>VLOOKUP($A47,'Data shares'!$C:$FB,69)*100</f>
        <v>0.22999999999999998</v>
      </c>
      <c r="G47" s="49">
        <f>VLOOKUP($A47,'Data shares'!$C:$FB,42)</f>
        <v>3066800</v>
      </c>
      <c r="H47" s="49">
        <f>VLOOKUP($A47,'Data shares'!$C:$FB,43)</f>
        <v>2598450</v>
      </c>
      <c r="I47" s="50">
        <f>VLOOKUP($A47,'Data shares'!$C:$FB,45)*100</f>
        <v>18.02</v>
      </c>
      <c r="J47" s="49">
        <f>VLOOKUP($A47,'Data shares'!$C:$FB,58)</f>
        <v>6277250</v>
      </c>
      <c r="K47" s="49">
        <f>VLOOKUP($A47,'Data shares'!$C:$FB,59)</f>
        <v>6639350</v>
      </c>
      <c r="L47" s="50">
        <f>VLOOKUP($A47,'Data shares'!$C:$FB,61)*100</f>
        <v>-5.45</v>
      </c>
      <c r="M47" s="49">
        <f>VLOOKUP($A47,'Data shares'!$C:$FB,62)</f>
        <v>2336650</v>
      </c>
      <c r="N47" s="49">
        <f>VLOOKUP($A47,'Data shares'!$C:$FB,63)</f>
        <v>2415700</v>
      </c>
      <c r="O47" s="140">
        <f>VLOOKUP($A47,'Data shares'!$C:$FB,65)*100</f>
        <v>-3.27</v>
      </c>
    </row>
    <row r="48" spans="1:15" x14ac:dyDescent="0.25">
      <c r="A48" s="101" t="str">
        <f>'Data shares'!C43</f>
        <v>CHOLAFIN</v>
      </c>
      <c r="B48" s="50">
        <f>VLOOKUP($A48,'Data shares'!$C:$FB,7)</f>
        <v>1668.1</v>
      </c>
      <c r="C48" s="50">
        <f>VLOOKUP($A48,'Data shares'!$C:$FB,10)*100</f>
        <v>-1.78</v>
      </c>
      <c r="D48" s="49">
        <f>VLOOKUP($A48,'Data shares'!$C:$FB,66)</f>
        <v>23078750</v>
      </c>
      <c r="E48" s="49">
        <f>VLOOKUP($A48,'Data shares'!$C:$FB,67)</f>
        <v>25111875</v>
      </c>
      <c r="F48" s="50">
        <f>VLOOKUP($A48,'Data shares'!$C:$FB,69)*100</f>
        <v>-8.1</v>
      </c>
      <c r="G48" s="49">
        <f>VLOOKUP($A48,'Data shares'!$C:$FB,42)</f>
        <v>6251875</v>
      </c>
      <c r="H48" s="49">
        <f>VLOOKUP($A48,'Data shares'!$C:$FB,43)</f>
        <v>4155625</v>
      </c>
      <c r="I48" s="50">
        <f>VLOOKUP($A48,'Data shares'!$C:$FB,45)*100</f>
        <v>50.44</v>
      </c>
      <c r="J48" s="49">
        <f>VLOOKUP($A48,'Data shares'!$C:$FB,58)</f>
        <v>12359375</v>
      </c>
      <c r="K48" s="49">
        <f>VLOOKUP($A48,'Data shares'!$C:$FB,59)</f>
        <v>15726875</v>
      </c>
      <c r="L48" s="50">
        <f>VLOOKUP($A48,'Data shares'!$C:$FB,61)*100</f>
        <v>-21.41</v>
      </c>
      <c r="M48" s="49">
        <f>VLOOKUP($A48,'Data shares'!$C:$FB,62)</f>
        <v>4467500</v>
      </c>
      <c r="N48" s="49">
        <f>VLOOKUP($A48,'Data shares'!$C:$FB,63)</f>
        <v>5229375</v>
      </c>
      <c r="O48" s="140">
        <f>VLOOKUP($A48,'Data shares'!$C:$FB,65)*100</f>
        <v>-14.57</v>
      </c>
    </row>
    <row r="49" spans="1:15" x14ac:dyDescent="0.25">
      <c r="A49" s="101" t="str">
        <f>'Data shares'!C44</f>
        <v>CIPLA</v>
      </c>
      <c r="B49" s="50">
        <f>VLOOKUP($A49,'Data shares'!$C:$FB,7)</f>
        <v>1569.4</v>
      </c>
      <c r="C49" s="50">
        <f>VLOOKUP($A49,'Data shares'!$C:$FB,10)*100</f>
        <v>0.69</v>
      </c>
      <c r="D49" s="49">
        <f>VLOOKUP($A49,'Data shares'!$C:$FB,66)</f>
        <v>9226500</v>
      </c>
      <c r="E49" s="49">
        <f>VLOOKUP($A49,'Data shares'!$C:$FB,67)</f>
        <v>9076125</v>
      </c>
      <c r="F49" s="50">
        <f>VLOOKUP($A49,'Data shares'!$C:$FB,69)*100</f>
        <v>1.66</v>
      </c>
      <c r="G49" s="49">
        <f>VLOOKUP($A49,'Data shares'!$C:$FB,42)</f>
        <v>1140375</v>
      </c>
      <c r="H49" s="49">
        <f>VLOOKUP($A49,'Data shares'!$C:$FB,43)</f>
        <v>1702125</v>
      </c>
      <c r="I49" s="50">
        <f>VLOOKUP($A49,'Data shares'!$C:$FB,45)*100</f>
        <v>-33</v>
      </c>
      <c r="J49" s="49">
        <f>VLOOKUP($A49,'Data shares'!$C:$FB,58)</f>
        <v>6522000</v>
      </c>
      <c r="K49" s="49">
        <f>VLOOKUP($A49,'Data shares'!$C:$FB,59)</f>
        <v>5866875</v>
      </c>
      <c r="L49" s="50">
        <f>VLOOKUP($A49,'Data shares'!$C:$FB,61)*100</f>
        <v>11.17</v>
      </c>
      <c r="M49" s="49">
        <f>VLOOKUP($A49,'Data shares'!$C:$FB,62)</f>
        <v>1564125</v>
      </c>
      <c r="N49" s="49">
        <f>VLOOKUP($A49,'Data shares'!$C:$FB,63)</f>
        <v>1507125</v>
      </c>
      <c r="O49" s="140">
        <f>VLOOKUP($A49,'Data shares'!$C:$FB,65)*100</f>
        <v>3.7800000000000002</v>
      </c>
    </row>
    <row r="50" spans="1:15" x14ac:dyDescent="0.25">
      <c r="A50" s="101" t="str">
        <f>'Data shares'!C45</f>
        <v>COALINDIA</v>
      </c>
      <c r="B50" s="50">
        <f>VLOOKUP($A50,'Data shares'!$C:$FB,7)</f>
        <v>387.6</v>
      </c>
      <c r="C50" s="50">
        <f>VLOOKUP($A50,'Data shares'!$C:$FB,10)*100</f>
        <v>0.86999999999999988</v>
      </c>
      <c r="D50" s="49">
        <f>VLOOKUP($A50,'Data shares'!$C:$FB,66)</f>
        <v>37837800</v>
      </c>
      <c r="E50" s="49">
        <f>VLOOKUP($A50,'Data shares'!$C:$FB,67)</f>
        <v>40883400</v>
      </c>
      <c r="F50" s="50">
        <f>VLOOKUP($A50,'Data shares'!$C:$FB,69)*100</f>
        <v>-7.4499999999999993</v>
      </c>
      <c r="G50" s="49">
        <f>VLOOKUP($A50,'Data shares'!$C:$FB,42)</f>
        <v>5918400</v>
      </c>
      <c r="H50" s="49">
        <f>VLOOKUP($A50,'Data shares'!$C:$FB,43)</f>
        <v>6993000</v>
      </c>
      <c r="I50" s="50">
        <f>VLOOKUP($A50,'Data shares'!$C:$FB,45)*100</f>
        <v>-15.370000000000001</v>
      </c>
      <c r="J50" s="49">
        <f>VLOOKUP($A50,'Data shares'!$C:$FB,58)</f>
        <v>18612450</v>
      </c>
      <c r="K50" s="49">
        <f>VLOOKUP($A50,'Data shares'!$C:$FB,59)</f>
        <v>19916550</v>
      </c>
      <c r="L50" s="50">
        <f>VLOOKUP($A50,'Data shares'!$C:$FB,61)*100</f>
        <v>-6.5500000000000007</v>
      </c>
      <c r="M50" s="49">
        <f>VLOOKUP($A50,'Data shares'!$C:$FB,62)</f>
        <v>13306950</v>
      </c>
      <c r="N50" s="49">
        <f>VLOOKUP($A50,'Data shares'!$C:$FB,63)</f>
        <v>13973850</v>
      </c>
      <c r="O50" s="140">
        <f>VLOOKUP($A50,'Data shares'!$C:$FB,65)*100</f>
        <v>-4.7699999999999996</v>
      </c>
    </row>
    <row r="51" spans="1:15" x14ac:dyDescent="0.25">
      <c r="A51" s="101" t="str">
        <f>'Data shares'!C46</f>
        <v>COFORGE</v>
      </c>
      <c r="B51" s="50">
        <f>VLOOKUP($A51,'Data shares'!$C:$FB,7)</f>
        <v>1761.5</v>
      </c>
      <c r="C51" s="50">
        <f>VLOOKUP($A51,'Data shares'!$C:$FB,10)*100</f>
        <v>-0.22</v>
      </c>
      <c r="D51" s="49">
        <f>VLOOKUP($A51,'Data shares'!$C:$FB,66)</f>
        <v>7384500</v>
      </c>
      <c r="E51" s="49">
        <f>VLOOKUP($A51,'Data shares'!$C:$FB,67)</f>
        <v>27365625</v>
      </c>
      <c r="F51" s="50">
        <f>VLOOKUP($A51,'Data shares'!$C:$FB,69)*100</f>
        <v>-73.02</v>
      </c>
      <c r="G51" s="49">
        <f>VLOOKUP($A51,'Data shares'!$C:$FB,42)</f>
        <v>1339125</v>
      </c>
      <c r="H51" s="49">
        <f>VLOOKUP($A51,'Data shares'!$C:$FB,43)</f>
        <v>3853875</v>
      </c>
      <c r="I51" s="50">
        <f>VLOOKUP($A51,'Data shares'!$C:$FB,45)*100</f>
        <v>-65.25</v>
      </c>
      <c r="J51" s="49">
        <f>VLOOKUP($A51,'Data shares'!$C:$FB,58)</f>
        <v>4138875</v>
      </c>
      <c r="K51" s="49">
        <f>VLOOKUP($A51,'Data shares'!$C:$FB,59)</f>
        <v>18855000</v>
      </c>
      <c r="L51" s="50">
        <f>VLOOKUP($A51,'Data shares'!$C:$FB,61)*100</f>
        <v>-78.05</v>
      </c>
      <c r="M51" s="49">
        <f>VLOOKUP($A51,'Data shares'!$C:$FB,62)</f>
        <v>1906500</v>
      </c>
      <c r="N51" s="49">
        <f>VLOOKUP($A51,'Data shares'!$C:$FB,63)</f>
        <v>4656750</v>
      </c>
      <c r="O51" s="140">
        <f>VLOOKUP($A51,'Data shares'!$C:$FB,65)*100</f>
        <v>-59.06</v>
      </c>
    </row>
    <row r="52" spans="1:15" x14ac:dyDescent="0.25">
      <c r="A52" s="101" t="str">
        <f>'Data shares'!C47</f>
        <v>COLPAL</v>
      </c>
      <c r="B52" s="50">
        <f>VLOOKUP($A52,'Data shares'!$C:$FB,7)</f>
        <v>2285.8000000000002</v>
      </c>
      <c r="C52" s="50">
        <f>VLOOKUP($A52,'Data shares'!$C:$FB,10)*100</f>
        <v>2.64</v>
      </c>
      <c r="D52" s="49">
        <f>VLOOKUP($A52,'Data shares'!$C:$FB,66)</f>
        <v>8202600</v>
      </c>
      <c r="E52" s="49">
        <f>VLOOKUP($A52,'Data shares'!$C:$FB,67)</f>
        <v>3182625</v>
      </c>
      <c r="F52" s="50">
        <f>VLOOKUP($A52,'Data shares'!$C:$FB,69)*100</f>
        <v>157.72999999999999</v>
      </c>
      <c r="G52" s="49">
        <f>VLOOKUP($A52,'Data shares'!$C:$FB,42)</f>
        <v>1558350</v>
      </c>
      <c r="H52" s="49">
        <f>VLOOKUP($A52,'Data shares'!$C:$FB,43)</f>
        <v>698400</v>
      </c>
      <c r="I52" s="50">
        <f>VLOOKUP($A52,'Data shares'!$C:$FB,45)*100</f>
        <v>123.13000000000001</v>
      </c>
      <c r="J52" s="49">
        <f>VLOOKUP($A52,'Data shares'!$C:$FB,58)</f>
        <v>5080275</v>
      </c>
      <c r="K52" s="49">
        <f>VLOOKUP($A52,'Data shares'!$C:$FB,59)</f>
        <v>1827450</v>
      </c>
      <c r="L52" s="50">
        <f>VLOOKUP($A52,'Data shares'!$C:$FB,61)*100</f>
        <v>178</v>
      </c>
      <c r="M52" s="49">
        <f>VLOOKUP($A52,'Data shares'!$C:$FB,62)</f>
        <v>1563975</v>
      </c>
      <c r="N52" s="49">
        <f>VLOOKUP($A52,'Data shares'!$C:$FB,63)</f>
        <v>656775</v>
      </c>
      <c r="O52" s="140">
        <f>VLOOKUP($A52,'Data shares'!$C:$FB,65)*100</f>
        <v>138.13</v>
      </c>
    </row>
    <row r="53" spans="1:15" x14ac:dyDescent="0.25">
      <c r="A53" s="101" t="str">
        <f>'Data shares'!C48</f>
        <v>CONCOR</v>
      </c>
      <c r="B53" s="50">
        <f>VLOOKUP($A53,'Data shares'!$C:$FB,7)</f>
        <v>534.1</v>
      </c>
      <c r="C53" s="50">
        <f>VLOOKUP($A53,'Data shares'!$C:$FB,10)*100</f>
        <v>0.77999999999999992</v>
      </c>
      <c r="D53" s="49">
        <f>VLOOKUP($A53,'Data shares'!$C:$FB,66)</f>
        <v>10711250</v>
      </c>
      <c r="E53" s="49">
        <f>VLOOKUP($A53,'Data shares'!$C:$FB,67)</f>
        <v>9806250</v>
      </c>
      <c r="F53" s="50">
        <f>VLOOKUP($A53,'Data shares'!$C:$FB,69)*100</f>
        <v>9.2299999999999986</v>
      </c>
      <c r="G53" s="49">
        <f>VLOOKUP($A53,'Data shares'!$C:$FB,42)</f>
        <v>2872500</v>
      </c>
      <c r="H53" s="49">
        <f>VLOOKUP($A53,'Data shares'!$C:$FB,43)</f>
        <v>2818750</v>
      </c>
      <c r="I53" s="50">
        <f>VLOOKUP($A53,'Data shares'!$C:$FB,45)*100</f>
        <v>1.91</v>
      </c>
      <c r="J53" s="49">
        <f>VLOOKUP($A53,'Data shares'!$C:$FB,58)</f>
        <v>5776250</v>
      </c>
      <c r="K53" s="49">
        <f>VLOOKUP($A53,'Data shares'!$C:$FB,59)</f>
        <v>5306250</v>
      </c>
      <c r="L53" s="50">
        <f>VLOOKUP($A53,'Data shares'!$C:$FB,61)*100</f>
        <v>8.86</v>
      </c>
      <c r="M53" s="49">
        <f>VLOOKUP($A53,'Data shares'!$C:$FB,62)</f>
        <v>2062500</v>
      </c>
      <c r="N53" s="49">
        <f>VLOOKUP($A53,'Data shares'!$C:$FB,63)</f>
        <v>1681250</v>
      </c>
      <c r="O53" s="140">
        <f>VLOOKUP($A53,'Data shares'!$C:$FB,65)*100</f>
        <v>22.68</v>
      </c>
    </row>
    <row r="54" spans="1:15" x14ac:dyDescent="0.25">
      <c r="A54" s="101" t="str">
        <f>'Data shares'!C49</f>
        <v>CROMPTON</v>
      </c>
      <c r="B54" s="50">
        <f>VLOOKUP($A54,'Data shares'!$C:$FB,7)</f>
        <v>288.60000000000002</v>
      </c>
      <c r="C54" s="50">
        <f>VLOOKUP($A54,'Data shares'!$C:$FB,10)*100</f>
        <v>6.9999999999999993E-2</v>
      </c>
      <c r="D54" s="49">
        <f>VLOOKUP($A54,'Data shares'!$C:$FB,66)</f>
        <v>22019400</v>
      </c>
      <c r="E54" s="49">
        <f>VLOOKUP($A54,'Data shares'!$C:$FB,67)</f>
        <v>42003000</v>
      </c>
      <c r="F54" s="50">
        <f>VLOOKUP($A54,'Data shares'!$C:$FB,69)*100</f>
        <v>-47.58</v>
      </c>
      <c r="G54" s="49">
        <f>VLOOKUP($A54,'Data shares'!$C:$FB,42)</f>
        <v>4703400</v>
      </c>
      <c r="H54" s="49">
        <f>VLOOKUP($A54,'Data shares'!$C:$FB,43)</f>
        <v>7997400</v>
      </c>
      <c r="I54" s="50">
        <f>VLOOKUP($A54,'Data shares'!$C:$FB,45)*100</f>
        <v>-41.19</v>
      </c>
      <c r="J54" s="49">
        <f>VLOOKUP($A54,'Data shares'!$C:$FB,58)</f>
        <v>13642200</v>
      </c>
      <c r="K54" s="49">
        <f>VLOOKUP($A54,'Data shares'!$C:$FB,59)</f>
        <v>26292600</v>
      </c>
      <c r="L54" s="50">
        <f>VLOOKUP($A54,'Data shares'!$C:$FB,61)*100</f>
        <v>-48.11</v>
      </c>
      <c r="M54" s="49">
        <f>VLOOKUP($A54,'Data shares'!$C:$FB,62)</f>
        <v>3673800</v>
      </c>
      <c r="N54" s="49">
        <f>VLOOKUP($A54,'Data shares'!$C:$FB,63)</f>
        <v>7713000</v>
      </c>
      <c r="O54" s="140">
        <f>VLOOKUP($A54,'Data shares'!$C:$FB,65)*100</f>
        <v>-52.370000000000005</v>
      </c>
    </row>
    <row r="55" spans="1:15" x14ac:dyDescent="0.25">
      <c r="A55" s="101" t="str">
        <f>'Data shares'!C50</f>
        <v>CUMMINSIND</v>
      </c>
      <c r="B55" s="50">
        <f>VLOOKUP($A55,'Data shares'!$C:$FB,7)</f>
        <v>3940.6</v>
      </c>
      <c r="C55" s="50">
        <f>VLOOKUP($A55,'Data shares'!$C:$FB,10)*100</f>
        <v>-0.42</v>
      </c>
      <c r="D55" s="49">
        <f>VLOOKUP($A55,'Data shares'!$C:$FB,66)</f>
        <v>2153200</v>
      </c>
      <c r="E55" s="49">
        <f>VLOOKUP($A55,'Data shares'!$C:$FB,67)</f>
        <v>1435600</v>
      </c>
      <c r="F55" s="50">
        <f>VLOOKUP($A55,'Data shares'!$C:$FB,69)*100</f>
        <v>49.99</v>
      </c>
      <c r="G55" s="49">
        <f>VLOOKUP($A55,'Data shares'!$C:$FB,42)</f>
        <v>619200</v>
      </c>
      <c r="H55" s="49">
        <f>VLOOKUP($A55,'Data shares'!$C:$FB,43)</f>
        <v>303000</v>
      </c>
      <c r="I55" s="50">
        <f>VLOOKUP($A55,'Data shares'!$C:$FB,45)*100</f>
        <v>104.36000000000001</v>
      </c>
      <c r="J55" s="49">
        <f>VLOOKUP($A55,'Data shares'!$C:$FB,58)</f>
        <v>1216600</v>
      </c>
      <c r="K55" s="49">
        <f>VLOOKUP($A55,'Data shares'!$C:$FB,59)</f>
        <v>844000</v>
      </c>
      <c r="L55" s="50">
        <f>VLOOKUP($A55,'Data shares'!$C:$FB,61)*100</f>
        <v>44.15</v>
      </c>
      <c r="M55" s="49">
        <f>VLOOKUP($A55,'Data shares'!$C:$FB,62)</f>
        <v>317400</v>
      </c>
      <c r="N55" s="49">
        <f>VLOOKUP($A55,'Data shares'!$C:$FB,63)</f>
        <v>288600</v>
      </c>
      <c r="O55" s="140">
        <f>VLOOKUP($A55,'Data shares'!$C:$FB,65)*100</f>
        <v>9.98</v>
      </c>
    </row>
    <row r="56" spans="1:15" x14ac:dyDescent="0.25">
      <c r="A56" s="101" t="str">
        <f>'Data shares'!C51</f>
        <v>CYIENT</v>
      </c>
      <c r="B56" s="50">
        <f>VLOOKUP($A56,'Data shares'!$C:$FB,7)</f>
        <v>1180.5999999999999</v>
      </c>
      <c r="C56" s="50">
        <f>VLOOKUP($A56,'Data shares'!$C:$FB,10)*100</f>
        <v>4.9399999999999995</v>
      </c>
      <c r="D56" s="49">
        <f>VLOOKUP($A56,'Data shares'!$C:$FB,66)</f>
        <v>43571425</v>
      </c>
      <c r="E56" s="49">
        <f>VLOOKUP($A56,'Data shares'!$C:$FB,67)</f>
        <v>10084400</v>
      </c>
      <c r="F56" s="50">
        <f>VLOOKUP($A56,'Data shares'!$C:$FB,69)*100</f>
        <v>332.07</v>
      </c>
      <c r="G56" s="49">
        <f>VLOOKUP($A56,'Data shares'!$C:$FB,42)</f>
        <v>7545025</v>
      </c>
      <c r="H56" s="49">
        <f>VLOOKUP($A56,'Data shares'!$C:$FB,43)</f>
        <v>2392750</v>
      </c>
      <c r="I56" s="50">
        <f>VLOOKUP($A56,'Data shares'!$C:$FB,45)*100</f>
        <v>215.33</v>
      </c>
      <c r="J56" s="49">
        <f>VLOOKUP($A56,'Data shares'!$C:$FB,58)</f>
        <v>22458700</v>
      </c>
      <c r="K56" s="49">
        <f>VLOOKUP($A56,'Data shares'!$C:$FB,59)</f>
        <v>4145875</v>
      </c>
      <c r="L56" s="50">
        <f>VLOOKUP($A56,'Data shares'!$C:$FB,61)*100</f>
        <v>441.71</v>
      </c>
      <c r="M56" s="49">
        <f>VLOOKUP($A56,'Data shares'!$C:$FB,62)</f>
        <v>13567700</v>
      </c>
      <c r="N56" s="49">
        <f>VLOOKUP($A56,'Data shares'!$C:$FB,63)</f>
        <v>3545775</v>
      </c>
      <c r="O56" s="140">
        <f>VLOOKUP($A56,'Data shares'!$C:$FB,65)*100</f>
        <v>282.64</v>
      </c>
    </row>
    <row r="57" spans="1:15" x14ac:dyDescent="0.25">
      <c r="A57" s="101" t="str">
        <f>'Data shares'!C52</f>
        <v>DABUR</v>
      </c>
      <c r="B57" s="50">
        <f>VLOOKUP($A57,'Data shares'!$C:$FB,7)</f>
        <v>500.75</v>
      </c>
      <c r="C57" s="50">
        <f>VLOOKUP($A57,'Data shares'!$C:$FB,10)*100</f>
        <v>1.54</v>
      </c>
      <c r="D57" s="49">
        <f>VLOOKUP($A57,'Data shares'!$C:$FB,66)</f>
        <v>27111250</v>
      </c>
      <c r="E57" s="49">
        <f>VLOOKUP($A57,'Data shares'!$C:$FB,67)</f>
        <v>18115000</v>
      </c>
      <c r="F57" s="50">
        <f>VLOOKUP($A57,'Data shares'!$C:$FB,69)*100</f>
        <v>49.66</v>
      </c>
      <c r="G57" s="49">
        <f>VLOOKUP($A57,'Data shares'!$C:$FB,42)</f>
        <v>4276250</v>
      </c>
      <c r="H57" s="49">
        <f>VLOOKUP($A57,'Data shares'!$C:$FB,43)</f>
        <v>3137500</v>
      </c>
      <c r="I57" s="50">
        <f>VLOOKUP($A57,'Data shares'!$C:$FB,45)*100</f>
        <v>36.29</v>
      </c>
      <c r="J57" s="49">
        <f>VLOOKUP($A57,'Data shares'!$C:$FB,58)</f>
        <v>15725000</v>
      </c>
      <c r="K57" s="49">
        <f>VLOOKUP($A57,'Data shares'!$C:$FB,59)</f>
        <v>10446250</v>
      </c>
      <c r="L57" s="50">
        <f>VLOOKUP($A57,'Data shares'!$C:$FB,61)*100</f>
        <v>50.529999999999994</v>
      </c>
      <c r="M57" s="49">
        <f>VLOOKUP($A57,'Data shares'!$C:$FB,62)</f>
        <v>7110000</v>
      </c>
      <c r="N57" s="49">
        <f>VLOOKUP($A57,'Data shares'!$C:$FB,63)</f>
        <v>4531250</v>
      </c>
      <c r="O57" s="140">
        <f>VLOOKUP($A57,'Data shares'!$C:$FB,65)*100</f>
        <v>56.910000000000004</v>
      </c>
    </row>
    <row r="58" spans="1:15" x14ac:dyDescent="0.25">
      <c r="A58" s="101" t="str">
        <f>'Data shares'!C53</f>
        <v>DALBHARAT</v>
      </c>
      <c r="B58" s="50">
        <f>VLOOKUP($A58,'Data shares'!$C:$FB,7)</f>
        <v>2224.4</v>
      </c>
      <c r="C58" s="50">
        <f>VLOOKUP($A58,'Data shares'!$C:$FB,10)*100</f>
        <v>0.22999999999999998</v>
      </c>
      <c r="D58" s="49">
        <f>VLOOKUP($A58,'Data shares'!$C:$FB,66)</f>
        <v>1019850</v>
      </c>
      <c r="E58" s="49">
        <f>VLOOKUP($A58,'Data shares'!$C:$FB,67)</f>
        <v>1117025</v>
      </c>
      <c r="F58" s="50">
        <f>VLOOKUP($A58,'Data shares'!$C:$FB,69)*100</f>
        <v>-8.6999999999999993</v>
      </c>
      <c r="G58" s="49">
        <f>VLOOKUP($A58,'Data shares'!$C:$FB,42)</f>
        <v>400075</v>
      </c>
      <c r="H58" s="49">
        <f>VLOOKUP($A58,'Data shares'!$C:$FB,43)</f>
        <v>383175</v>
      </c>
      <c r="I58" s="50">
        <f>VLOOKUP($A58,'Data shares'!$C:$FB,45)*100</f>
        <v>4.41</v>
      </c>
      <c r="J58" s="49">
        <f>VLOOKUP($A58,'Data shares'!$C:$FB,58)</f>
        <v>434850</v>
      </c>
      <c r="K58" s="49">
        <f>VLOOKUP($A58,'Data shares'!$C:$FB,59)</f>
        <v>429975</v>
      </c>
      <c r="L58" s="50">
        <f>VLOOKUP($A58,'Data shares'!$C:$FB,61)*100</f>
        <v>1.1299999999999999</v>
      </c>
      <c r="M58" s="49">
        <f>VLOOKUP($A58,'Data shares'!$C:$FB,62)</f>
        <v>184925</v>
      </c>
      <c r="N58" s="49">
        <f>VLOOKUP($A58,'Data shares'!$C:$FB,63)</f>
        <v>303875</v>
      </c>
      <c r="O58" s="140">
        <f>VLOOKUP($A58,'Data shares'!$C:$FB,65)*100</f>
        <v>-39.14</v>
      </c>
    </row>
    <row r="59" spans="1:15" x14ac:dyDescent="0.25">
      <c r="A59" s="101" t="str">
        <f>'Data shares'!C54</f>
        <v>DELHIVERY</v>
      </c>
      <c r="B59" s="50">
        <f>VLOOKUP($A59,'Data shares'!$C:$FB,7)</f>
        <v>446.8</v>
      </c>
      <c r="C59" s="50">
        <f>VLOOKUP($A59,'Data shares'!$C:$FB,10)*100</f>
        <v>-3.0300000000000002</v>
      </c>
      <c r="D59" s="49">
        <f>VLOOKUP($A59,'Data shares'!$C:$FB,66)</f>
        <v>34015475</v>
      </c>
      <c r="E59" s="49">
        <f>VLOOKUP($A59,'Data shares'!$C:$FB,67)</f>
        <v>22457725</v>
      </c>
      <c r="F59" s="50">
        <f>VLOOKUP($A59,'Data shares'!$C:$FB,69)*100</f>
        <v>51.459999999999994</v>
      </c>
      <c r="G59" s="49">
        <f>VLOOKUP($A59,'Data shares'!$C:$FB,42)</f>
        <v>5899225</v>
      </c>
      <c r="H59" s="49">
        <f>VLOOKUP($A59,'Data shares'!$C:$FB,43)</f>
        <v>4316000</v>
      </c>
      <c r="I59" s="50">
        <f>VLOOKUP($A59,'Data shares'!$C:$FB,45)*100</f>
        <v>36.68</v>
      </c>
      <c r="J59" s="49">
        <f>VLOOKUP($A59,'Data shares'!$C:$FB,58)</f>
        <v>19735325</v>
      </c>
      <c r="K59" s="49">
        <f>VLOOKUP($A59,'Data shares'!$C:$FB,59)</f>
        <v>11736200</v>
      </c>
      <c r="L59" s="50">
        <f>VLOOKUP($A59,'Data shares'!$C:$FB,61)*100</f>
        <v>68.16</v>
      </c>
      <c r="M59" s="49">
        <f>VLOOKUP($A59,'Data shares'!$C:$FB,62)</f>
        <v>8380925</v>
      </c>
      <c r="N59" s="49">
        <f>VLOOKUP($A59,'Data shares'!$C:$FB,63)</f>
        <v>6405525</v>
      </c>
      <c r="O59" s="140">
        <f>VLOOKUP($A59,'Data shares'!$C:$FB,65)*100</f>
        <v>30.84</v>
      </c>
    </row>
    <row r="60" spans="1:15" x14ac:dyDescent="0.25">
      <c r="A60" s="101" t="str">
        <f>'Data shares'!C55</f>
        <v>DIVISLAB</v>
      </c>
      <c r="B60" s="50">
        <f>VLOOKUP($A60,'Data shares'!$C:$FB,7)</f>
        <v>6600.5</v>
      </c>
      <c r="C60" s="50">
        <f>VLOOKUP($A60,'Data shares'!$C:$FB,10)*100</f>
        <v>0.42</v>
      </c>
      <c r="D60" s="49">
        <f>VLOOKUP($A60,'Data shares'!$C:$FB,66)</f>
        <v>4802900</v>
      </c>
      <c r="E60" s="49">
        <f>VLOOKUP($A60,'Data shares'!$C:$FB,67)</f>
        <v>3412900</v>
      </c>
      <c r="F60" s="50">
        <f>VLOOKUP($A60,'Data shares'!$C:$FB,69)*100</f>
        <v>40.729999999999997</v>
      </c>
      <c r="G60" s="49">
        <f>VLOOKUP($A60,'Data shares'!$C:$FB,42)</f>
        <v>434300</v>
      </c>
      <c r="H60" s="49">
        <f>VLOOKUP($A60,'Data shares'!$C:$FB,43)</f>
        <v>496100</v>
      </c>
      <c r="I60" s="50">
        <f>VLOOKUP($A60,'Data shares'!$C:$FB,45)*100</f>
        <v>-12.46</v>
      </c>
      <c r="J60" s="49">
        <f>VLOOKUP($A60,'Data shares'!$C:$FB,58)</f>
        <v>2739700</v>
      </c>
      <c r="K60" s="49">
        <f>VLOOKUP($A60,'Data shares'!$C:$FB,59)</f>
        <v>1713200</v>
      </c>
      <c r="L60" s="50">
        <f>VLOOKUP($A60,'Data shares'!$C:$FB,61)*100</f>
        <v>59.919999999999995</v>
      </c>
      <c r="M60" s="49">
        <f>VLOOKUP($A60,'Data shares'!$C:$FB,62)</f>
        <v>1628900</v>
      </c>
      <c r="N60" s="49">
        <f>VLOOKUP($A60,'Data shares'!$C:$FB,63)</f>
        <v>1203600</v>
      </c>
      <c r="O60" s="140">
        <f>VLOOKUP($A60,'Data shares'!$C:$FB,65)*100</f>
        <v>35.339999999999996</v>
      </c>
    </row>
    <row r="61" spans="1:15" x14ac:dyDescent="0.25">
      <c r="A61" s="101" t="str">
        <f>'Data shares'!C56</f>
        <v>DIXON</v>
      </c>
      <c r="B61" s="50">
        <f>VLOOKUP($A61,'Data shares'!$C:$FB,7)</f>
        <v>16844</v>
      </c>
      <c r="C61" s="50">
        <f>VLOOKUP($A61,'Data shares'!$C:$FB,10)*100</f>
        <v>0.4</v>
      </c>
      <c r="D61" s="49">
        <f>VLOOKUP($A61,'Data shares'!$C:$FB,66)</f>
        <v>2872350</v>
      </c>
      <c r="E61" s="49">
        <f>VLOOKUP($A61,'Data shares'!$C:$FB,67)</f>
        <v>4622550</v>
      </c>
      <c r="F61" s="50">
        <f>VLOOKUP($A61,'Data shares'!$C:$FB,69)*100</f>
        <v>-37.86</v>
      </c>
      <c r="G61" s="49">
        <f>VLOOKUP($A61,'Data shares'!$C:$FB,42)</f>
        <v>370850</v>
      </c>
      <c r="H61" s="49">
        <f>VLOOKUP($A61,'Data shares'!$C:$FB,43)</f>
        <v>454150</v>
      </c>
      <c r="I61" s="50">
        <f>VLOOKUP($A61,'Data shares'!$C:$FB,45)*100</f>
        <v>-18.34</v>
      </c>
      <c r="J61" s="49">
        <f>VLOOKUP($A61,'Data shares'!$C:$FB,58)</f>
        <v>1617150</v>
      </c>
      <c r="K61" s="49">
        <f>VLOOKUP($A61,'Data shares'!$C:$FB,59)</f>
        <v>2720200</v>
      </c>
      <c r="L61" s="50">
        <f>VLOOKUP($A61,'Data shares'!$C:$FB,61)*100</f>
        <v>-40.550000000000004</v>
      </c>
      <c r="M61" s="49">
        <f>VLOOKUP($A61,'Data shares'!$C:$FB,62)</f>
        <v>884350</v>
      </c>
      <c r="N61" s="49">
        <f>VLOOKUP($A61,'Data shares'!$C:$FB,63)</f>
        <v>1448200</v>
      </c>
      <c r="O61" s="140">
        <f>VLOOKUP($A61,'Data shares'!$C:$FB,65)*100</f>
        <v>-38.93</v>
      </c>
    </row>
    <row r="62" spans="1:15" x14ac:dyDescent="0.25">
      <c r="A62" s="101" t="str">
        <f>'Data shares'!C57</f>
        <v>DLF</v>
      </c>
      <c r="B62" s="50">
        <f>VLOOKUP($A62,'Data shares'!$C:$FB,7)</f>
        <v>769.7</v>
      </c>
      <c r="C62" s="50">
        <f>VLOOKUP($A62,'Data shares'!$C:$FB,10)*100</f>
        <v>1.77</v>
      </c>
      <c r="D62" s="49">
        <f>VLOOKUP($A62,'Data shares'!$C:$FB,66)</f>
        <v>43119450</v>
      </c>
      <c r="E62" s="49">
        <f>VLOOKUP($A62,'Data shares'!$C:$FB,67)</f>
        <v>67719300</v>
      </c>
      <c r="F62" s="50">
        <f>VLOOKUP($A62,'Data shares'!$C:$FB,69)*100</f>
        <v>-36.33</v>
      </c>
      <c r="G62" s="49">
        <f>VLOOKUP($A62,'Data shares'!$C:$FB,42)</f>
        <v>6753450</v>
      </c>
      <c r="H62" s="49">
        <f>VLOOKUP($A62,'Data shares'!$C:$FB,43)</f>
        <v>9698700</v>
      </c>
      <c r="I62" s="50">
        <f>VLOOKUP($A62,'Data shares'!$C:$FB,45)*100</f>
        <v>-30.37</v>
      </c>
      <c r="J62" s="49">
        <f>VLOOKUP($A62,'Data shares'!$C:$FB,58)</f>
        <v>25748250</v>
      </c>
      <c r="K62" s="49">
        <f>VLOOKUP($A62,'Data shares'!$C:$FB,59)</f>
        <v>40008375</v>
      </c>
      <c r="L62" s="50">
        <f>VLOOKUP($A62,'Data shares'!$C:$FB,61)*100</f>
        <v>-35.64</v>
      </c>
      <c r="M62" s="49">
        <f>VLOOKUP($A62,'Data shares'!$C:$FB,62)</f>
        <v>10617750</v>
      </c>
      <c r="N62" s="49">
        <f>VLOOKUP($A62,'Data shares'!$C:$FB,63)</f>
        <v>18012225</v>
      </c>
      <c r="O62" s="140">
        <f>VLOOKUP($A62,'Data shares'!$C:$FB,65)*100</f>
        <v>-41.05</v>
      </c>
    </row>
    <row r="63" spans="1:15" x14ac:dyDescent="0.25">
      <c r="A63" s="101" t="str">
        <f>'Data shares'!C58</f>
        <v>DMART</v>
      </c>
      <c r="B63" s="50">
        <f>VLOOKUP($A63,'Data shares'!$C:$FB,7)</f>
        <v>4316.1000000000004</v>
      </c>
      <c r="C63" s="50">
        <f>VLOOKUP($A63,'Data shares'!$C:$FB,10)*100</f>
        <v>1.3299999999999998</v>
      </c>
      <c r="D63" s="49">
        <f>VLOOKUP($A63,'Data shares'!$C:$FB,66)</f>
        <v>7868850</v>
      </c>
      <c r="E63" s="49">
        <f>VLOOKUP($A63,'Data shares'!$C:$FB,67)</f>
        <v>5199600</v>
      </c>
      <c r="F63" s="50">
        <f>VLOOKUP($A63,'Data shares'!$C:$FB,69)*100</f>
        <v>51.339999999999996</v>
      </c>
      <c r="G63" s="49">
        <f>VLOOKUP($A63,'Data shares'!$C:$FB,42)</f>
        <v>1011150</v>
      </c>
      <c r="H63" s="49">
        <f>VLOOKUP($A63,'Data shares'!$C:$FB,43)</f>
        <v>694950</v>
      </c>
      <c r="I63" s="50">
        <f>VLOOKUP($A63,'Data shares'!$C:$FB,45)*100</f>
        <v>45.5</v>
      </c>
      <c r="J63" s="49">
        <f>VLOOKUP($A63,'Data shares'!$C:$FB,58)</f>
        <v>5097600</v>
      </c>
      <c r="K63" s="49">
        <f>VLOOKUP($A63,'Data shares'!$C:$FB,59)</f>
        <v>3366600</v>
      </c>
      <c r="L63" s="50">
        <f>VLOOKUP($A63,'Data shares'!$C:$FB,61)*100</f>
        <v>51.42</v>
      </c>
      <c r="M63" s="49">
        <f>VLOOKUP($A63,'Data shares'!$C:$FB,62)</f>
        <v>1760100</v>
      </c>
      <c r="N63" s="49">
        <f>VLOOKUP($A63,'Data shares'!$C:$FB,63)</f>
        <v>1138050</v>
      </c>
      <c r="O63" s="140">
        <f>VLOOKUP($A63,'Data shares'!$C:$FB,65)*100</f>
        <v>54.66</v>
      </c>
    </row>
    <row r="64" spans="1:15" x14ac:dyDescent="0.25">
      <c r="A64" s="101" t="str">
        <f>'Data shares'!C59</f>
        <v>DRREDDY</v>
      </c>
      <c r="B64" s="50">
        <f>VLOOKUP($A64,'Data shares'!$C:$FB,7)</f>
        <v>1240.2</v>
      </c>
      <c r="C64" s="50">
        <f>VLOOKUP($A64,'Data shares'!$C:$FB,10)*100</f>
        <v>0.63</v>
      </c>
      <c r="D64" s="49">
        <f>VLOOKUP($A64,'Data shares'!$C:$FB,66)</f>
        <v>5919375</v>
      </c>
      <c r="E64" s="49">
        <f>VLOOKUP($A64,'Data shares'!$C:$FB,67)</f>
        <v>7452500</v>
      </c>
      <c r="F64" s="50">
        <f>VLOOKUP($A64,'Data shares'!$C:$FB,69)*100</f>
        <v>-20.57</v>
      </c>
      <c r="G64" s="49">
        <f>VLOOKUP($A64,'Data shares'!$C:$FB,42)</f>
        <v>1757500</v>
      </c>
      <c r="H64" s="49">
        <f>VLOOKUP($A64,'Data shares'!$C:$FB,43)</f>
        <v>1681875</v>
      </c>
      <c r="I64" s="50">
        <f>VLOOKUP($A64,'Data shares'!$C:$FB,45)*100</f>
        <v>4.5</v>
      </c>
      <c r="J64" s="49">
        <f>VLOOKUP($A64,'Data shares'!$C:$FB,58)</f>
        <v>2903125</v>
      </c>
      <c r="K64" s="49">
        <f>VLOOKUP($A64,'Data shares'!$C:$FB,59)</f>
        <v>3730000</v>
      </c>
      <c r="L64" s="50">
        <f>VLOOKUP($A64,'Data shares'!$C:$FB,61)*100</f>
        <v>-22.17</v>
      </c>
      <c r="M64" s="49">
        <f>VLOOKUP($A64,'Data shares'!$C:$FB,62)</f>
        <v>1258750</v>
      </c>
      <c r="N64" s="49">
        <f>VLOOKUP($A64,'Data shares'!$C:$FB,63)</f>
        <v>2040625</v>
      </c>
      <c r="O64" s="140">
        <f>VLOOKUP($A64,'Data shares'!$C:$FB,65)*100</f>
        <v>-38.32</v>
      </c>
    </row>
    <row r="65" spans="1:15" x14ac:dyDescent="0.25">
      <c r="A65" s="101" t="str">
        <f>'Data shares'!C60</f>
        <v>EICHERMOT</v>
      </c>
      <c r="B65" s="50">
        <f>VLOOKUP($A65,'Data shares'!$C:$FB,7)</f>
        <v>6988</v>
      </c>
      <c r="C65" s="50">
        <f>VLOOKUP($A65,'Data shares'!$C:$FB,10)*100</f>
        <v>1.35</v>
      </c>
      <c r="D65" s="49">
        <f>VLOOKUP($A65,'Data shares'!$C:$FB,66)</f>
        <v>6445075</v>
      </c>
      <c r="E65" s="49">
        <f>VLOOKUP($A65,'Data shares'!$C:$FB,67)</f>
        <v>3407950</v>
      </c>
      <c r="F65" s="50">
        <f>VLOOKUP($A65,'Data shares'!$C:$FB,69)*100</f>
        <v>89.12</v>
      </c>
      <c r="G65" s="49">
        <f>VLOOKUP($A65,'Data shares'!$C:$FB,42)</f>
        <v>495775</v>
      </c>
      <c r="H65" s="49">
        <f>VLOOKUP($A65,'Data shares'!$C:$FB,43)</f>
        <v>404250</v>
      </c>
      <c r="I65" s="50">
        <f>VLOOKUP($A65,'Data shares'!$C:$FB,45)*100</f>
        <v>22.64</v>
      </c>
      <c r="J65" s="49">
        <f>VLOOKUP($A65,'Data shares'!$C:$FB,58)</f>
        <v>4350150</v>
      </c>
      <c r="K65" s="49">
        <f>VLOOKUP($A65,'Data shares'!$C:$FB,59)</f>
        <v>1983100</v>
      </c>
      <c r="L65" s="50">
        <f>VLOOKUP($A65,'Data shares'!$C:$FB,61)*100</f>
        <v>119.36</v>
      </c>
      <c r="M65" s="49">
        <f>VLOOKUP($A65,'Data shares'!$C:$FB,62)</f>
        <v>1599150</v>
      </c>
      <c r="N65" s="49">
        <f>VLOOKUP($A65,'Data shares'!$C:$FB,63)</f>
        <v>1020600</v>
      </c>
      <c r="O65" s="140">
        <f>VLOOKUP($A65,'Data shares'!$C:$FB,65)*100</f>
        <v>56.69</v>
      </c>
    </row>
    <row r="66" spans="1:15" x14ac:dyDescent="0.25">
      <c r="A66" s="101" t="str">
        <f>'Data shares'!C61</f>
        <v>ETERNAL</v>
      </c>
      <c r="B66" s="50">
        <f>VLOOKUP($A66,'Data shares'!$C:$FB,7)</f>
        <v>347.85</v>
      </c>
      <c r="C66" s="50">
        <f>VLOOKUP($A66,'Data shares'!$C:$FB,10)*100</f>
        <v>-1.83</v>
      </c>
      <c r="D66" s="49">
        <f>VLOOKUP($A66,'Data shares'!$C:$FB,66)</f>
        <v>1080478150</v>
      </c>
      <c r="E66" s="49">
        <f>VLOOKUP($A66,'Data shares'!$C:$FB,67)</f>
        <v>161374050</v>
      </c>
      <c r="F66" s="50">
        <f>VLOOKUP($A66,'Data shares'!$C:$FB,69)*100</f>
        <v>569.54999999999995</v>
      </c>
      <c r="G66" s="49">
        <f>VLOOKUP($A66,'Data shares'!$C:$FB,42)</f>
        <v>184501275</v>
      </c>
      <c r="H66" s="49">
        <f>VLOOKUP($A66,'Data shares'!$C:$FB,43)</f>
        <v>28704725</v>
      </c>
      <c r="I66" s="50">
        <f>VLOOKUP($A66,'Data shares'!$C:$FB,45)*100</f>
        <v>542.76</v>
      </c>
      <c r="J66" s="49">
        <f>VLOOKUP($A66,'Data shares'!$C:$FB,58)</f>
        <v>557163150</v>
      </c>
      <c r="K66" s="49">
        <f>VLOOKUP($A66,'Data shares'!$C:$FB,59)</f>
        <v>92069975</v>
      </c>
      <c r="L66" s="50">
        <f>VLOOKUP($A66,'Data shares'!$C:$FB,61)*100</f>
        <v>505.15</v>
      </c>
      <c r="M66" s="49">
        <f>VLOOKUP($A66,'Data shares'!$C:$FB,62)</f>
        <v>338813725</v>
      </c>
      <c r="N66" s="49">
        <f>VLOOKUP($A66,'Data shares'!$C:$FB,63)</f>
        <v>40599350</v>
      </c>
      <c r="O66" s="140">
        <f>VLOOKUP($A66,'Data shares'!$C:$FB,65)*100</f>
        <v>734.53</v>
      </c>
    </row>
    <row r="67" spans="1:15" x14ac:dyDescent="0.25">
      <c r="A67" s="101" t="str">
        <f>'Data shares'!C62</f>
        <v>EXIDEIND</v>
      </c>
      <c r="B67" s="50">
        <f>VLOOKUP($A67,'Data shares'!$C:$FB,7)</f>
        <v>397.85</v>
      </c>
      <c r="C67" s="50">
        <f>VLOOKUP($A67,'Data shares'!$C:$FB,10)*100</f>
        <v>1.8599999999999999</v>
      </c>
      <c r="D67" s="49">
        <f>VLOOKUP($A67,'Data shares'!$C:$FB,66)</f>
        <v>30839400</v>
      </c>
      <c r="E67" s="49">
        <f>VLOOKUP($A67,'Data shares'!$C:$FB,67)</f>
        <v>17427600</v>
      </c>
      <c r="F67" s="50">
        <f>VLOOKUP($A67,'Data shares'!$C:$FB,69)*100</f>
        <v>76.959999999999994</v>
      </c>
      <c r="G67" s="49">
        <f>VLOOKUP($A67,'Data shares'!$C:$FB,42)</f>
        <v>5522400</v>
      </c>
      <c r="H67" s="49">
        <f>VLOOKUP($A67,'Data shares'!$C:$FB,43)</f>
        <v>3186000</v>
      </c>
      <c r="I67" s="50">
        <f>VLOOKUP($A67,'Data shares'!$C:$FB,45)*100</f>
        <v>73.33</v>
      </c>
      <c r="J67" s="49">
        <f>VLOOKUP($A67,'Data shares'!$C:$FB,58)</f>
        <v>16581600</v>
      </c>
      <c r="K67" s="49">
        <f>VLOOKUP($A67,'Data shares'!$C:$FB,59)</f>
        <v>8703000</v>
      </c>
      <c r="L67" s="50">
        <f>VLOOKUP($A67,'Data shares'!$C:$FB,61)*100</f>
        <v>90.53</v>
      </c>
      <c r="M67" s="49">
        <f>VLOOKUP($A67,'Data shares'!$C:$FB,62)</f>
        <v>8735400</v>
      </c>
      <c r="N67" s="49">
        <f>VLOOKUP($A67,'Data shares'!$C:$FB,63)</f>
        <v>5538600</v>
      </c>
      <c r="O67" s="140">
        <f>VLOOKUP($A67,'Data shares'!$C:$FB,65)*100</f>
        <v>57.720000000000006</v>
      </c>
    </row>
    <row r="68" spans="1:15" x14ac:dyDescent="0.25">
      <c r="A68" s="101" t="str">
        <f>'Data shares'!C63</f>
        <v>FEDERALBNK</v>
      </c>
      <c r="B68" s="50">
        <f>VLOOKUP($A68,'Data shares'!$C:$FB,7)</f>
        <v>214.5</v>
      </c>
      <c r="C68" s="50">
        <f>VLOOKUP($A68,'Data shares'!$C:$FB,10)*100</f>
        <v>-0.85000000000000009</v>
      </c>
      <c r="D68" s="49">
        <f>VLOOKUP($A68,'Data shares'!$C:$FB,66)</f>
        <v>110465000</v>
      </c>
      <c r="E68" s="49">
        <f>VLOOKUP($A68,'Data shares'!$C:$FB,67)</f>
        <v>170645000</v>
      </c>
      <c r="F68" s="50">
        <f>VLOOKUP($A68,'Data shares'!$C:$FB,69)*100</f>
        <v>-35.270000000000003</v>
      </c>
      <c r="G68" s="49">
        <f>VLOOKUP($A68,'Data shares'!$C:$FB,42)</f>
        <v>25050000</v>
      </c>
      <c r="H68" s="49">
        <f>VLOOKUP($A68,'Data shares'!$C:$FB,43)</f>
        <v>29915000</v>
      </c>
      <c r="I68" s="50">
        <f>VLOOKUP($A68,'Data shares'!$C:$FB,45)*100</f>
        <v>-16.259999999999998</v>
      </c>
      <c r="J68" s="49">
        <f>VLOOKUP($A68,'Data shares'!$C:$FB,58)</f>
        <v>59060000</v>
      </c>
      <c r="K68" s="49">
        <f>VLOOKUP($A68,'Data shares'!$C:$FB,59)</f>
        <v>95585000</v>
      </c>
      <c r="L68" s="50">
        <f>VLOOKUP($A68,'Data shares'!$C:$FB,61)*100</f>
        <v>-38.21</v>
      </c>
      <c r="M68" s="49">
        <f>VLOOKUP($A68,'Data shares'!$C:$FB,62)</f>
        <v>26355000</v>
      </c>
      <c r="N68" s="49">
        <f>VLOOKUP($A68,'Data shares'!$C:$FB,63)</f>
        <v>45145000</v>
      </c>
      <c r="O68" s="140">
        <f>VLOOKUP($A68,'Data shares'!$C:$FB,65)*100</f>
        <v>-41.620000000000005</v>
      </c>
    </row>
    <row r="69" spans="1:15" x14ac:dyDescent="0.25">
      <c r="A69" s="101" t="str">
        <f>'Data shares'!C64</f>
        <v>FINNIFTY</v>
      </c>
      <c r="B69" s="50">
        <f>VLOOKUP($A69,'Data shares'!$C:$FB,7)</f>
        <v>27381.200000000001</v>
      </c>
      <c r="C69" s="50">
        <f>VLOOKUP($A69,'Data shares'!$C:$FB,10)*100</f>
        <v>1.1400000000000001</v>
      </c>
      <c r="D69" s="49">
        <f>VLOOKUP($A69,'Data shares'!$C:$FB,66)</f>
        <v>5787795</v>
      </c>
      <c r="E69" s="49">
        <f>VLOOKUP($A69,'Data shares'!$C:$FB,67)</f>
        <v>4773340</v>
      </c>
      <c r="F69" s="50">
        <f>VLOOKUP($A69,'Data shares'!$C:$FB,69)*100</f>
        <v>21.25</v>
      </c>
      <c r="G69" s="49">
        <f>VLOOKUP($A69,'Data shares'!$C:$FB,42)</f>
        <v>27105</v>
      </c>
      <c r="H69" s="49">
        <f>VLOOKUP($A69,'Data shares'!$C:$FB,43)</f>
        <v>36335</v>
      </c>
      <c r="I69" s="50">
        <f>VLOOKUP($A69,'Data shares'!$C:$FB,45)*100</f>
        <v>-25.4</v>
      </c>
      <c r="J69" s="49">
        <f>VLOOKUP($A69,'Data shares'!$C:$FB,58)</f>
        <v>3596905</v>
      </c>
      <c r="K69" s="49">
        <f>VLOOKUP($A69,'Data shares'!$C:$FB,59)</f>
        <v>2711800</v>
      </c>
      <c r="L69" s="50">
        <f>VLOOKUP($A69,'Data shares'!$C:$FB,61)*100</f>
        <v>32.64</v>
      </c>
      <c r="M69" s="49">
        <f>VLOOKUP($A69,'Data shares'!$C:$FB,62)</f>
        <v>2163785</v>
      </c>
      <c r="N69" s="49">
        <f>VLOOKUP($A69,'Data shares'!$C:$FB,63)</f>
        <v>2025205</v>
      </c>
      <c r="O69" s="140">
        <f>VLOOKUP($A69,'Data shares'!$C:$FB,65)*100</f>
        <v>6.84</v>
      </c>
    </row>
    <row r="70" spans="1:15" x14ac:dyDescent="0.25">
      <c r="A70" s="101" t="str">
        <f>'Data shares'!C65</f>
        <v>FORTIS</v>
      </c>
      <c r="B70" s="50">
        <f>VLOOKUP($A70,'Data shares'!$C:$FB,7)</f>
        <v>1095.25</v>
      </c>
      <c r="C70" s="50">
        <f>VLOOKUP($A70,'Data shares'!$C:$FB,10)*100</f>
        <v>0.70000000000000007</v>
      </c>
      <c r="D70" s="49">
        <f>VLOOKUP($A70,'Data shares'!$C:$FB,66)</f>
        <v>8194075</v>
      </c>
      <c r="E70" s="49">
        <f>VLOOKUP($A70,'Data shares'!$C:$FB,67)</f>
        <v>7634525</v>
      </c>
      <c r="F70" s="50">
        <f>VLOOKUP($A70,'Data shares'!$C:$FB,69)*100</f>
        <v>7.33</v>
      </c>
      <c r="G70" s="49">
        <f>VLOOKUP($A70,'Data shares'!$C:$FB,42)</f>
        <v>1687950</v>
      </c>
      <c r="H70" s="49">
        <f>VLOOKUP($A70,'Data shares'!$C:$FB,43)</f>
        <v>1471725</v>
      </c>
      <c r="I70" s="50">
        <f>VLOOKUP($A70,'Data shares'!$C:$FB,45)*100</f>
        <v>14.69</v>
      </c>
      <c r="J70" s="49">
        <f>VLOOKUP($A70,'Data shares'!$C:$FB,58)</f>
        <v>4375650</v>
      </c>
      <c r="K70" s="49">
        <f>VLOOKUP($A70,'Data shares'!$C:$FB,59)</f>
        <v>3879650</v>
      </c>
      <c r="L70" s="50">
        <f>VLOOKUP($A70,'Data shares'!$C:$FB,61)*100</f>
        <v>12.78</v>
      </c>
      <c r="M70" s="49">
        <f>VLOOKUP($A70,'Data shares'!$C:$FB,62)</f>
        <v>2130475</v>
      </c>
      <c r="N70" s="49">
        <f>VLOOKUP($A70,'Data shares'!$C:$FB,63)</f>
        <v>2283150</v>
      </c>
      <c r="O70" s="140">
        <f>VLOOKUP($A70,'Data shares'!$C:$FB,65)*100</f>
        <v>-6.69</v>
      </c>
    </row>
    <row r="71" spans="1:15" x14ac:dyDescent="0.25">
      <c r="A71" s="101" t="str">
        <f>'Data shares'!C66</f>
        <v>GAIL</v>
      </c>
      <c r="B71" s="50">
        <f>VLOOKUP($A71,'Data shares'!$C:$FB,7)</f>
        <v>179.17</v>
      </c>
      <c r="C71" s="50">
        <f>VLOOKUP($A71,'Data shares'!$C:$FB,10)*100</f>
        <v>1.01</v>
      </c>
      <c r="D71" s="49">
        <f>VLOOKUP($A71,'Data shares'!$C:$FB,66)</f>
        <v>74796750</v>
      </c>
      <c r="E71" s="49">
        <f>VLOOKUP($A71,'Data shares'!$C:$FB,67)</f>
        <v>68125050</v>
      </c>
      <c r="F71" s="50">
        <f>VLOOKUP($A71,'Data shares'!$C:$FB,69)*100</f>
        <v>9.7900000000000009</v>
      </c>
      <c r="G71" s="49">
        <f>VLOOKUP($A71,'Data shares'!$C:$FB,42)</f>
        <v>15564150</v>
      </c>
      <c r="H71" s="49">
        <f>VLOOKUP($A71,'Data shares'!$C:$FB,43)</f>
        <v>16260300</v>
      </c>
      <c r="I71" s="50">
        <f>VLOOKUP($A71,'Data shares'!$C:$FB,45)*100</f>
        <v>-4.2799999999999994</v>
      </c>
      <c r="J71" s="49">
        <f>VLOOKUP($A71,'Data shares'!$C:$FB,58)</f>
        <v>38187450</v>
      </c>
      <c r="K71" s="49">
        <f>VLOOKUP($A71,'Data shares'!$C:$FB,59)</f>
        <v>35191800</v>
      </c>
      <c r="L71" s="50">
        <f>VLOOKUP($A71,'Data shares'!$C:$FB,61)*100</f>
        <v>8.51</v>
      </c>
      <c r="M71" s="49">
        <f>VLOOKUP($A71,'Data shares'!$C:$FB,62)</f>
        <v>21045150</v>
      </c>
      <c r="N71" s="49">
        <f>VLOOKUP($A71,'Data shares'!$C:$FB,63)</f>
        <v>16672950</v>
      </c>
      <c r="O71" s="140">
        <f>VLOOKUP($A71,'Data shares'!$C:$FB,65)*100</f>
        <v>26.22</v>
      </c>
    </row>
    <row r="72" spans="1:15" x14ac:dyDescent="0.25">
      <c r="A72" s="101" t="str">
        <f>'Data shares'!C67</f>
        <v>GLENMARK</v>
      </c>
      <c r="B72" s="50">
        <f>VLOOKUP($A72,'Data shares'!$C:$FB,7)</f>
        <v>1864.4</v>
      </c>
      <c r="C72" s="50">
        <f>VLOOKUP($A72,'Data shares'!$C:$FB,10)*100</f>
        <v>-1.5699999999999998</v>
      </c>
      <c r="D72" s="49">
        <f>VLOOKUP($A72,'Data shares'!$C:$FB,66)</f>
        <v>4828875</v>
      </c>
      <c r="E72" s="49">
        <f>VLOOKUP($A72,'Data shares'!$C:$FB,67)</f>
        <v>3418875</v>
      </c>
      <c r="F72" s="50">
        <f>VLOOKUP($A72,'Data shares'!$C:$FB,69)*100</f>
        <v>41.24</v>
      </c>
      <c r="G72" s="49">
        <f>VLOOKUP($A72,'Data shares'!$C:$FB,42)</f>
        <v>1348125</v>
      </c>
      <c r="H72" s="49">
        <f>VLOOKUP($A72,'Data shares'!$C:$FB,43)</f>
        <v>645000</v>
      </c>
      <c r="I72" s="50">
        <f>VLOOKUP($A72,'Data shares'!$C:$FB,45)*100</f>
        <v>109.01</v>
      </c>
      <c r="J72" s="49">
        <f>VLOOKUP($A72,'Data shares'!$C:$FB,58)</f>
        <v>2406375</v>
      </c>
      <c r="K72" s="49">
        <f>VLOOKUP($A72,'Data shares'!$C:$FB,59)</f>
        <v>1887375</v>
      </c>
      <c r="L72" s="50">
        <f>VLOOKUP($A72,'Data shares'!$C:$FB,61)*100</f>
        <v>27.500000000000004</v>
      </c>
      <c r="M72" s="49">
        <f>VLOOKUP($A72,'Data shares'!$C:$FB,62)</f>
        <v>1074375</v>
      </c>
      <c r="N72" s="49">
        <f>VLOOKUP($A72,'Data shares'!$C:$FB,63)</f>
        <v>886500</v>
      </c>
      <c r="O72" s="140">
        <f>VLOOKUP($A72,'Data shares'!$C:$FB,65)*100</f>
        <v>21.19</v>
      </c>
    </row>
    <row r="73" spans="1:15" x14ac:dyDescent="0.25">
      <c r="A73" s="101" t="str">
        <f>'Data shares'!C68</f>
        <v>GMRAIRPORT</v>
      </c>
      <c r="B73" s="50">
        <f>VLOOKUP($A73,'Data shares'!$C:$FB,7)</f>
        <v>90.87</v>
      </c>
      <c r="C73" s="50">
        <f>VLOOKUP($A73,'Data shares'!$C:$FB,10)*100</f>
        <v>0.79</v>
      </c>
      <c r="D73" s="49">
        <f>VLOOKUP($A73,'Data shares'!$C:$FB,66)</f>
        <v>92676825</v>
      </c>
      <c r="E73" s="49">
        <f>VLOOKUP($A73,'Data shares'!$C:$FB,67)</f>
        <v>61686900</v>
      </c>
      <c r="F73" s="50">
        <f>VLOOKUP($A73,'Data shares'!$C:$FB,69)*100</f>
        <v>50.239999999999995</v>
      </c>
      <c r="G73" s="49">
        <f>VLOOKUP($A73,'Data shares'!$C:$FB,42)</f>
        <v>20318175</v>
      </c>
      <c r="H73" s="49">
        <f>VLOOKUP($A73,'Data shares'!$C:$FB,43)</f>
        <v>12603825</v>
      </c>
      <c r="I73" s="50">
        <f>VLOOKUP($A73,'Data shares'!$C:$FB,45)*100</f>
        <v>61.21</v>
      </c>
      <c r="J73" s="49">
        <f>VLOOKUP($A73,'Data shares'!$C:$FB,58)</f>
        <v>47151000</v>
      </c>
      <c r="K73" s="49">
        <f>VLOOKUP($A73,'Data shares'!$C:$FB,59)</f>
        <v>35460900</v>
      </c>
      <c r="L73" s="50">
        <f>VLOOKUP($A73,'Data shares'!$C:$FB,61)*100</f>
        <v>32.97</v>
      </c>
      <c r="M73" s="49">
        <f>VLOOKUP($A73,'Data shares'!$C:$FB,62)</f>
        <v>25207650</v>
      </c>
      <c r="N73" s="49">
        <f>VLOOKUP($A73,'Data shares'!$C:$FB,63)</f>
        <v>13622175</v>
      </c>
      <c r="O73" s="140">
        <f>VLOOKUP($A73,'Data shares'!$C:$FB,65)*100</f>
        <v>85.05</v>
      </c>
    </row>
    <row r="74" spans="1:15" x14ac:dyDescent="0.25">
      <c r="A74" s="101" t="str">
        <f>'Data shares'!C69</f>
        <v>GODREJCP</v>
      </c>
      <c r="B74" s="50">
        <f>VLOOKUP($A74,'Data shares'!$C:$FB,7)</f>
        <v>1120.0999999999999</v>
      </c>
      <c r="C74" s="50">
        <f>VLOOKUP($A74,'Data shares'!$C:$FB,10)*100</f>
        <v>0.86</v>
      </c>
      <c r="D74" s="49">
        <f>VLOOKUP($A74,'Data shares'!$C:$FB,66)</f>
        <v>7805500</v>
      </c>
      <c r="E74" s="49">
        <f>VLOOKUP($A74,'Data shares'!$C:$FB,67)</f>
        <v>4139500</v>
      </c>
      <c r="F74" s="50">
        <f>VLOOKUP($A74,'Data shares'!$C:$FB,69)*100</f>
        <v>88.56</v>
      </c>
      <c r="G74" s="49">
        <f>VLOOKUP($A74,'Data shares'!$C:$FB,42)</f>
        <v>1723000</v>
      </c>
      <c r="H74" s="49">
        <f>VLOOKUP($A74,'Data shares'!$C:$FB,43)</f>
        <v>1130000</v>
      </c>
      <c r="I74" s="50">
        <f>VLOOKUP($A74,'Data shares'!$C:$FB,45)*100</f>
        <v>52.480000000000004</v>
      </c>
      <c r="J74" s="49">
        <f>VLOOKUP($A74,'Data shares'!$C:$FB,58)</f>
        <v>5049000</v>
      </c>
      <c r="K74" s="49">
        <f>VLOOKUP($A74,'Data shares'!$C:$FB,59)</f>
        <v>2215500</v>
      </c>
      <c r="L74" s="50">
        <f>VLOOKUP($A74,'Data shares'!$C:$FB,61)*100</f>
        <v>127.88999999999999</v>
      </c>
      <c r="M74" s="49">
        <f>VLOOKUP($A74,'Data shares'!$C:$FB,62)</f>
        <v>1033500</v>
      </c>
      <c r="N74" s="49">
        <f>VLOOKUP($A74,'Data shares'!$C:$FB,63)</f>
        <v>794000</v>
      </c>
      <c r="O74" s="140">
        <f>VLOOKUP($A74,'Data shares'!$C:$FB,65)*100</f>
        <v>30.159999999999997</v>
      </c>
    </row>
    <row r="75" spans="1:15" x14ac:dyDescent="0.25">
      <c r="A75" s="101" t="str">
        <f>'Data shares'!C70</f>
        <v>GODREJPROP</v>
      </c>
      <c r="B75" s="50">
        <f>VLOOKUP($A75,'Data shares'!$C:$FB,7)</f>
        <v>2205.3000000000002</v>
      </c>
      <c r="C75" s="50">
        <f>VLOOKUP($A75,'Data shares'!$C:$FB,10)*100</f>
        <v>3.26</v>
      </c>
      <c r="D75" s="49">
        <f>VLOOKUP($A75,'Data shares'!$C:$FB,66)</f>
        <v>17374225</v>
      </c>
      <c r="E75" s="49">
        <f>VLOOKUP($A75,'Data shares'!$C:$FB,67)</f>
        <v>17378350</v>
      </c>
      <c r="F75" s="50">
        <f>VLOOKUP($A75,'Data shares'!$C:$FB,69)*100</f>
        <v>-0.02</v>
      </c>
      <c r="G75" s="49">
        <f>VLOOKUP($A75,'Data shares'!$C:$FB,42)</f>
        <v>2600400</v>
      </c>
      <c r="H75" s="49">
        <f>VLOOKUP($A75,'Data shares'!$C:$FB,43)</f>
        <v>2314400</v>
      </c>
      <c r="I75" s="50">
        <f>VLOOKUP($A75,'Data shares'!$C:$FB,45)*100</f>
        <v>12.36</v>
      </c>
      <c r="J75" s="49">
        <f>VLOOKUP($A75,'Data shares'!$C:$FB,58)</f>
        <v>10064450</v>
      </c>
      <c r="K75" s="49">
        <f>VLOOKUP($A75,'Data shares'!$C:$FB,59)</f>
        <v>10949675</v>
      </c>
      <c r="L75" s="50">
        <f>VLOOKUP($A75,'Data shares'!$C:$FB,61)*100</f>
        <v>-8.08</v>
      </c>
      <c r="M75" s="49">
        <f>VLOOKUP($A75,'Data shares'!$C:$FB,62)</f>
        <v>4709375</v>
      </c>
      <c r="N75" s="49">
        <f>VLOOKUP($A75,'Data shares'!$C:$FB,63)</f>
        <v>4114275</v>
      </c>
      <c r="O75" s="140">
        <f>VLOOKUP($A75,'Data shares'!$C:$FB,65)*100</f>
        <v>14.46</v>
      </c>
    </row>
    <row r="76" spans="1:15" x14ac:dyDescent="0.25">
      <c r="A76" s="101" t="str">
        <f>'Data shares'!C71</f>
        <v>GRASIM</v>
      </c>
      <c r="B76" s="50">
        <f>VLOOKUP($A76,'Data shares'!$C:$FB,7)</f>
        <v>2859.8</v>
      </c>
      <c r="C76" s="50">
        <f>VLOOKUP($A76,'Data shares'!$C:$FB,10)*100</f>
        <v>1.53</v>
      </c>
      <c r="D76" s="49">
        <f>VLOOKUP($A76,'Data shares'!$C:$FB,66)</f>
        <v>6985000</v>
      </c>
      <c r="E76" s="49">
        <f>VLOOKUP($A76,'Data shares'!$C:$FB,67)</f>
        <v>3180000</v>
      </c>
      <c r="F76" s="50">
        <f>VLOOKUP($A76,'Data shares'!$C:$FB,69)*100</f>
        <v>119.64999999999999</v>
      </c>
      <c r="G76" s="49">
        <f>VLOOKUP($A76,'Data shares'!$C:$FB,42)</f>
        <v>1486750</v>
      </c>
      <c r="H76" s="49">
        <f>VLOOKUP($A76,'Data shares'!$C:$FB,43)</f>
        <v>778000</v>
      </c>
      <c r="I76" s="50">
        <f>VLOOKUP($A76,'Data shares'!$C:$FB,45)*100</f>
        <v>91.100000000000009</v>
      </c>
      <c r="J76" s="49">
        <f>VLOOKUP($A76,'Data shares'!$C:$FB,58)</f>
        <v>3747000</v>
      </c>
      <c r="K76" s="49">
        <f>VLOOKUP($A76,'Data shares'!$C:$FB,59)</f>
        <v>1662500</v>
      </c>
      <c r="L76" s="50">
        <f>VLOOKUP($A76,'Data shares'!$C:$FB,61)*100</f>
        <v>125.38</v>
      </c>
      <c r="M76" s="49">
        <f>VLOOKUP($A76,'Data shares'!$C:$FB,62)</f>
        <v>1751250</v>
      </c>
      <c r="N76" s="49">
        <f>VLOOKUP($A76,'Data shares'!$C:$FB,63)</f>
        <v>739500</v>
      </c>
      <c r="O76" s="140">
        <f>VLOOKUP($A76,'Data shares'!$C:$FB,65)*100</f>
        <v>136.82000000000002</v>
      </c>
    </row>
    <row r="77" spans="1:15" x14ac:dyDescent="0.25">
      <c r="A77" s="101" t="str">
        <f>'Data shares'!C72</f>
        <v>HAL</v>
      </c>
      <c r="B77" s="50">
        <f>VLOOKUP($A77,'Data shares'!$C:$FB,7)</f>
        <v>4861.3</v>
      </c>
      <c r="C77" s="50">
        <f>VLOOKUP($A77,'Data shares'!$C:$FB,10)*100</f>
        <v>0.33</v>
      </c>
      <c r="D77" s="49">
        <f>VLOOKUP($A77,'Data shares'!$C:$FB,66)</f>
        <v>7920600</v>
      </c>
      <c r="E77" s="49">
        <f>VLOOKUP($A77,'Data shares'!$C:$FB,67)</f>
        <v>14111850</v>
      </c>
      <c r="F77" s="50">
        <f>VLOOKUP($A77,'Data shares'!$C:$FB,69)*100</f>
        <v>-43.87</v>
      </c>
      <c r="G77" s="49">
        <f>VLOOKUP($A77,'Data shares'!$C:$FB,42)</f>
        <v>1194150</v>
      </c>
      <c r="H77" s="49">
        <f>VLOOKUP($A77,'Data shares'!$C:$FB,43)</f>
        <v>1861650</v>
      </c>
      <c r="I77" s="50">
        <f>VLOOKUP($A77,'Data shares'!$C:$FB,45)*100</f>
        <v>-35.86</v>
      </c>
      <c r="J77" s="49">
        <f>VLOOKUP($A77,'Data shares'!$C:$FB,58)</f>
        <v>4711350</v>
      </c>
      <c r="K77" s="49">
        <f>VLOOKUP($A77,'Data shares'!$C:$FB,59)</f>
        <v>8545200</v>
      </c>
      <c r="L77" s="50">
        <f>VLOOKUP($A77,'Data shares'!$C:$FB,61)*100</f>
        <v>-44.87</v>
      </c>
      <c r="M77" s="49">
        <f>VLOOKUP($A77,'Data shares'!$C:$FB,62)</f>
        <v>2015100</v>
      </c>
      <c r="N77" s="49">
        <f>VLOOKUP($A77,'Data shares'!$C:$FB,63)</f>
        <v>3705000</v>
      </c>
      <c r="O77" s="140">
        <f>VLOOKUP($A77,'Data shares'!$C:$FB,65)*100</f>
        <v>-45.61</v>
      </c>
    </row>
    <row r="78" spans="1:15" x14ac:dyDescent="0.25">
      <c r="A78" s="101" t="str">
        <f>'Data shares'!C73</f>
        <v>HAVELLS</v>
      </c>
      <c r="B78" s="50">
        <f>VLOOKUP($A78,'Data shares'!$C:$FB,7)</f>
        <v>1475.8</v>
      </c>
      <c r="C78" s="50">
        <f>VLOOKUP($A78,'Data shares'!$C:$FB,10)*100</f>
        <v>0.79</v>
      </c>
      <c r="D78" s="49">
        <f>VLOOKUP($A78,'Data shares'!$C:$FB,66)</f>
        <v>8177000</v>
      </c>
      <c r="E78" s="49">
        <f>VLOOKUP($A78,'Data shares'!$C:$FB,67)</f>
        <v>5300000</v>
      </c>
      <c r="F78" s="50">
        <f>VLOOKUP($A78,'Data shares'!$C:$FB,69)*100</f>
        <v>54.279999999999994</v>
      </c>
      <c r="G78" s="49">
        <f>VLOOKUP($A78,'Data shares'!$C:$FB,42)</f>
        <v>2280500</v>
      </c>
      <c r="H78" s="49">
        <f>VLOOKUP($A78,'Data shares'!$C:$FB,43)</f>
        <v>1304500</v>
      </c>
      <c r="I78" s="50">
        <f>VLOOKUP($A78,'Data shares'!$C:$FB,45)*100</f>
        <v>74.819999999999993</v>
      </c>
      <c r="J78" s="49">
        <f>VLOOKUP($A78,'Data shares'!$C:$FB,58)</f>
        <v>4408500</v>
      </c>
      <c r="K78" s="49">
        <f>VLOOKUP($A78,'Data shares'!$C:$FB,59)</f>
        <v>2871000</v>
      </c>
      <c r="L78" s="50">
        <f>VLOOKUP($A78,'Data shares'!$C:$FB,61)*100</f>
        <v>53.55</v>
      </c>
      <c r="M78" s="49">
        <f>VLOOKUP($A78,'Data shares'!$C:$FB,62)</f>
        <v>1488000</v>
      </c>
      <c r="N78" s="49">
        <f>VLOOKUP($A78,'Data shares'!$C:$FB,63)</f>
        <v>1124500</v>
      </c>
      <c r="O78" s="140">
        <f>VLOOKUP($A78,'Data shares'!$C:$FB,65)*100</f>
        <v>32.33</v>
      </c>
    </row>
    <row r="79" spans="1:15" x14ac:dyDescent="0.25">
      <c r="A79" s="101" t="str">
        <f>'Data shares'!C74</f>
        <v>HCLTECH</v>
      </c>
      <c r="B79" s="50">
        <f>VLOOKUP($A79,'Data shares'!$C:$FB,7)</f>
        <v>1515</v>
      </c>
      <c r="C79" s="50">
        <f>VLOOKUP($A79,'Data shares'!$C:$FB,10)*100</f>
        <v>1.29</v>
      </c>
      <c r="D79" s="49">
        <f>VLOOKUP($A79,'Data shares'!$C:$FB,66)</f>
        <v>28423500</v>
      </c>
      <c r="E79" s="49">
        <f>VLOOKUP($A79,'Data shares'!$C:$FB,67)</f>
        <v>34682200</v>
      </c>
      <c r="F79" s="50">
        <f>VLOOKUP($A79,'Data shares'!$C:$FB,69)*100</f>
        <v>-18.05</v>
      </c>
      <c r="G79" s="49">
        <f>VLOOKUP($A79,'Data shares'!$C:$FB,42)</f>
        <v>3516450</v>
      </c>
      <c r="H79" s="49">
        <f>VLOOKUP($A79,'Data shares'!$C:$FB,43)</f>
        <v>3318700</v>
      </c>
      <c r="I79" s="50">
        <f>VLOOKUP($A79,'Data shares'!$C:$FB,45)*100</f>
        <v>5.96</v>
      </c>
      <c r="J79" s="49">
        <f>VLOOKUP($A79,'Data shares'!$C:$FB,58)</f>
        <v>15902950</v>
      </c>
      <c r="K79" s="49">
        <f>VLOOKUP($A79,'Data shares'!$C:$FB,59)</f>
        <v>20479900</v>
      </c>
      <c r="L79" s="50">
        <f>VLOOKUP($A79,'Data shares'!$C:$FB,61)*100</f>
        <v>-22.35</v>
      </c>
      <c r="M79" s="49">
        <f>VLOOKUP($A79,'Data shares'!$C:$FB,62)</f>
        <v>9004100</v>
      </c>
      <c r="N79" s="49">
        <f>VLOOKUP($A79,'Data shares'!$C:$FB,63)</f>
        <v>10883600</v>
      </c>
      <c r="O79" s="140">
        <f>VLOOKUP($A79,'Data shares'!$C:$FB,65)*100</f>
        <v>-17.27</v>
      </c>
    </row>
    <row r="80" spans="1:15" x14ac:dyDescent="0.25">
      <c r="A80" s="101" t="str">
        <f>'Data shares'!C75</f>
        <v>HDFCAMC</v>
      </c>
      <c r="B80" s="50">
        <f>VLOOKUP($A80,'Data shares'!$C:$FB,7)</f>
        <v>5803.5</v>
      </c>
      <c r="C80" s="50">
        <f>VLOOKUP($A80,'Data shares'!$C:$FB,10)*100</f>
        <v>0.69</v>
      </c>
      <c r="D80" s="49">
        <f>VLOOKUP($A80,'Data shares'!$C:$FB,66)</f>
        <v>45212700</v>
      </c>
      <c r="E80" s="49">
        <f>VLOOKUP($A80,'Data shares'!$C:$FB,67)</f>
        <v>23756550</v>
      </c>
      <c r="F80" s="50">
        <f>VLOOKUP($A80,'Data shares'!$C:$FB,69)*100</f>
        <v>90.32</v>
      </c>
      <c r="G80" s="49">
        <f>VLOOKUP($A80,'Data shares'!$C:$FB,42)</f>
        <v>2429850</v>
      </c>
      <c r="H80" s="49">
        <f>VLOOKUP($A80,'Data shares'!$C:$FB,43)</f>
        <v>2214150</v>
      </c>
      <c r="I80" s="50">
        <f>VLOOKUP($A80,'Data shares'!$C:$FB,45)*100</f>
        <v>9.74</v>
      </c>
      <c r="J80" s="49">
        <f>VLOOKUP($A80,'Data shares'!$C:$FB,58)</f>
        <v>30459000</v>
      </c>
      <c r="K80" s="49">
        <f>VLOOKUP($A80,'Data shares'!$C:$FB,59)</f>
        <v>16514850</v>
      </c>
      <c r="L80" s="50">
        <f>VLOOKUP($A80,'Data shares'!$C:$FB,61)*100</f>
        <v>84.43</v>
      </c>
      <c r="M80" s="49">
        <f>VLOOKUP($A80,'Data shares'!$C:$FB,62)</f>
        <v>12323850</v>
      </c>
      <c r="N80" s="49">
        <f>VLOOKUP($A80,'Data shares'!$C:$FB,63)</f>
        <v>5027550</v>
      </c>
      <c r="O80" s="140">
        <f>VLOOKUP($A80,'Data shares'!$C:$FB,65)*100</f>
        <v>145.13</v>
      </c>
    </row>
    <row r="81" spans="1:15" x14ac:dyDescent="0.25">
      <c r="A81" s="101" t="str">
        <f>'Data shares'!C76</f>
        <v>HDFCBANK</v>
      </c>
      <c r="B81" s="50">
        <f>VLOOKUP($A81,'Data shares'!$C:$FB,7)</f>
        <v>994.35</v>
      </c>
      <c r="C81" s="50">
        <f>VLOOKUP($A81,'Data shares'!$C:$FB,10)*100</f>
        <v>1.6500000000000001</v>
      </c>
      <c r="D81" s="49">
        <f>VLOOKUP($A81,'Data shares'!$C:$FB,66)</f>
        <v>125464900</v>
      </c>
      <c r="E81" s="49">
        <f>VLOOKUP($A81,'Data shares'!$C:$FB,67)</f>
        <v>98092500</v>
      </c>
      <c r="F81" s="50">
        <f>VLOOKUP($A81,'Data shares'!$C:$FB,69)*100</f>
        <v>27.900000000000002</v>
      </c>
      <c r="G81" s="49">
        <f>VLOOKUP($A81,'Data shares'!$C:$FB,42)</f>
        <v>31179500</v>
      </c>
      <c r="H81" s="49">
        <f>VLOOKUP($A81,'Data shares'!$C:$FB,43)</f>
        <v>20365400</v>
      </c>
      <c r="I81" s="50">
        <f>VLOOKUP($A81,'Data shares'!$C:$FB,45)*100</f>
        <v>53.1</v>
      </c>
      <c r="J81" s="49">
        <f>VLOOKUP($A81,'Data shares'!$C:$FB,58)</f>
        <v>57921600</v>
      </c>
      <c r="K81" s="49">
        <f>VLOOKUP($A81,'Data shares'!$C:$FB,59)</f>
        <v>49942200</v>
      </c>
      <c r="L81" s="50">
        <f>VLOOKUP($A81,'Data shares'!$C:$FB,61)*100</f>
        <v>15.98</v>
      </c>
      <c r="M81" s="49">
        <f>VLOOKUP($A81,'Data shares'!$C:$FB,62)</f>
        <v>36363800</v>
      </c>
      <c r="N81" s="49">
        <f>VLOOKUP($A81,'Data shares'!$C:$FB,63)</f>
        <v>27784900</v>
      </c>
      <c r="O81" s="140">
        <f>VLOOKUP($A81,'Data shares'!$C:$FB,65)*100</f>
        <v>30.880000000000003</v>
      </c>
    </row>
    <row r="82" spans="1:15" x14ac:dyDescent="0.25">
      <c r="A82" s="101" t="str">
        <f>'Data shares'!C77</f>
        <v>HDFCLIFE</v>
      </c>
      <c r="B82" s="50">
        <f>VLOOKUP($A82,'Data shares'!$C:$FB,7)</f>
        <v>742.85</v>
      </c>
      <c r="C82" s="50">
        <f>VLOOKUP($A82,'Data shares'!$C:$FB,10)*100</f>
        <v>-2.4</v>
      </c>
      <c r="D82" s="49">
        <f>VLOOKUP($A82,'Data shares'!$C:$FB,66)</f>
        <v>102547500</v>
      </c>
      <c r="E82" s="49">
        <f>VLOOKUP($A82,'Data shares'!$C:$FB,67)</f>
        <v>50065400</v>
      </c>
      <c r="F82" s="50">
        <f>VLOOKUP($A82,'Data shares'!$C:$FB,69)*100</f>
        <v>104.83</v>
      </c>
      <c r="G82" s="49">
        <f>VLOOKUP($A82,'Data shares'!$C:$FB,42)</f>
        <v>13382600</v>
      </c>
      <c r="H82" s="49">
        <f>VLOOKUP($A82,'Data shares'!$C:$FB,43)</f>
        <v>5607800</v>
      </c>
      <c r="I82" s="50">
        <f>VLOOKUP($A82,'Data shares'!$C:$FB,45)*100</f>
        <v>138.64000000000001</v>
      </c>
      <c r="J82" s="49">
        <f>VLOOKUP($A82,'Data shares'!$C:$FB,58)</f>
        <v>62363400</v>
      </c>
      <c r="K82" s="49">
        <f>VLOOKUP($A82,'Data shares'!$C:$FB,59)</f>
        <v>31906600</v>
      </c>
      <c r="L82" s="50">
        <f>VLOOKUP($A82,'Data shares'!$C:$FB,61)*100</f>
        <v>95.46</v>
      </c>
      <c r="M82" s="49">
        <f>VLOOKUP($A82,'Data shares'!$C:$FB,62)</f>
        <v>26801500</v>
      </c>
      <c r="N82" s="49">
        <f>VLOOKUP($A82,'Data shares'!$C:$FB,63)</f>
        <v>12551000</v>
      </c>
      <c r="O82" s="140">
        <f>VLOOKUP($A82,'Data shares'!$C:$FB,65)*100</f>
        <v>113.53999999999999</v>
      </c>
    </row>
    <row r="83" spans="1:15" x14ac:dyDescent="0.25">
      <c r="A83" s="101" t="str">
        <f>'Data shares'!C78</f>
        <v>HEROMOTOCO</v>
      </c>
      <c r="B83" s="50">
        <f>VLOOKUP($A83,'Data shares'!$C:$FB,7)</f>
        <v>5579.5</v>
      </c>
      <c r="C83" s="50">
        <f>VLOOKUP($A83,'Data shares'!$C:$FB,10)*100</f>
        <v>0.76</v>
      </c>
      <c r="D83" s="49">
        <f>VLOOKUP($A83,'Data shares'!$C:$FB,66)</f>
        <v>5539500</v>
      </c>
      <c r="E83" s="49">
        <f>VLOOKUP($A83,'Data shares'!$C:$FB,67)</f>
        <v>10078800</v>
      </c>
      <c r="F83" s="50">
        <f>VLOOKUP($A83,'Data shares'!$C:$FB,69)*100</f>
        <v>-45.04</v>
      </c>
      <c r="G83" s="49">
        <f>VLOOKUP($A83,'Data shares'!$C:$FB,42)</f>
        <v>763350</v>
      </c>
      <c r="H83" s="49">
        <f>VLOOKUP($A83,'Data shares'!$C:$FB,43)</f>
        <v>1096200</v>
      </c>
      <c r="I83" s="50">
        <f>VLOOKUP($A83,'Data shares'!$C:$FB,45)*100</f>
        <v>-30.36</v>
      </c>
      <c r="J83" s="49">
        <f>VLOOKUP($A83,'Data shares'!$C:$FB,58)</f>
        <v>3065100</v>
      </c>
      <c r="K83" s="49">
        <f>VLOOKUP($A83,'Data shares'!$C:$FB,59)</f>
        <v>5423250</v>
      </c>
      <c r="L83" s="50">
        <f>VLOOKUP($A83,'Data shares'!$C:$FB,61)*100</f>
        <v>-43.480000000000004</v>
      </c>
      <c r="M83" s="49">
        <f>VLOOKUP($A83,'Data shares'!$C:$FB,62)</f>
        <v>1711050</v>
      </c>
      <c r="N83" s="49">
        <f>VLOOKUP($A83,'Data shares'!$C:$FB,63)</f>
        <v>3559350</v>
      </c>
      <c r="O83" s="140">
        <f>VLOOKUP($A83,'Data shares'!$C:$FB,65)*100</f>
        <v>-51.93</v>
      </c>
    </row>
    <row r="84" spans="1:15" x14ac:dyDescent="0.25">
      <c r="A84" s="101" t="str">
        <f>'Data shares'!C79</f>
        <v>HFCL</v>
      </c>
      <c r="B84" s="50">
        <f>VLOOKUP($A84,'Data shares'!$C:$FB,7)</f>
        <v>77.319999999999993</v>
      </c>
      <c r="C84" s="50">
        <f>VLOOKUP($A84,'Data shares'!$C:$FB,10)*100</f>
        <v>0.12</v>
      </c>
      <c r="D84" s="49">
        <f>VLOOKUP($A84,'Data shares'!$C:$FB,66)</f>
        <v>65699700</v>
      </c>
      <c r="E84" s="49">
        <f>VLOOKUP($A84,'Data shares'!$C:$FB,67)</f>
        <v>77354850</v>
      </c>
      <c r="F84" s="50">
        <f>VLOOKUP($A84,'Data shares'!$C:$FB,69)*100</f>
        <v>-15.07</v>
      </c>
      <c r="G84" s="49">
        <f>VLOOKUP($A84,'Data shares'!$C:$FB,42)</f>
        <v>25864500</v>
      </c>
      <c r="H84" s="49">
        <f>VLOOKUP($A84,'Data shares'!$C:$FB,43)</f>
        <v>30366600</v>
      </c>
      <c r="I84" s="50">
        <f>VLOOKUP($A84,'Data shares'!$C:$FB,45)*100</f>
        <v>-14.829999999999998</v>
      </c>
      <c r="J84" s="49">
        <f>VLOOKUP($A84,'Data shares'!$C:$FB,58)</f>
        <v>27683400</v>
      </c>
      <c r="K84" s="49">
        <f>VLOOKUP($A84,'Data shares'!$C:$FB,59)</f>
        <v>35784600</v>
      </c>
      <c r="L84" s="50">
        <f>VLOOKUP($A84,'Data shares'!$C:$FB,61)*100</f>
        <v>-22.64</v>
      </c>
      <c r="M84" s="49">
        <f>VLOOKUP($A84,'Data shares'!$C:$FB,62)</f>
        <v>12151800</v>
      </c>
      <c r="N84" s="49">
        <f>VLOOKUP($A84,'Data shares'!$C:$FB,63)</f>
        <v>11203650</v>
      </c>
      <c r="O84" s="140">
        <f>VLOOKUP($A84,'Data shares'!$C:$FB,65)*100</f>
        <v>8.4599999999999991</v>
      </c>
    </row>
    <row r="85" spans="1:15" x14ac:dyDescent="0.25">
      <c r="A85" s="101" t="str">
        <f>'Data shares'!C80</f>
        <v>HINDALCO</v>
      </c>
      <c r="B85" s="50">
        <f>VLOOKUP($A85,'Data shares'!$C:$FB,7)</f>
        <v>780.1</v>
      </c>
      <c r="C85" s="50">
        <f>VLOOKUP($A85,'Data shares'!$C:$FB,10)*100</f>
        <v>2.0699999999999998</v>
      </c>
      <c r="D85" s="49">
        <f>VLOOKUP($A85,'Data shares'!$C:$FB,66)</f>
        <v>52494400</v>
      </c>
      <c r="E85" s="49">
        <f>VLOOKUP($A85,'Data shares'!$C:$FB,67)</f>
        <v>32393200</v>
      </c>
      <c r="F85" s="50">
        <f>VLOOKUP($A85,'Data shares'!$C:$FB,69)*100</f>
        <v>62.050000000000004</v>
      </c>
      <c r="G85" s="49">
        <f>VLOOKUP($A85,'Data shares'!$C:$FB,42)</f>
        <v>9520000</v>
      </c>
      <c r="H85" s="49">
        <f>VLOOKUP($A85,'Data shares'!$C:$FB,43)</f>
        <v>7544600</v>
      </c>
      <c r="I85" s="50">
        <f>VLOOKUP($A85,'Data shares'!$C:$FB,45)*100</f>
        <v>26.179999999999996</v>
      </c>
      <c r="J85" s="49">
        <f>VLOOKUP($A85,'Data shares'!$C:$FB,58)</f>
        <v>27071800</v>
      </c>
      <c r="K85" s="49">
        <f>VLOOKUP($A85,'Data shares'!$C:$FB,59)</f>
        <v>15776600</v>
      </c>
      <c r="L85" s="50">
        <f>VLOOKUP($A85,'Data shares'!$C:$FB,61)*100</f>
        <v>71.59</v>
      </c>
      <c r="M85" s="49">
        <f>VLOOKUP($A85,'Data shares'!$C:$FB,62)</f>
        <v>15902600</v>
      </c>
      <c r="N85" s="49">
        <f>VLOOKUP($A85,'Data shares'!$C:$FB,63)</f>
        <v>9072000</v>
      </c>
      <c r="O85" s="140">
        <f>VLOOKUP($A85,'Data shares'!$C:$FB,65)*100</f>
        <v>75.290000000000006</v>
      </c>
    </row>
    <row r="86" spans="1:15" x14ac:dyDescent="0.25">
      <c r="A86" s="101" t="str">
        <f>'Data shares'!C81</f>
        <v>HINDPETRO</v>
      </c>
      <c r="B86" s="50">
        <f>VLOOKUP($A86,'Data shares'!$C:$FB,7)</f>
        <v>451.95</v>
      </c>
      <c r="C86" s="50">
        <f>VLOOKUP($A86,'Data shares'!$C:$FB,10)*100</f>
        <v>0.74</v>
      </c>
      <c r="D86" s="49">
        <f>VLOOKUP($A86,'Data shares'!$C:$FB,66)</f>
        <v>59429700</v>
      </c>
      <c r="E86" s="49">
        <f>VLOOKUP($A86,'Data shares'!$C:$FB,67)</f>
        <v>60681150</v>
      </c>
      <c r="F86" s="50">
        <f>VLOOKUP($A86,'Data shares'!$C:$FB,69)*100</f>
        <v>-2.06</v>
      </c>
      <c r="G86" s="49">
        <f>VLOOKUP($A86,'Data shares'!$C:$FB,42)</f>
        <v>11206350</v>
      </c>
      <c r="H86" s="49">
        <f>VLOOKUP($A86,'Data shares'!$C:$FB,43)</f>
        <v>10920825</v>
      </c>
      <c r="I86" s="50">
        <f>VLOOKUP($A86,'Data shares'!$C:$FB,45)*100</f>
        <v>2.6100000000000003</v>
      </c>
      <c r="J86" s="49">
        <f>VLOOKUP($A86,'Data shares'!$C:$FB,58)</f>
        <v>31606200</v>
      </c>
      <c r="K86" s="49">
        <f>VLOOKUP($A86,'Data shares'!$C:$FB,59)</f>
        <v>36152325</v>
      </c>
      <c r="L86" s="50">
        <f>VLOOKUP($A86,'Data shares'!$C:$FB,61)*100</f>
        <v>-12.57</v>
      </c>
      <c r="M86" s="49">
        <f>VLOOKUP($A86,'Data shares'!$C:$FB,62)</f>
        <v>16617150</v>
      </c>
      <c r="N86" s="49">
        <f>VLOOKUP($A86,'Data shares'!$C:$FB,63)</f>
        <v>13608000</v>
      </c>
      <c r="O86" s="140">
        <f>VLOOKUP($A86,'Data shares'!$C:$FB,65)*100</f>
        <v>22.11</v>
      </c>
    </row>
    <row r="87" spans="1:15" x14ac:dyDescent="0.25">
      <c r="A87" s="101" t="str">
        <f>'Data shares'!C82</f>
        <v>HINDUNILVR</v>
      </c>
      <c r="B87" s="50">
        <f>VLOOKUP($A87,'Data shares'!$C:$FB,7)</f>
        <v>2561.5</v>
      </c>
      <c r="C87" s="50">
        <f>VLOOKUP($A87,'Data shares'!$C:$FB,10)*100</f>
        <v>1.69</v>
      </c>
      <c r="D87" s="49">
        <f>VLOOKUP($A87,'Data shares'!$C:$FB,66)</f>
        <v>15964200</v>
      </c>
      <c r="E87" s="49">
        <f>VLOOKUP($A87,'Data shares'!$C:$FB,67)</f>
        <v>7914300</v>
      </c>
      <c r="F87" s="50">
        <f>VLOOKUP($A87,'Data shares'!$C:$FB,69)*100</f>
        <v>101.71</v>
      </c>
      <c r="G87" s="49">
        <f>VLOOKUP($A87,'Data shares'!$C:$FB,42)</f>
        <v>2628600</v>
      </c>
      <c r="H87" s="49">
        <f>VLOOKUP($A87,'Data shares'!$C:$FB,43)</f>
        <v>1319100</v>
      </c>
      <c r="I87" s="50">
        <f>VLOOKUP($A87,'Data shares'!$C:$FB,45)*100</f>
        <v>99.27</v>
      </c>
      <c r="J87" s="49">
        <f>VLOOKUP($A87,'Data shares'!$C:$FB,58)</f>
        <v>8766300</v>
      </c>
      <c r="K87" s="49">
        <f>VLOOKUP($A87,'Data shares'!$C:$FB,59)</f>
        <v>4301100</v>
      </c>
      <c r="L87" s="50">
        <f>VLOOKUP($A87,'Data shares'!$C:$FB,61)*100</f>
        <v>103.82000000000001</v>
      </c>
      <c r="M87" s="49">
        <f>VLOOKUP($A87,'Data shares'!$C:$FB,62)</f>
        <v>4569300</v>
      </c>
      <c r="N87" s="49">
        <f>VLOOKUP($A87,'Data shares'!$C:$FB,63)</f>
        <v>2294100</v>
      </c>
      <c r="O87" s="140">
        <f>VLOOKUP($A87,'Data shares'!$C:$FB,65)*100</f>
        <v>99.18</v>
      </c>
    </row>
    <row r="88" spans="1:15" x14ac:dyDescent="0.25">
      <c r="A88" s="101" t="str">
        <f>'Data shares'!C83</f>
        <v>HINDZINC</v>
      </c>
      <c r="B88" s="50">
        <f>VLOOKUP($A88,'Data shares'!$C:$FB,7)</f>
        <v>506.7</v>
      </c>
      <c r="C88" s="50">
        <f>VLOOKUP($A88,'Data shares'!$C:$FB,10)*100</f>
        <v>-1.27</v>
      </c>
      <c r="D88" s="49">
        <f>VLOOKUP($A88,'Data shares'!$C:$FB,66)</f>
        <v>37962750</v>
      </c>
      <c r="E88" s="49">
        <f>VLOOKUP($A88,'Data shares'!$C:$FB,67)</f>
        <v>62389250</v>
      </c>
      <c r="F88" s="50">
        <f>VLOOKUP($A88,'Data shares'!$C:$FB,69)*100</f>
        <v>-39.15</v>
      </c>
      <c r="G88" s="49">
        <f>VLOOKUP($A88,'Data shares'!$C:$FB,42)</f>
        <v>6552525</v>
      </c>
      <c r="H88" s="49">
        <f>VLOOKUP($A88,'Data shares'!$C:$FB,43)</f>
        <v>10139325</v>
      </c>
      <c r="I88" s="50">
        <f>VLOOKUP($A88,'Data shares'!$C:$FB,45)*100</f>
        <v>-35.380000000000003</v>
      </c>
      <c r="J88" s="49">
        <f>VLOOKUP($A88,'Data shares'!$C:$FB,58)</f>
        <v>23376675</v>
      </c>
      <c r="K88" s="49">
        <f>VLOOKUP($A88,'Data shares'!$C:$FB,59)</f>
        <v>40188575</v>
      </c>
      <c r="L88" s="50">
        <f>VLOOKUP($A88,'Data shares'!$C:$FB,61)*100</f>
        <v>-41.83</v>
      </c>
      <c r="M88" s="49">
        <f>VLOOKUP($A88,'Data shares'!$C:$FB,62)</f>
        <v>8033550</v>
      </c>
      <c r="N88" s="49">
        <f>VLOOKUP($A88,'Data shares'!$C:$FB,63)</f>
        <v>12061350</v>
      </c>
      <c r="O88" s="140">
        <f>VLOOKUP($A88,'Data shares'!$C:$FB,65)*100</f>
        <v>-33.39</v>
      </c>
    </row>
    <row r="89" spans="1:15" x14ac:dyDescent="0.25">
      <c r="A89" s="101" t="str">
        <f>'Data shares'!C84</f>
        <v>HUDCO</v>
      </c>
      <c r="B89" s="50">
        <f>VLOOKUP($A89,'Data shares'!$C:$FB,7)</f>
        <v>227.99</v>
      </c>
      <c r="C89" s="50">
        <f>VLOOKUP($A89,'Data shares'!$C:$FB,10)*100</f>
        <v>-0.33999999999999997</v>
      </c>
      <c r="D89" s="49">
        <f>VLOOKUP($A89,'Data shares'!$C:$FB,66)</f>
        <v>30438975</v>
      </c>
      <c r="E89" s="49">
        <f>VLOOKUP($A89,'Data shares'!$C:$FB,67)</f>
        <v>25557750</v>
      </c>
      <c r="F89" s="50">
        <f>VLOOKUP($A89,'Data shares'!$C:$FB,69)*100</f>
        <v>19.100000000000001</v>
      </c>
      <c r="G89" s="49">
        <f>VLOOKUP($A89,'Data shares'!$C:$FB,42)</f>
        <v>4981125</v>
      </c>
      <c r="H89" s="49">
        <f>VLOOKUP($A89,'Data shares'!$C:$FB,43)</f>
        <v>5377950</v>
      </c>
      <c r="I89" s="50">
        <f>VLOOKUP($A89,'Data shares'!$C:$FB,45)*100</f>
        <v>-7.3800000000000008</v>
      </c>
      <c r="J89" s="49">
        <f>VLOOKUP($A89,'Data shares'!$C:$FB,58)</f>
        <v>19114200</v>
      </c>
      <c r="K89" s="49">
        <f>VLOOKUP($A89,'Data shares'!$C:$FB,59)</f>
        <v>14024850</v>
      </c>
      <c r="L89" s="50">
        <f>VLOOKUP($A89,'Data shares'!$C:$FB,61)*100</f>
        <v>36.29</v>
      </c>
      <c r="M89" s="49">
        <f>VLOOKUP($A89,'Data shares'!$C:$FB,62)</f>
        <v>6343650</v>
      </c>
      <c r="N89" s="49">
        <f>VLOOKUP($A89,'Data shares'!$C:$FB,63)</f>
        <v>6154950</v>
      </c>
      <c r="O89" s="140">
        <f>VLOOKUP($A89,'Data shares'!$C:$FB,65)*100</f>
        <v>3.0700000000000003</v>
      </c>
    </row>
    <row r="90" spans="1:15" x14ac:dyDescent="0.25">
      <c r="A90" s="101" t="str">
        <f>'Data shares'!C85</f>
        <v>ICICIBANK</v>
      </c>
      <c r="B90" s="50">
        <f>VLOOKUP($A90,'Data shares'!$C:$FB,7)</f>
        <v>1417.3</v>
      </c>
      <c r="C90" s="50">
        <f>VLOOKUP($A90,'Data shares'!$C:$FB,10)*100</f>
        <v>1.35</v>
      </c>
      <c r="D90" s="49">
        <f>VLOOKUP($A90,'Data shares'!$C:$FB,66)</f>
        <v>89485200</v>
      </c>
      <c r="E90" s="49">
        <f>VLOOKUP($A90,'Data shares'!$C:$FB,67)</f>
        <v>63914900</v>
      </c>
      <c r="F90" s="50">
        <f>VLOOKUP($A90,'Data shares'!$C:$FB,69)*100</f>
        <v>40.01</v>
      </c>
      <c r="G90" s="49">
        <f>VLOOKUP($A90,'Data shares'!$C:$FB,42)</f>
        <v>21764400</v>
      </c>
      <c r="H90" s="49">
        <f>VLOOKUP($A90,'Data shares'!$C:$FB,43)</f>
        <v>11944800</v>
      </c>
      <c r="I90" s="50">
        <f>VLOOKUP($A90,'Data shares'!$C:$FB,45)*100</f>
        <v>82.210000000000008</v>
      </c>
      <c r="J90" s="49">
        <f>VLOOKUP($A90,'Data shares'!$C:$FB,58)</f>
        <v>44915500</v>
      </c>
      <c r="K90" s="49">
        <f>VLOOKUP($A90,'Data shares'!$C:$FB,59)</f>
        <v>30542400</v>
      </c>
      <c r="L90" s="50">
        <f>VLOOKUP($A90,'Data shares'!$C:$FB,61)*100</f>
        <v>47.06</v>
      </c>
      <c r="M90" s="49">
        <f>VLOOKUP($A90,'Data shares'!$C:$FB,62)</f>
        <v>22805300</v>
      </c>
      <c r="N90" s="49">
        <f>VLOOKUP($A90,'Data shares'!$C:$FB,63)</f>
        <v>21427700</v>
      </c>
      <c r="O90" s="140">
        <f>VLOOKUP($A90,'Data shares'!$C:$FB,65)*100</f>
        <v>6.43</v>
      </c>
    </row>
    <row r="91" spans="1:15" x14ac:dyDescent="0.25">
      <c r="A91" s="101" t="str">
        <f>'Data shares'!C86</f>
        <v>ICICIGI</v>
      </c>
      <c r="B91" s="50">
        <f>VLOOKUP($A91,'Data shares'!$C:$FB,7)</f>
        <v>2010.1</v>
      </c>
      <c r="C91" s="50">
        <f>VLOOKUP($A91,'Data shares'!$C:$FB,10)*100</f>
        <v>-0.5</v>
      </c>
      <c r="D91" s="49">
        <f>VLOOKUP($A91,'Data shares'!$C:$FB,66)</f>
        <v>16168425</v>
      </c>
      <c r="E91" s="49">
        <f>VLOOKUP($A91,'Data shares'!$C:$FB,67)</f>
        <v>79620125</v>
      </c>
      <c r="F91" s="50">
        <f>VLOOKUP($A91,'Data shares'!$C:$FB,69)*100</f>
        <v>-79.690000000000012</v>
      </c>
      <c r="G91" s="49">
        <f>VLOOKUP($A91,'Data shares'!$C:$FB,42)</f>
        <v>1442675</v>
      </c>
      <c r="H91" s="49">
        <f>VLOOKUP($A91,'Data shares'!$C:$FB,43)</f>
        <v>5572775</v>
      </c>
      <c r="I91" s="50">
        <f>VLOOKUP($A91,'Data shares'!$C:$FB,45)*100</f>
        <v>-74.11</v>
      </c>
      <c r="J91" s="49">
        <f>VLOOKUP($A91,'Data shares'!$C:$FB,58)</f>
        <v>8179600</v>
      </c>
      <c r="K91" s="49">
        <f>VLOOKUP($A91,'Data shares'!$C:$FB,59)</f>
        <v>50793275</v>
      </c>
      <c r="L91" s="50">
        <f>VLOOKUP($A91,'Data shares'!$C:$FB,61)*100</f>
        <v>-83.899999999999991</v>
      </c>
      <c r="M91" s="49">
        <f>VLOOKUP($A91,'Data shares'!$C:$FB,62)</f>
        <v>6546150</v>
      </c>
      <c r="N91" s="49">
        <f>VLOOKUP($A91,'Data shares'!$C:$FB,63)</f>
        <v>23254075</v>
      </c>
      <c r="O91" s="140">
        <f>VLOOKUP($A91,'Data shares'!$C:$FB,65)*100</f>
        <v>-71.850000000000009</v>
      </c>
    </row>
    <row r="92" spans="1:15" x14ac:dyDescent="0.25">
      <c r="A92" s="101" t="str">
        <f>'Data shares'!C87</f>
        <v>ICICIPRULI</v>
      </c>
      <c r="B92" s="50">
        <f>VLOOKUP($A92,'Data shares'!$C:$FB,7)</f>
        <v>587</v>
      </c>
      <c r="C92" s="50">
        <f>VLOOKUP($A92,'Data shares'!$C:$FB,10)*100</f>
        <v>-0.16999999999999998</v>
      </c>
      <c r="D92" s="49">
        <f>VLOOKUP($A92,'Data shares'!$C:$FB,66)</f>
        <v>14698250</v>
      </c>
      <c r="E92" s="49">
        <f>VLOOKUP($A92,'Data shares'!$C:$FB,67)</f>
        <v>60770650</v>
      </c>
      <c r="F92" s="50">
        <f>VLOOKUP($A92,'Data shares'!$C:$FB,69)*100</f>
        <v>-75.81</v>
      </c>
      <c r="G92" s="49">
        <f>VLOOKUP($A92,'Data shares'!$C:$FB,42)</f>
        <v>1977650</v>
      </c>
      <c r="H92" s="49">
        <f>VLOOKUP($A92,'Data shares'!$C:$FB,43)</f>
        <v>7183550</v>
      </c>
      <c r="I92" s="50">
        <f>VLOOKUP($A92,'Data shares'!$C:$FB,45)*100</f>
        <v>-72.47</v>
      </c>
      <c r="J92" s="49">
        <f>VLOOKUP($A92,'Data shares'!$C:$FB,58)</f>
        <v>9391525</v>
      </c>
      <c r="K92" s="49">
        <f>VLOOKUP($A92,'Data shares'!$C:$FB,59)</f>
        <v>37222925</v>
      </c>
      <c r="L92" s="50">
        <f>VLOOKUP($A92,'Data shares'!$C:$FB,61)*100</f>
        <v>-74.77000000000001</v>
      </c>
      <c r="M92" s="49">
        <f>VLOOKUP($A92,'Data shares'!$C:$FB,62)</f>
        <v>3329075</v>
      </c>
      <c r="N92" s="49">
        <f>VLOOKUP($A92,'Data shares'!$C:$FB,63)</f>
        <v>16364175</v>
      </c>
      <c r="O92" s="140">
        <f>VLOOKUP($A92,'Data shares'!$C:$FB,65)*100</f>
        <v>-79.66</v>
      </c>
    </row>
    <row r="93" spans="1:15" x14ac:dyDescent="0.25">
      <c r="A93" s="101" t="str">
        <f>'Data shares'!C88</f>
        <v>IDEA</v>
      </c>
      <c r="B93" s="50">
        <f>VLOOKUP($A93,'Data shares'!$C:$FB,7)</f>
        <v>8.85</v>
      </c>
      <c r="C93" s="50">
        <f>VLOOKUP($A93,'Data shares'!$C:$FB,10)*100</f>
        <v>1.1400000000000001</v>
      </c>
      <c r="D93" s="49">
        <f>VLOOKUP($A93,'Data shares'!$C:$FB,66)</f>
        <v>1691241450</v>
      </c>
      <c r="E93" s="49">
        <f>VLOOKUP($A93,'Data shares'!$C:$FB,67)</f>
        <v>3156050100</v>
      </c>
      <c r="F93" s="50">
        <f>VLOOKUP($A93,'Data shares'!$C:$FB,69)*100</f>
        <v>-46.410000000000004</v>
      </c>
      <c r="G93" s="49">
        <f>VLOOKUP($A93,'Data shares'!$C:$FB,42)</f>
        <v>677011200</v>
      </c>
      <c r="H93" s="49">
        <f>VLOOKUP($A93,'Data shares'!$C:$FB,43)</f>
        <v>1093781925</v>
      </c>
      <c r="I93" s="50">
        <f>VLOOKUP($A93,'Data shares'!$C:$FB,45)*100</f>
        <v>-38.1</v>
      </c>
      <c r="J93" s="49">
        <f>VLOOKUP($A93,'Data shares'!$C:$FB,58)</f>
        <v>720968325</v>
      </c>
      <c r="K93" s="49">
        <f>VLOOKUP($A93,'Data shares'!$C:$FB,59)</f>
        <v>1736127750</v>
      </c>
      <c r="L93" s="50">
        <f>VLOOKUP($A93,'Data shares'!$C:$FB,61)*100</f>
        <v>-58.47</v>
      </c>
      <c r="M93" s="49">
        <f>VLOOKUP($A93,'Data shares'!$C:$FB,62)</f>
        <v>293261925</v>
      </c>
      <c r="N93" s="49">
        <f>VLOOKUP($A93,'Data shares'!$C:$FB,63)</f>
        <v>326140425</v>
      </c>
      <c r="O93" s="140">
        <f>VLOOKUP($A93,'Data shares'!$C:$FB,65)*100</f>
        <v>-10.08</v>
      </c>
    </row>
    <row r="94" spans="1:15" x14ac:dyDescent="0.25">
      <c r="A94" s="101" t="str">
        <f>'Data shares'!C89</f>
        <v>IDFCFIRSTB</v>
      </c>
      <c r="B94" s="50">
        <f>VLOOKUP($A94,'Data shares'!$C:$FB,7)</f>
        <v>71.790000000000006</v>
      </c>
      <c r="C94" s="50">
        <f>VLOOKUP($A94,'Data shares'!$C:$FB,10)*100</f>
        <v>-1.6199999999999999</v>
      </c>
      <c r="D94" s="49">
        <f>VLOOKUP($A94,'Data shares'!$C:$FB,66)</f>
        <v>314209175</v>
      </c>
      <c r="E94" s="49">
        <f>VLOOKUP($A94,'Data shares'!$C:$FB,67)</f>
        <v>171170125</v>
      </c>
      <c r="F94" s="50">
        <f>VLOOKUP($A94,'Data shares'!$C:$FB,69)*100</f>
        <v>83.57</v>
      </c>
      <c r="G94" s="49">
        <f>VLOOKUP($A94,'Data shares'!$C:$FB,42)</f>
        <v>97554450</v>
      </c>
      <c r="H94" s="49">
        <f>VLOOKUP($A94,'Data shares'!$C:$FB,43)</f>
        <v>57569925</v>
      </c>
      <c r="I94" s="50">
        <f>VLOOKUP($A94,'Data shares'!$C:$FB,45)*100</f>
        <v>69.45</v>
      </c>
      <c r="J94" s="49">
        <f>VLOOKUP($A94,'Data shares'!$C:$FB,58)</f>
        <v>140033950</v>
      </c>
      <c r="K94" s="49">
        <f>VLOOKUP($A94,'Data shares'!$C:$FB,59)</f>
        <v>72103850</v>
      </c>
      <c r="L94" s="50">
        <f>VLOOKUP($A94,'Data shares'!$C:$FB,61)*100</f>
        <v>94.210000000000008</v>
      </c>
      <c r="M94" s="49">
        <f>VLOOKUP($A94,'Data shares'!$C:$FB,62)</f>
        <v>76620775</v>
      </c>
      <c r="N94" s="49">
        <f>VLOOKUP($A94,'Data shares'!$C:$FB,63)</f>
        <v>41496350</v>
      </c>
      <c r="O94" s="140">
        <f>VLOOKUP($A94,'Data shares'!$C:$FB,65)*100</f>
        <v>84.64</v>
      </c>
    </row>
    <row r="95" spans="1:15" x14ac:dyDescent="0.25">
      <c r="A95" s="101" t="str">
        <f>'Data shares'!C90</f>
        <v>IEX</v>
      </c>
      <c r="B95" s="50">
        <f>VLOOKUP($A95,'Data shares'!$C:$FB,7)</f>
        <v>134.79</v>
      </c>
      <c r="C95" s="50">
        <f>VLOOKUP($A95,'Data shares'!$C:$FB,10)*100</f>
        <v>-0.42</v>
      </c>
      <c r="D95" s="49">
        <f>VLOOKUP($A95,'Data shares'!$C:$FB,66)</f>
        <v>56017500</v>
      </c>
      <c r="E95" s="49">
        <f>VLOOKUP($A95,'Data shares'!$C:$FB,67)</f>
        <v>78405000</v>
      </c>
      <c r="F95" s="50">
        <f>VLOOKUP($A95,'Data shares'!$C:$FB,69)*100</f>
        <v>-28.549999999999997</v>
      </c>
      <c r="G95" s="49">
        <f>VLOOKUP($A95,'Data shares'!$C:$FB,42)</f>
        <v>12056250</v>
      </c>
      <c r="H95" s="49">
        <f>VLOOKUP($A95,'Data shares'!$C:$FB,43)</f>
        <v>27798750</v>
      </c>
      <c r="I95" s="50">
        <f>VLOOKUP($A95,'Data shares'!$C:$FB,45)*100</f>
        <v>-56.63</v>
      </c>
      <c r="J95" s="49">
        <f>VLOOKUP($A95,'Data shares'!$C:$FB,58)</f>
        <v>27671250</v>
      </c>
      <c r="K95" s="49">
        <f>VLOOKUP($A95,'Data shares'!$C:$FB,59)</f>
        <v>30003750</v>
      </c>
      <c r="L95" s="50">
        <f>VLOOKUP($A95,'Data shares'!$C:$FB,61)*100</f>
        <v>-7.7700000000000005</v>
      </c>
      <c r="M95" s="49">
        <f>VLOOKUP($A95,'Data shares'!$C:$FB,62)</f>
        <v>16290000</v>
      </c>
      <c r="N95" s="49">
        <f>VLOOKUP($A95,'Data shares'!$C:$FB,63)</f>
        <v>20602500</v>
      </c>
      <c r="O95" s="140">
        <f>VLOOKUP($A95,'Data shares'!$C:$FB,65)*100</f>
        <v>-20.93</v>
      </c>
    </row>
    <row r="96" spans="1:15" x14ac:dyDescent="0.25">
      <c r="A96" s="101" t="str">
        <f>'Data shares'!C91</f>
        <v>IGL</v>
      </c>
      <c r="B96" s="50">
        <f>VLOOKUP($A96,'Data shares'!$C:$FB,7)</f>
        <v>213.67</v>
      </c>
      <c r="C96" s="50">
        <f>VLOOKUP($A96,'Data shares'!$C:$FB,10)*100</f>
        <v>0.82000000000000006</v>
      </c>
      <c r="D96" s="49">
        <f>VLOOKUP($A96,'Data shares'!$C:$FB,66)</f>
        <v>14250500</v>
      </c>
      <c r="E96" s="49">
        <f>VLOOKUP($A96,'Data shares'!$C:$FB,67)</f>
        <v>28652250</v>
      </c>
      <c r="F96" s="50">
        <f>VLOOKUP($A96,'Data shares'!$C:$FB,69)*100</f>
        <v>-50.260000000000005</v>
      </c>
      <c r="G96" s="49">
        <f>VLOOKUP($A96,'Data shares'!$C:$FB,42)</f>
        <v>3223000</v>
      </c>
      <c r="H96" s="49">
        <f>VLOOKUP($A96,'Data shares'!$C:$FB,43)</f>
        <v>6069250</v>
      </c>
      <c r="I96" s="50">
        <f>VLOOKUP($A96,'Data shares'!$C:$FB,45)*100</f>
        <v>-46.9</v>
      </c>
      <c r="J96" s="49">
        <f>VLOOKUP($A96,'Data shares'!$C:$FB,58)</f>
        <v>7815500</v>
      </c>
      <c r="K96" s="49">
        <f>VLOOKUP($A96,'Data shares'!$C:$FB,59)</f>
        <v>15295500</v>
      </c>
      <c r="L96" s="50">
        <f>VLOOKUP($A96,'Data shares'!$C:$FB,61)*100</f>
        <v>-48.9</v>
      </c>
      <c r="M96" s="49">
        <f>VLOOKUP($A96,'Data shares'!$C:$FB,62)</f>
        <v>3212000</v>
      </c>
      <c r="N96" s="49">
        <f>VLOOKUP($A96,'Data shares'!$C:$FB,63)</f>
        <v>7287500</v>
      </c>
      <c r="O96" s="140">
        <f>VLOOKUP($A96,'Data shares'!$C:$FB,65)*100</f>
        <v>-55.92</v>
      </c>
    </row>
    <row r="97" spans="1:15" x14ac:dyDescent="0.25">
      <c r="A97" s="101" t="str">
        <f>'Data shares'!C92</f>
        <v>IIFL</v>
      </c>
      <c r="B97" s="50">
        <f>VLOOKUP($A97,'Data shares'!$C:$FB,7)</f>
        <v>499.9</v>
      </c>
      <c r="C97" s="50">
        <f>VLOOKUP($A97,'Data shares'!$C:$FB,10)*100</f>
        <v>-1.25</v>
      </c>
      <c r="D97" s="49">
        <f>VLOOKUP($A97,'Data shares'!$C:$FB,66)</f>
        <v>8476050</v>
      </c>
      <c r="E97" s="49">
        <f>VLOOKUP($A97,'Data shares'!$C:$FB,67)</f>
        <v>30388050</v>
      </c>
      <c r="F97" s="50">
        <f>VLOOKUP($A97,'Data shares'!$C:$FB,69)*100</f>
        <v>-72.11</v>
      </c>
      <c r="G97" s="49">
        <f>VLOOKUP($A97,'Data shares'!$C:$FB,42)</f>
        <v>2130150</v>
      </c>
      <c r="H97" s="49">
        <f>VLOOKUP($A97,'Data shares'!$C:$FB,43)</f>
        <v>5499450</v>
      </c>
      <c r="I97" s="50">
        <f>VLOOKUP($A97,'Data shares'!$C:$FB,45)*100</f>
        <v>-61.27</v>
      </c>
      <c r="J97" s="49">
        <f>VLOOKUP($A97,'Data shares'!$C:$FB,58)</f>
        <v>4240500</v>
      </c>
      <c r="K97" s="49">
        <f>VLOOKUP($A97,'Data shares'!$C:$FB,59)</f>
        <v>17884350</v>
      </c>
      <c r="L97" s="50">
        <f>VLOOKUP($A97,'Data shares'!$C:$FB,61)*100</f>
        <v>-76.290000000000006</v>
      </c>
      <c r="M97" s="49">
        <f>VLOOKUP($A97,'Data shares'!$C:$FB,62)</f>
        <v>2105400</v>
      </c>
      <c r="N97" s="49">
        <f>VLOOKUP($A97,'Data shares'!$C:$FB,63)</f>
        <v>7004250</v>
      </c>
      <c r="O97" s="140">
        <f>VLOOKUP($A97,'Data shares'!$C:$FB,65)*100</f>
        <v>-69.94</v>
      </c>
    </row>
    <row r="98" spans="1:15" x14ac:dyDescent="0.25">
      <c r="A98" s="101" t="str">
        <f>'Data shares'!C93</f>
        <v>INDHOTEL</v>
      </c>
      <c r="B98" s="50">
        <f>VLOOKUP($A98,'Data shares'!$C:$FB,7)</f>
        <v>738.05</v>
      </c>
      <c r="C98" s="50">
        <f>VLOOKUP($A98,'Data shares'!$C:$FB,10)*100</f>
        <v>1.4200000000000002</v>
      </c>
      <c r="D98" s="49">
        <f>VLOOKUP($A98,'Data shares'!$C:$FB,66)</f>
        <v>23320000</v>
      </c>
      <c r="E98" s="49">
        <f>VLOOKUP($A98,'Data shares'!$C:$FB,67)</f>
        <v>29297000</v>
      </c>
      <c r="F98" s="50">
        <f>VLOOKUP($A98,'Data shares'!$C:$FB,69)*100</f>
        <v>-20.399999999999999</v>
      </c>
      <c r="G98" s="49">
        <f>VLOOKUP($A98,'Data shares'!$C:$FB,42)</f>
        <v>4135000</v>
      </c>
      <c r="H98" s="49">
        <f>VLOOKUP($A98,'Data shares'!$C:$FB,43)</f>
        <v>5341000</v>
      </c>
      <c r="I98" s="50">
        <f>VLOOKUP($A98,'Data shares'!$C:$FB,45)*100</f>
        <v>-22.58</v>
      </c>
      <c r="J98" s="49">
        <f>VLOOKUP($A98,'Data shares'!$C:$FB,58)</f>
        <v>13776000</v>
      </c>
      <c r="K98" s="49">
        <f>VLOOKUP($A98,'Data shares'!$C:$FB,59)</f>
        <v>18870000</v>
      </c>
      <c r="L98" s="50">
        <f>VLOOKUP($A98,'Data shares'!$C:$FB,61)*100</f>
        <v>-27</v>
      </c>
      <c r="M98" s="49">
        <f>VLOOKUP($A98,'Data shares'!$C:$FB,62)</f>
        <v>5409000</v>
      </c>
      <c r="N98" s="49">
        <f>VLOOKUP($A98,'Data shares'!$C:$FB,63)</f>
        <v>5086000</v>
      </c>
      <c r="O98" s="140">
        <f>VLOOKUP($A98,'Data shares'!$C:$FB,65)*100</f>
        <v>6.35</v>
      </c>
    </row>
    <row r="99" spans="1:15" x14ac:dyDescent="0.25">
      <c r="A99" s="101" t="str">
        <f>'Data shares'!C94</f>
        <v>INDIANB</v>
      </c>
      <c r="B99" s="50">
        <f>VLOOKUP($A99,'Data shares'!$C:$FB,7)</f>
        <v>771.05</v>
      </c>
      <c r="C99" s="50">
        <f>VLOOKUP($A99,'Data shares'!$C:$FB,10)*100</f>
        <v>-0.54999999999999993</v>
      </c>
      <c r="D99" s="49">
        <f>VLOOKUP($A99,'Data shares'!$C:$FB,66)</f>
        <v>60762000</v>
      </c>
      <c r="E99" s="49">
        <f>VLOOKUP($A99,'Data shares'!$C:$FB,67)</f>
        <v>6346000</v>
      </c>
      <c r="F99" s="50">
        <f>VLOOKUP($A99,'Data shares'!$C:$FB,69)*100</f>
        <v>857.49</v>
      </c>
      <c r="G99" s="49">
        <f>VLOOKUP($A99,'Data shares'!$C:$FB,42)</f>
        <v>9991000</v>
      </c>
      <c r="H99" s="49">
        <f>VLOOKUP($A99,'Data shares'!$C:$FB,43)</f>
        <v>1868000</v>
      </c>
      <c r="I99" s="50">
        <f>VLOOKUP($A99,'Data shares'!$C:$FB,45)*100</f>
        <v>434.84999999999997</v>
      </c>
      <c r="J99" s="49">
        <f>VLOOKUP($A99,'Data shares'!$C:$FB,58)</f>
        <v>35272000</v>
      </c>
      <c r="K99" s="49">
        <f>VLOOKUP($A99,'Data shares'!$C:$FB,59)</f>
        <v>2973000</v>
      </c>
      <c r="L99" s="50">
        <f>VLOOKUP($A99,'Data shares'!$C:$FB,61)*100</f>
        <v>1086.4100000000001</v>
      </c>
      <c r="M99" s="49">
        <f>VLOOKUP($A99,'Data shares'!$C:$FB,62)</f>
        <v>15499000</v>
      </c>
      <c r="N99" s="49">
        <f>VLOOKUP($A99,'Data shares'!$C:$FB,63)</f>
        <v>1505000</v>
      </c>
      <c r="O99" s="140">
        <f>VLOOKUP($A99,'Data shares'!$C:$FB,65)*100</f>
        <v>929.82999999999993</v>
      </c>
    </row>
    <row r="100" spans="1:15" x14ac:dyDescent="0.25">
      <c r="A100" s="101" t="str">
        <f>'Data shares'!C95</f>
        <v>INDIAVIX</v>
      </c>
      <c r="B100" s="50">
        <f>VLOOKUP($A100,'Data shares'!$C:$FB,7)</f>
        <v>10.87</v>
      </c>
      <c r="C100" s="50">
        <f>VLOOKUP($A100,'Data shares'!$C:$FB,10)*100</f>
        <v>3.18</v>
      </c>
      <c r="D100" s="49">
        <f>VLOOKUP($A100,'Data shares'!$C:$FB,66)</f>
        <v>0</v>
      </c>
      <c r="E100" s="49">
        <f>VLOOKUP($A100,'Data shares'!$C:$FB,67)</f>
        <v>0</v>
      </c>
      <c r="F100" s="50">
        <f>VLOOKUP($A100,'Data shares'!$C:$FB,69)*100</f>
        <v>0</v>
      </c>
      <c r="G100" s="49">
        <f>VLOOKUP($A100,'Data shares'!$C:$FB,42)</f>
        <v>0</v>
      </c>
      <c r="H100" s="49">
        <f>VLOOKUP($A100,'Data shares'!$C:$FB,43)</f>
        <v>0</v>
      </c>
      <c r="I100" s="50">
        <f>VLOOKUP($A100,'Data shares'!$C:$FB,45)*100</f>
        <v>0</v>
      </c>
      <c r="J100" s="49">
        <f>VLOOKUP($A100,'Data shares'!$C:$FB,58)</f>
        <v>0</v>
      </c>
      <c r="K100" s="49">
        <f>VLOOKUP($A100,'Data shares'!$C:$FB,59)</f>
        <v>0</v>
      </c>
      <c r="L100" s="50">
        <f>VLOOKUP($A100,'Data shares'!$C:$FB,61)*100</f>
        <v>0</v>
      </c>
      <c r="M100" s="49">
        <f>VLOOKUP($A100,'Data shares'!$C:$FB,62)</f>
        <v>0</v>
      </c>
      <c r="N100" s="49">
        <f>VLOOKUP($A100,'Data shares'!$C:$FB,63)</f>
        <v>0</v>
      </c>
      <c r="O100" s="140">
        <f>VLOOKUP($A100,'Data shares'!$C:$FB,65)*100</f>
        <v>0</v>
      </c>
    </row>
    <row r="101" spans="1:15" x14ac:dyDescent="0.25">
      <c r="A101" s="101" t="str">
        <f>'Data shares'!C96</f>
        <v>INDIGO</v>
      </c>
      <c r="B101" s="50">
        <f>VLOOKUP($A101,'Data shares'!$C:$FB,7)</f>
        <v>5881</v>
      </c>
      <c r="C101" s="50">
        <f>VLOOKUP($A101,'Data shares'!$C:$FB,10)*100</f>
        <v>0.35000000000000003</v>
      </c>
      <c r="D101" s="49">
        <f>VLOOKUP($A101,'Data shares'!$C:$FB,66)</f>
        <v>5476050</v>
      </c>
      <c r="E101" s="49">
        <f>VLOOKUP($A101,'Data shares'!$C:$FB,67)</f>
        <v>8673450</v>
      </c>
      <c r="F101" s="50">
        <f>VLOOKUP($A101,'Data shares'!$C:$FB,69)*100</f>
        <v>-36.86</v>
      </c>
      <c r="G101" s="49">
        <f>VLOOKUP($A101,'Data shares'!$C:$FB,42)</f>
        <v>1000800</v>
      </c>
      <c r="H101" s="49">
        <f>VLOOKUP($A101,'Data shares'!$C:$FB,43)</f>
        <v>1487250</v>
      </c>
      <c r="I101" s="50">
        <f>VLOOKUP($A101,'Data shares'!$C:$FB,45)*100</f>
        <v>-32.71</v>
      </c>
      <c r="J101" s="49">
        <f>VLOOKUP($A101,'Data shares'!$C:$FB,58)</f>
        <v>3001050</v>
      </c>
      <c r="K101" s="49">
        <f>VLOOKUP($A101,'Data shares'!$C:$FB,59)</f>
        <v>5106150</v>
      </c>
      <c r="L101" s="50">
        <f>VLOOKUP($A101,'Data shares'!$C:$FB,61)*100</f>
        <v>-41.23</v>
      </c>
      <c r="M101" s="49">
        <f>VLOOKUP($A101,'Data shares'!$C:$FB,62)</f>
        <v>1474200</v>
      </c>
      <c r="N101" s="49">
        <f>VLOOKUP($A101,'Data shares'!$C:$FB,63)</f>
        <v>2080050</v>
      </c>
      <c r="O101" s="140">
        <f>VLOOKUP($A101,'Data shares'!$C:$FB,65)*100</f>
        <v>-29.13</v>
      </c>
    </row>
    <row r="102" spans="1:15" x14ac:dyDescent="0.25">
      <c r="A102" s="101" t="str">
        <f>'Data shares'!C97</f>
        <v>INDUSINDBK</v>
      </c>
      <c r="B102" s="50">
        <f>VLOOKUP($A102,'Data shares'!$C:$FB,7)</f>
        <v>739.5</v>
      </c>
      <c r="C102" s="50">
        <f>VLOOKUP($A102,'Data shares'!$C:$FB,10)*100</f>
        <v>-0.08</v>
      </c>
      <c r="D102" s="49">
        <f>VLOOKUP($A102,'Data shares'!$C:$FB,66)</f>
        <v>20890800</v>
      </c>
      <c r="E102" s="49">
        <f>VLOOKUP($A102,'Data shares'!$C:$FB,67)</f>
        <v>30954000</v>
      </c>
      <c r="F102" s="50">
        <f>VLOOKUP($A102,'Data shares'!$C:$FB,69)*100</f>
        <v>-32.51</v>
      </c>
      <c r="G102" s="49">
        <f>VLOOKUP($A102,'Data shares'!$C:$FB,42)</f>
        <v>6972000</v>
      </c>
      <c r="H102" s="49">
        <f>VLOOKUP($A102,'Data shares'!$C:$FB,43)</f>
        <v>8929900</v>
      </c>
      <c r="I102" s="50">
        <f>VLOOKUP($A102,'Data shares'!$C:$FB,45)*100</f>
        <v>-21.93</v>
      </c>
      <c r="J102" s="49">
        <f>VLOOKUP($A102,'Data shares'!$C:$FB,58)</f>
        <v>9144100</v>
      </c>
      <c r="K102" s="49">
        <f>VLOOKUP($A102,'Data shares'!$C:$FB,59)</f>
        <v>13076700</v>
      </c>
      <c r="L102" s="50">
        <f>VLOOKUP($A102,'Data shares'!$C:$FB,61)*100</f>
        <v>-30.070000000000004</v>
      </c>
      <c r="M102" s="49">
        <f>VLOOKUP($A102,'Data shares'!$C:$FB,62)</f>
        <v>4774700</v>
      </c>
      <c r="N102" s="49">
        <f>VLOOKUP($A102,'Data shares'!$C:$FB,63)</f>
        <v>8947400</v>
      </c>
      <c r="O102" s="140">
        <f>VLOOKUP($A102,'Data shares'!$C:$FB,65)*100</f>
        <v>-46.64</v>
      </c>
    </row>
    <row r="103" spans="1:15" x14ac:dyDescent="0.25">
      <c r="A103" s="101" t="str">
        <f>'Data shares'!C98</f>
        <v>INDUSTOWER</v>
      </c>
      <c r="B103" s="50">
        <f>VLOOKUP($A103,'Data shares'!$C:$FB,7)</f>
        <v>343.95</v>
      </c>
      <c r="C103" s="50">
        <f>VLOOKUP($A103,'Data shares'!$C:$FB,10)*100</f>
        <v>-0.25</v>
      </c>
      <c r="D103" s="49">
        <f>VLOOKUP($A103,'Data shares'!$C:$FB,66)</f>
        <v>17445400</v>
      </c>
      <c r="E103" s="49">
        <f>VLOOKUP($A103,'Data shares'!$C:$FB,67)</f>
        <v>34289000</v>
      </c>
      <c r="F103" s="50">
        <f>VLOOKUP($A103,'Data shares'!$C:$FB,69)*100</f>
        <v>-49.120000000000005</v>
      </c>
      <c r="G103" s="49">
        <f>VLOOKUP($A103,'Data shares'!$C:$FB,42)</f>
        <v>4486300</v>
      </c>
      <c r="H103" s="49">
        <f>VLOOKUP($A103,'Data shares'!$C:$FB,43)</f>
        <v>6857800</v>
      </c>
      <c r="I103" s="50">
        <f>VLOOKUP($A103,'Data shares'!$C:$FB,45)*100</f>
        <v>-34.58</v>
      </c>
      <c r="J103" s="49">
        <f>VLOOKUP($A103,'Data shares'!$C:$FB,58)</f>
        <v>8508500</v>
      </c>
      <c r="K103" s="49">
        <f>VLOOKUP($A103,'Data shares'!$C:$FB,59)</f>
        <v>18266500</v>
      </c>
      <c r="L103" s="50">
        <f>VLOOKUP($A103,'Data shares'!$C:$FB,61)*100</f>
        <v>-53.42</v>
      </c>
      <c r="M103" s="49">
        <f>VLOOKUP($A103,'Data shares'!$C:$FB,62)</f>
        <v>4450600</v>
      </c>
      <c r="N103" s="49">
        <f>VLOOKUP($A103,'Data shares'!$C:$FB,63)</f>
        <v>9164700</v>
      </c>
      <c r="O103" s="140">
        <f>VLOOKUP($A103,'Data shares'!$C:$FB,65)*100</f>
        <v>-51.44</v>
      </c>
    </row>
    <row r="104" spans="1:15" x14ac:dyDescent="0.25">
      <c r="A104" s="101" t="str">
        <f>'Data shares'!C99</f>
        <v>INFY</v>
      </c>
      <c r="B104" s="50">
        <f>VLOOKUP($A104,'Data shares'!$C:$FB,7)</f>
        <v>1471.5</v>
      </c>
      <c r="C104" s="50">
        <f>VLOOKUP($A104,'Data shares'!$C:$FB,10)*100</f>
        <v>-0.2</v>
      </c>
      <c r="D104" s="49">
        <f>VLOOKUP($A104,'Data shares'!$C:$FB,66)</f>
        <v>109897200</v>
      </c>
      <c r="E104" s="49">
        <f>VLOOKUP($A104,'Data shares'!$C:$FB,67)</f>
        <v>65181600</v>
      </c>
      <c r="F104" s="50">
        <f>VLOOKUP($A104,'Data shares'!$C:$FB,69)*100</f>
        <v>68.600000000000009</v>
      </c>
      <c r="G104" s="49">
        <f>VLOOKUP($A104,'Data shares'!$C:$FB,42)</f>
        <v>18027200</v>
      </c>
      <c r="H104" s="49">
        <f>VLOOKUP($A104,'Data shares'!$C:$FB,43)</f>
        <v>12617200</v>
      </c>
      <c r="I104" s="50">
        <f>VLOOKUP($A104,'Data shares'!$C:$FB,45)*100</f>
        <v>42.88</v>
      </c>
      <c r="J104" s="49">
        <f>VLOOKUP($A104,'Data shares'!$C:$FB,58)</f>
        <v>63302800</v>
      </c>
      <c r="K104" s="49">
        <f>VLOOKUP($A104,'Data shares'!$C:$FB,59)</f>
        <v>34941600</v>
      </c>
      <c r="L104" s="50">
        <f>VLOOKUP($A104,'Data shares'!$C:$FB,61)*100</f>
        <v>81.17</v>
      </c>
      <c r="M104" s="49">
        <f>VLOOKUP($A104,'Data shares'!$C:$FB,62)</f>
        <v>28567200</v>
      </c>
      <c r="N104" s="49">
        <f>VLOOKUP($A104,'Data shares'!$C:$FB,63)</f>
        <v>17622800</v>
      </c>
      <c r="O104" s="140">
        <f>VLOOKUP($A104,'Data shares'!$C:$FB,65)*100</f>
        <v>62.1</v>
      </c>
    </row>
    <row r="105" spans="1:15" x14ac:dyDescent="0.25">
      <c r="A105" s="101" t="str">
        <f>'Data shares'!C100</f>
        <v>INOXWIND</v>
      </c>
      <c r="B105" s="50">
        <f>VLOOKUP($A105,'Data shares'!$C:$FB,7)</f>
        <v>146.84</v>
      </c>
      <c r="C105" s="50">
        <f>VLOOKUP($A105,'Data shares'!$C:$FB,10)*100</f>
        <v>-0.91</v>
      </c>
      <c r="D105" s="49">
        <f>VLOOKUP($A105,'Data shares'!$C:$FB,66)</f>
        <v>14982488</v>
      </c>
      <c r="E105" s="49">
        <f>VLOOKUP($A105,'Data shares'!$C:$FB,67)</f>
        <v>21709720</v>
      </c>
      <c r="F105" s="50">
        <f>VLOOKUP($A105,'Data shares'!$C:$FB,69)*100</f>
        <v>-30.990000000000002</v>
      </c>
      <c r="G105" s="49">
        <f>VLOOKUP($A105,'Data shares'!$C:$FB,42)</f>
        <v>5274464</v>
      </c>
      <c r="H105" s="49">
        <f>VLOOKUP($A105,'Data shares'!$C:$FB,43)</f>
        <v>5765264</v>
      </c>
      <c r="I105" s="50">
        <f>VLOOKUP($A105,'Data shares'!$C:$FB,45)*100</f>
        <v>-8.51</v>
      </c>
      <c r="J105" s="49">
        <f>VLOOKUP($A105,'Data shares'!$C:$FB,58)</f>
        <v>7469976</v>
      </c>
      <c r="K105" s="49">
        <f>VLOOKUP($A105,'Data shares'!$C:$FB,59)</f>
        <v>11618872</v>
      </c>
      <c r="L105" s="50">
        <f>VLOOKUP($A105,'Data shares'!$C:$FB,61)*100</f>
        <v>-35.709999999999994</v>
      </c>
      <c r="M105" s="49">
        <f>VLOOKUP($A105,'Data shares'!$C:$FB,62)</f>
        <v>2238048</v>
      </c>
      <c r="N105" s="49">
        <f>VLOOKUP($A105,'Data shares'!$C:$FB,63)</f>
        <v>4325584</v>
      </c>
      <c r="O105" s="140">
        <f>VLOOKUP($A105,'Data shares'!$C:$FB,65)*100</f>
        <v>-48.26</v>
      </c>
    </row>
    <row r="106" spans="1:15" x14ac:dyDescent="0.25">
      <c r="A106" s="101" t="str">
        <f>'Data shares'!C101</f>
        <v>IOC</v>
      </c>
      <c r="B106" s="50">
        <f>VLOOKUP($A106,'Data shares'!$C:$FB,7)</f>
        <v>153.66999999999999</v>
      </c>
      <c r="C106" s="50">
        <f>VLOOKUP($A106,'Data shares'!$C:$FB,10)*100</f>
        <v>-0.01</v>
      </c>
      <c r="D106" s="49">
        <f>VLOOKUP($A106,'Data shares'!$C:$FB,66)</f>
        <v>114855000</v>
      </c>
      <c r="E106" s="49">
        <f>VLOOKUP($A106,'Data shares'!$C:$FB,67)</f>
        <v>85990125</v>
      </c>
      <c r="F106" s="50">
        <f>VLOOKUP($A106,'Data shares'!$C:$FB,69)*100</f>
        <v>33.57</v>
      </c>
      <c r="G106" s="49">
        <f>VLOOKUP($A106,'Data shares'!$C:$FB,42)</f>
        <v>18544500</v>
      </c>
      <c r="H106" s="49">
        <f>VLOOKUP($A106,'Data shares'!$C:$FB,43)</f>
        <v>21830250</v>
      </c>
      <c r="I106" s="50">
        <f>VLOOKUP($A106,'Data shares'!$C:$FB,45)*100</f>
        <v>-15.049999999999999</v>
      </c>
      <c r="J106" s="49">
        <f>VLOOKUP($A106,'Data shares'!$C:$FB,58)</f>
        <v>61308000</v>
      </c>
      <c r="K106" s="49">
        <f>VLOOKUP($A106,'Data shares'!$C:$FB,59)</f>
        <v>41037750</v>
      </c>
      <c r="L106" s="50">
        <f>VLOOKUP($A106,'Data shares'!$C:$FB,61)*100</f>
        <v>49.39</v>
      </c>
      <c r="M106" s="49">
        <f>VLOOKUP($A106,'Data shares'!$C:$FB,62)</f>
        <v>35002500</v>
      </c>
      <c r="N106" s="49">
        <f>VLOOKUP($A106,'Data shares'!$C:$FB,63)</f>
        <v>23122125</v>
      </c>
      <c r="O106" s="140">
        <f>VLOOKUP($A106,'Data shares'!$C:$FB,65)*100</f>
        <v>51.38</v>
      </c>
    </row>
    <row r="107" spans="1:15" x14ac:dyDescent="0.25">
      <c r="A107" s="101" t="str">
        <f>'Data shares'!C102</f>
        <v>IRCTC</v>
      </c>
      <c r="B107" s="50">
        <f>VLOOKUP($A107,'Data shares'!$C:$FB,7)</f>
        <v>718.9</v>
      </c>
      <c r="C107" s="50">
        <f>VLOOKUP($A107,'Data shares'!$C:$FB,10)*100</f>
        <v>0.38</v>
      </c>
      <c r="D107" s="49">
        <f>VLOOKUP($A107,'Data shares'!$C:$FB,66)</f>
        <v>11939375</v>
      </c>
      <c r="E107" s="49">
        <f>VLOOKUP($A107,'Data shares'!$C:$FB,67)</f>
        <v>19043500</v>
      </c>
      <c r="F107" s="50">
        <f>VLOOKUP($A107,'Data shares'!$C:$FB,69)*100</f>
        <v>-37.299999999999997</v>
      </c>
      <c r="G107" s="49">
        <f>VLOOKUP($A107,'Data shares'!$C:$FB,42)</f>
        <v>1505875</v>
      </c>
      <c r="H107" s="49">
        <f>VLOOKUP($A107,'Data shares'!$C:$FB,43)</f>
        <v>2465750</v>
      </c>
      <c r="I107" s="50">
        <f>VLOOKUP($A107,'Data shares'!$C:$FB,45)*100</f>
        <v>-38.93</v>
      </c>
      <c r="J107" s="49">
        <f>VLOOKUP($A107,'Data shares'!$C:$FB,58)</f>
        <v>8107750</v>
      </c>
      <c r="K107" s="49">
        <f>VLOOKUP($A107,'Data shares'!$C:$FB,59)</f>
        <v>13835500</v>
      </c>
      <c r="L107" s="50">
        <f>VLOOKUP($A107,'Data shares'!$C:$FB,61)*100</f>
        <v>-41.4</v>
      </c>
      <c r="M107" s="49">
        <f>VLOOKUP($A107,'Data shares'!$C:$FB,62)</f>
        <v>2325750</v>
      </c>
      <c r="N107" s="49">
        <f>VLOOKUP($A107,'Data shares'!$C:$FB,63)</f>
        <v>2742250</v>
      </c>
      <c r="O107" s="140">
        <f>VLOOKUP($A107,'Data shares'!$C:$FB,65)*100</f>
        <v>-15.190000000000001</v>
      </c>
    </row>
    <row r="108" spans="1:15" x14ac:dyDescent="0.25">
      <c r="A108" s="101" t="str">
        <f>'Data shares'!C103</f>
        <v>IREDA</v>
      </c>
      <c r="B108" s="50">
        <f>VLOOKUP($A108,'Data shares'!$C:$FB,7)</f>
        <v>153.13</v>
      </c>
      <c r="C108" s="50">
        <f>VLOOKUP($A108,'Data shares'!$C:$FB,10)*100</f>
        <v>-1.1400000000000001</v>
      </c>
      <c r="D108" s="49">
        <f>VLOOKUP($A108,'Data shares'!$C:$FB,66)</f>
        <v>71487450</v>
      </c>
      <c r="E108" s="49">
        <f>VLOOKUP($A108,'Data shares'!$C:$FB,67)</f>
        <v>267130050</v>
      </c>
      <c r="F108" s="50">
        <f>VLOOKUP($A108,'Data shares'!$C:$FB,69)*100</f>
        <v>-73.240000000000009</v>
      </c>
      <c r="G108" s="49">
        <f>VLOOKUP($A108,'Data shares'!$C:$FB,42)</f>
        <v>14196750</v>
      </c>
      <c r="H108" s="49">
        <f>VLOOKUP($A108,'Data shares'!$C:$FB,43)</f>
        <v>33471900</v>
      </c>
      <c r="I108" s="50">
        <f>VLOOKUP($A108,'Data shares'!$C:$FB,45)*100</f>
        <v>-57.589999999999996</v>
      </c>
      <c r="J108" s="49">
        <f>VLOOKUP($A108,'Data shares'!$C:$FB,58)</f>
        <v>44763750</v>
      </c>
      <c r="K108" s="49">
        <f>VLOOKUP($A108,'Data shares'!$C:$FB,59)</f>
        <v>179013600</v>
      </c>
      <c r="L108" s="50">
        <f>VLOOKUP($A108,'Data shares'!$C:$FB,61)*100</f>
        <v>-74.989999999999995</v>
      </c>
      <c r="M108" s="49">
        <f>VLOOKUP($A108,'Data shares'!$C:$FB,62)</f>
        <v>12526950</v>
      </c>
      <c r="N108" s="49">
        <f>VLOOKUP($A108,'Data shares'!$C:$FB,63)</f>
        <v>54644550</v>
      </c>
      <c r="O108" s="140">
        <f>VLOOKUP($A108,'Data shares'!$C:$FB,65)*100</f>
        <v>-77.08</v>
      </c>
    </row>
    <row r="109" spans="1:15" x14ac:dyDescent="0.25">
      <c r="A109" s="101" t="str">
        <f>'Data shares'!C104</f>
        <v>IRFC</v>
      </c>
      <c r="B109" s="50">
        <f>VLOOKUP($A109,'Data shares'!$C:$FB,7)</f>
        <v>124.72</v>
      </c>
      <c r="C109" s="50">
        <f>VLOOKUP($A109,'Data shares'!$C:$FB,10)*100</f>
        <v>-0.13</v>
      </c>
      <c r="D109" s="49">
        <f>VLOOKUP($A109,'Data shares'!$C:$FB,66)</f>
        <v>58790250</v>
      </c>
      <c r="E109" s="49">
        <f>VLOOKUP($A109,'Data shares'!$C:$FB,67)</f>
        <v>172061250</v>
      </c>
      <c r="F109" s="50">
        <f>VLOOKUP($A109,'Data shares'!$C:$FB,69)*100</f>
        <v>-65.83</v>
      </c>
      <c r="G109" s="49">
        <f>VLOOKUP($A109,'Data shares'!$C:$FB,42)</f>
        <v>11738500</v>
      </c>
      <c r="H109" s="49">
        <f>VLOOKUP($A109,'Data shares'!$C:$FB,43)</f>
        <v>22440000</v>
      </c>
      <c r="I109" s="50">
        <f>VLOOKUP($A109,'Data shares'!$C:$FB,45)*100</f>
        <v>-47.69</v>
      </c>
      <c r="J109" s="49">
        <f>VLOOKUP($A109,'Data shares'!$C:$FB,58)</f>
        <v>37038750</v>
      </c>
      <c r="K109" s="49">
        <f>VLOOKUP($A109,'Data shares'!$C:$FB,59)</f>
        <v>110415000</v>
      </c>
      <c r="L109" s="50">
        <f>VLOOKUP($A109,'Data shares'!$C:$FB,61)*100</f>
        <v>-66.45</v>
      </c>
      <c r="M109" s="49">
        <f>VLOOKUP($A109,'Data shares'!$C:$FB,62)</f>
        <v>10013000</v>
      </c>
      <c r="N109" s="49">
        <f>VLOOKUP($A109,'Data shares'!$C:$FB,63)</f>
        <v>39206250</v>
      </c>
      <c r="O109" s="140">
        <f>VLOOKUP($A109,'Data shares'!$C:$FB,65)*100</f>
        <v>-74.460000000000008</v>
      </c>
    </row>
    <row r="110" spans="1:15" x14ac:dyDescent="0.25">
      <c r="A110" s="101" t="str">
        <f>'Data shares'!C105</f>
        <v>ITC</v>
      </c>
      <c r="B110" s="50">
        <f>VLOOKUP($A110,'Data shares'!$C:$FB,7)</f>
        <v>405.15</v>
      </c>
      <c r="C110" s="50">
        <f>VLOOKUP($A110,'Data shares'!$C:$FB,10)*100</f>
        <v>1.31</v>
      </c>
      <c r="D110" s="49">
        <f>VLOOKUP($A110,'Data shares'!$C:$FB,66)</f>
        <v>141676800</v>
      </c>
      <c r="E110" s="49">
        <f>VLOOKUP($A110,'Data shares'!$C:$FB,67)</f>
        <v>80102400</v>
      </c>
      <c r="F110" s="50">
        <f>VLOOKUP($A110,'Data shares'!$C:$FB,69)*100</f>
        <v>76.87</v>
      </c>
      <c r="G110" s="49">
        <f>VLOOKUP($A110,'Data shares'!$C:$FB,42)</f>
        <v>31204800</v>
      </c>
      <c r="H110" s="49">
        <f>VLOOKUP($A110,'Data shares'!$C:$FB,43)</f>
        <v>19006400</v>
      </c>
      <c r="I110" s="50">
        <f>VLOOKUP($A110,'Data shares'!$C:$FB,45)*100</f>
        <v>64.180000000000007</v>
      </c>
      <c r="J110" s="49">
        <f>VLOOKUP($A110,'Data shares'!$C:$FB,58)</f>
        <v>71038400</v>
      </c>
      <c r="K110" s="49">
        <f>VLOOKUP($A110,'Data shares'!$C:$FB,59)</f>
        <v>35633600</v>
      </c>
      <c r="L110" s="50">
        <f>VLOOKUP($A110,'Data shares'!$C:$FB,61)*100</f>
        <v>99.36</v>
      </c>
      <c r="M110" s="49">
        <f>VLOOKUP($A110,'Data shares'!$C:$FB,62)</f>
        <v>39433600</v>
      </c>
      <c r="N110" s="49">
        <f>VLOOKUP($A110,'Data shares'!$C:$FB,63)</f>
        <v>25462400</v>
      </c>
      <c r="O110" s="140">
        <f>VLOOKUP($A110,'Data shares'!$C:$FB,65)*100</f>
        <v>54.87</v>
      </c>
    </row>
    <row r="111" spans="1:15" x14ac:dyDescent="0.25">
      <c r="A111" s="101" t="str">
        <f>'Data shares'!C106</f>
        <v>JINDALSTEL</v>
      </c>
      <c r="B111" s="50">
        <f>VLOOKUP($A111,'Data shares'!$C:$FB,7)</f>
        <v>1022.8</v>
      </c>
      <c r="C111" s="50">
        <f>VLOOKUP($A111,'Data shares'!$C:$FB,10)*100</f>
        <v>2.1399999999999997</v>
      </c>
      <c r="D111" s="49">
        <f>VLOOKUP($A111,'Data shares'!$C:$FB,66)</f>
        <v>17321875</v>
      </c>
      <c r="E111" s="49">
        <f>VLOOKUP($A111,'Data shares'!$C:$FB,67)</f>
        <v>11690000</v>
      </c>
      <c r="F111" s="50">
        <f>VLOOKUP($A111,'Data shares'!$C:$FB,69)*100</f>
        <v>48.18</v>
      </c>
      <c r="G111" s="49">
        <f>VLOOKUP($A111,'Data shares'!$C:$FB,42)</f>
        <v>2972500</v>
      </c>
      <c r="H111" s="49">
        <f>VLOOKUP($A111,'Data shares'!$C:$FB,43)</f>
        <v>2436250</v>
      </c>
      <c r="I111" s="50">
        <f>VLOOKUP($A111,'Data shares'!$C:$FB,45)*100</f>
        <v>22.009999999999998</v>
      </c>
      <c r="J111" s="49">
        <f>VLOOKUP($A111,'Data shares'!$C:$FB,58)</f>
        <v>10471250</v>
      </c>
      <c r="K111" s="49">
        <f>VLOOKUP($A111,'Data shares'!$C:$FB,59)</f>
        <v>7453750</v>
      </c>
      <c r="L111" s="50">
        <f>VLOOKUP($A111,'Data shares'!$C:$FB,61)*100</f>
        <v>40.479999999999997</v>
      </c>
      <c r="M111" s="49">
        <f>VLOOKUP($A111,'Data shares'!$C:$FB,62)</f>
        <v>3878125</v>
      </c>
      <c r="N111" s="49">
        <f>VLOOKUP($A111,'Data shares'!$C:$FB,63)</f>
        <v>1800000</v>
      </c>
      <c r="O111" s="140">
        <f>VLOOKUP($A111,'Data shares'!$C:$FB,65)*100</f>
        <v>115.45</v>
      </c>
    </row>
    <row r="112" spans="1:15" x14ac:dyDescent="0.25">
      <c r="A112" s="101" t="str">
        <f>'Data shares'!C107</f>
        <v>JIOFIN</v>
      </c>
      <c r="B112" s="50">
        <f>VLOOKUP($A112,'Data shares'!$C:$FB,7)</f>
        <v>312.10000000000002</v>
      </c>
      <c r="C112" s="50">
        <f>VLOOKUP($A112,'Data shares'!$C:$FB,10)*100</f>
        <v>-0.18</v>
      </c>
      <c r="D112" s="49">
        <f>VLOOKUP($A112,'Data shares'!$C:$FB,66)</f>
        <v>131835000</v>
      </c>
      <c r="E112" s="49">
        <f>VLOOKUP($A112,'Data shares'!$C:$FB,67)</f>
        <v>181488150</v>
      </c>
      <c r="F112" s="50">
        <f>VLOOKUP($A112,'Data shares'!$C:$FB,69)*100</f>
        <v>-27.36</v>
      </c>
      <c r="G112" s="49">
        <f>VLOOKUP($A112,'Data shares'!$C:$FB,42)</f>
        <v>18391100</v>
      </c>
      <c r="H112" s="49">
        <f>VLOOKUP($A112,'Data shares'!$C:$FB,43)</f>
        <v>29379700</v>
      </c>
      <c r="I112" s="50">
        <f>VLOOKUP($A112,'Data shares'!$C:$FB,45)*100</f>
        <v>-37.4</v>
      </c>
      <c r="J112" s="49">
        <f>VLOOKUP($A112,'Data shares'!$C:$FB,58)</f>
        <v>78579300</v>
      </c>
      <c r="K112" s="49">
        <f>VLOOKUP($A112,'Data shares'!$C:$FB,59)</f>
        <v>111265450</v>
      </c>
      <c r="L112" s="50">
        <f>VLOOKUP($A112,'Data shares'!$C:$FB,61)*100</f>
        <v>-29.38</v>
      </c>
      <c r="M112" s="49">
        <f>VLOOKUP($A112,'Data shares'!$C:$FB,62)</f>
        <v>34864600</v>
      </c>
      <c r="N112" s="49">
        <f>VLOOKUP($A112,'Data shares'!$C:$FB,63)</f>
        <v>40843000</v>
      </c>
      <c r="O112" s="140">
        <f>VLOOKUP($A112,'Data shares'!$C:$FB,65)*100</f>
        <v>-14.64</v>
      </c>
    </row>
    <row r="113" spans="1:15" x14ac:dyDescent="0.25">
      <c r="A113" s="101" t="str">
        <f>'Data shares'!C108</f>
        <v>JSWENERGY</v>
      </c>
      <c r="B113" s="50">
        <f>VLOOKUP($A113,'Data shares'!$C:$FB,7)</f>
        <v>548.6</v>
      </c>
      <c r="C113" s="50">
        <f>VLOOKUP($A113,'Data shares'!$C:$FB,10)*100</f>
        <v>0.52</v>
      </c>
      <c r="D113" s="49">
        <f>VLOOKUP($A113,'Data shares'!$C:$FB,66)</f>
        <v>18941000</v>
      </c>
      <c r="E113" s="49">
        <f>VLOOKUP($A113,'Data shares'!$C:$FB,67)</f>
        <v>10857000</v>
      </c>
      <c r="F113" s="50">
        <f>VLOOKUP($A113,'Data shares'!$C:$FB,69)*100</f>
        <v>74.460000000000008</v>
      </c>
      <c r="G113" s="49">
        <f>VLOOKUP($A113,'Data shares'!$C:$FB,42)</f>
        <v>3688000</v>
      </c>
      <c r="H113" s="49">
        <f>VLOOKUP($A113,'Data shares'!$C:$FB,43)</f>
        <v>2550000</v>
      </c>
      <c r="I113" s="50">
        <f>VLOOKUP($A113,'Data shares'!$C:$FB,45)*100</f>
        <v>44.629999999999995</v>
      </c>
      <c r="J113" s="49">
        <f>VLOOKUP($A113,'Data shares'!$C:$FB,58)</f>
        <v>12439000</v>
      </c>
      <c r="K113" s="49">
        <f>VLOOKUP($A113,'Data shares'!$C:$FB,59)</f>
        <v>6757000</v>
      </c>
      <c r="L113" s="50">
        <f>VLOOKUP($A113,'Data shares'!$C:$FB,61)*100</f>
        <v>84.09</v>
      </c>
      <c r="M113" s="49">
        <f>VLOOKUP($A113,'Data shares'!$C:$FB,62)</f>
        <v>2814000</v>
      </c>
      <c r="N113" s="49">
        <f>VLOOKUP($A113,'Data shares'!$C:$FB,63)</f>
        <v>1550000</v>
      </c>
      <c r="O113" s="140">
        <f>VLOOKUP($A113,'Data shares'!$C:$FB,65)*100</f>
        <v>81.55</v>
      </c>
    </row>
    <row r="114" spans="1:15" x14ac:dyDescent="0.25">
      <c r="A114" s="101" t="str">
        <f>'Data shares'!C109</f>
        <v>JSWSTEEL</v>
      </c>
      <c r="B114" s="50">
        <f>VLOOKUP($A114,'Data shares'!$C:$FB,7)</f>
        <v>1172.0999999999999</v>
      </c>
      <c r="C114" s="50">
        <f>VLOOKUP($A114,'Data shares'!$C:$FB,10)*100</f>
        <v>0.97</v>
      </c>
      <c r="D114" s="49">
        <f>VLOOKUP($A114,'Data shares'!$C:$FB,66)</f>
        <v>9640350</v>
      </c>
      <c r="E114" s="49">
        <f>VLOOKUP($A114,'Data shares'!$C:$FB,67)</f>
        <v>8061525</v>
      </c>
      <c r="F114" s="50">
        <f>VLOOKUP($A114,'Data shares'!$C:$FB,69)*100</f>
        <v>19.580000000000002</v>
      </c>
      <c r="G114" s="49">
        <f>VLOOKUP($A114,'Data shares'!$C:$FB,42)</f>
        <v>2158650</v>
      </c>
      <c r="H114" s="49">
        <f>VLOOKUP($A114,'Data shares'!$C:$FB,43)</f>
        <v>1924425</v>
      </c>
      <c r="I114" s="50">
        <f>VLOOKUP($A114,'Data shares'!$C:$FB,45)*100</f>
        <v>12.17</v>
      </c>
      <c r="J114" s="49">
        <f>VLOOKUP($A114,'Data shares'!$C:$FB,58)</f>
        <v>5061150</v>
      </c>
      <c r="K114" s="49">
        <f>VLOOKUP($A114,'Data shares'!$C:$FB,59)</f>
        <v>4172175</v>
      </c>
      <c r="L114" s="50">
        <f>VLOOKUP($A114,'Data shares'!$C:$FB,61)*100</f>
        <v>21.310000000000002</v>
      </c>
      <c r="M114" s="49">
        <f>VLOOKUP($A114,'Data shares'!$C:$FB,62)</f>
        <v>2420550</v>
      </c>
      <c r="N114" s="49">
        <f>VLOOKUP($A114,'Data shares'!$C:$FB,63)</f>
        <v>1964925</v>
      </c>
      <c r="O114" s="140">
        <f>VLOOKUP($A114,'Data shares'!$C:$FB,65)*100</f>
        <v>23.189999999999998</v>
      </c>
    </row>
    <row r="115" spans="1:15" x14ac:dyDescent="0.25">
      <c r="A115" s="101" t="str">
        <f>'Data shares'!C110</f>
        <v>JUBLFOOD</v>
      </c>
      <c r="B115" s="50">
        <f>VLOOKUP($A115,'Data shares'!$C:$FB,7)</f>
        <v>595.29999999999995</v>
      </c>
      <c r="C115" s="50">
        <f>VLOOKUP($A115,'Data shares'!$C:$FB,10)*100</f>
        <v>1.81</v>
      </c>
      <c r="D115" s="49">
        <f>VLOOKUP($A115,'Data shares'!$C:$FB,66)</f>
        <v>17542500</v>
      </c>
      <c r="E115" s="49">
        <f>VLOOKUP($A115,'Data shares'!$C:$FB,67)</f>
        <v>13681250</v>
      </c>
      <c r="F115" s="50">
        <f>VLOOKUP($A115,'Data shares'!$C:$FB,69)*100</f>
        <v>28.22</v>
      </c>
      <c r="G115" s="49">
        <f>VLOOKUP($A115,'Data shares'!$C:$FB,42)</f>
        <v>3251250</v>
      </c>
      <c r="H115" s="49">
        <f>VLOOKUP($A115,'Data shares'!$C:$FB,43)</f>
        <v>2211250</v>
      </c>
      <c r="I115" s="50">
        <f>VLOOKUP($A115,'Data shares'!$C:$FB,45)*100</f>
        <v>47.03</v>
      </c>
      <c r="J115" s="49">
        <f>VLOOKUP($A115,'Data shares'!$C:$FB,58)</f>
        <v>11300000</v>
      </c>
      <c r="K115" s="49">
        <f>VLOOKUP($A115,'Data shares'!$C:$FB,59)</f>
        <v>9232500</v>
      </c>
      <c r="L115" s="50">
        <f>VLOOKUP($A115,'Data shares'!$C:$FB,61)*100</f>
        <v>22.39</v>
      </c>
      <c r="M115" s="49">
        <f>VLOOKUP($A115,'Data shares'!$C:$FB,62)</f>
        <v>2991250</v>
      </c>
      <c r="N115" s="49">
        <f>VLOOKUP($A115,'Data shares'!$C:$FB,63)</f>
        <v>2237500</v>
      </c>
      <c r="O115" s="140">
        <f>VLOOKUP($A115,'Data shares'!$C:$FB,65)*100</f>
        <v>33.69</v>
      </c>
    </row>
    <row r="116" spans="1:15" x14ac:dyDescent="0.25">
      <c r="A116" s="101" t="str">
        <f>'Data shares'!C111</f>
        <v>KALYANKJIL</v>
      </c>
      <c r="B116" s="50">
        <f>VLOOKUP($A116,'Data shares'!$C:$FB,7)</f>
        <v>487.15</v>
      </c>
      <c r="C116" s="50">
        <f>VLOOKUP($A116,'Data shares'!$C:$FB,10)*100</f>
        <v>2.13</v>
      </c>
      <c r="D116" s="49">
        <f>VLOOKUP($A116,'Data shares'!$C:$FB,66)</f>
        <v>47358375</v>
      </c>
      <c r="E116" s="49">
        <f>VLOOKUP($A116,'Data shares'!$C:$FB,67)</f>
        <v>19348725</v>
      </c>
      <c r="F116" s="50">
        <f>VLOOKUP($A116,'Data shares'!$C:$FB,69)*100</f>
        <v>144.76</v>
      </c>
      <c r="G116" s="49">
        <f>VLOOKUP($A116,'Data shares'!$C:$FB,42)</f>
        <v>5615325</v>
      </c>
      <c r="H116" s="49">
        <f>VLOOKUP($A116,'Data shares'!$C:$FB,43)</f>
        <v>3121975</v>
      </c>
      <c r="I116" s="50">
        <f>VLOOKUP($A116,'Data shares'!$C:$FB,45)*100</f>
        <v>79.86</v>
      </c>
      <c r="J116" s="49">
        <f>VLOOKUP($A116,'Data shares'!$C:$FB,58)</f>
        <v>30376100</v>
      </c>
      <c r="K116" s="49">
        <f>VLOOKUP($A116,'Data shares'!$C:$FB,59)</f>
        <v>12252900</v>
      </c>
      <c r="L116" s="50">
        <f>VLOOKUP($A116,'Data shares'!$C:$FB,61)*100</f>
        <v>147.91</v>
      </c>
      <c r="M116" s="49">
        <f>VLOOKUP($A116,'Data shares'!$C:$FB,62)</f>
        <v>11366950</v>
      </c>
      <c r="N116" s="49">
        <f>VLOOKUP($A116,'Data shares'!$C:$FB,63)</f>
        <v>3973850</v>
      </c>
      <c r="O116" s="140">
        <f>VLOOKUP($A116,'Data shares'!$C:$FB,65)*100</f>
        <v>186.04</v>
      </c>
    </row>
    <row r="117" spans="1:15" x14ac:dyDescent="0.25">
      <c r="A117" s="101" t="str">
        <f>'Data shares'!C112</f>
        <v>KAYNES</v>
      </c>
      <c r="B117" s="50">
        <f>VLOOKUP($A117,'Data shares'!$C:$FB,7)</f>
        <v>6991.5</v>
      </c>
      <c r="C117" s="50">
        <f>VLOOKUP($A117,'Data shares'!$C:$FB,10)*100</f>
        <v>0.47000000000000003</v>
      </c>
      <c r="D117" s="49">
        <f>VLOOKUP($A117,'Data shares'!$C:$FB,66)</f>
        <v>5323100</v>
      </c>
      <c r="E117" s="49">
        <f>VLOOKUP($A117,'Data shares'!$C:$FB,67)</f>
        <v>2879000</v>
      </c>
      <c r="F117" s="50">
        <f>VLOOKUP($A117,'Data shares'!$C:$FB,69)*100</f>
        <v>84.89</v>
      </c>
      <c r="G117" s="49">
        <f>VLOOKUP($A117,'Data shares'!$C:$FB,42)</f>
        <v>558500</v>
      </c>
      <c r="H117" s="49">
        <f>VLOOKUP($A117,'Data shares'!$C:$FB,43)</f>
        <v>285000</v>
      </c>
      <c r="I117" s="50">
        <f>VLOOKUP($A117,'Data shares'!$C:$FB,45)*100</f>
        <v>95.960000000000008</v>
      </c>
      <c r="J117" s="49">
        <f>VLOOKUP($A117,'Data shares'!$C:$FB,58)</f>
        <v>3736200</v>
      </c>
      <c r="K117" s="49">
        <f>VLOOKUP($A117,'Data shares'!$C:$FB,59)</f>
        <v>1890100</v>
      </c>
      <c r="L117" s="50">
        <f>VLOOKUP($A117,'Data shares'!$C:$FB,61)*100</f>
        <v>97.67</v>
      </c>
      <c r="M117" s="49">
        <f>VLOOKUP($A117,'Data shares'!$C:$FB,62)</f>
        <v>1028400</v>
      </c>
      <c r="N117" s="49">
        <f>VLOOKUP($A117,'Data shares'!$C:$FB,63)</f>
        <v>703900</v>
      </c>
      <c r="O117" s="140">
        <f>VLOOKUP($A117,'Data shares'!$C:$FB,65)*100</f>
        <v>46.1</v>
      </c>
    </row>
    <row r="118" spans="1:15" x14ac:dyDescent="0.25">
      <c r="A118" s="101" t="str">
        <f>'Data shares'!C113</f>
        <v>KEI</v>
      </c>
      <c r="B118" s="50">
        <f>VLOOKUP($A118,'Data shares'!$C:$FB,7)</f>
        <v>4172.6000000000004</v>
      </c>
      <c r="C118" s="50">
        <f>VLOOKUP($A118,'Data shares'!$C:$FB,10)*100</f>
        <v>-5.6099999999999994</v>
      </c>
      <c r="D118" s="49">
        <f>VLOOKUP($A118,'Data shares'!$C:$FB,66)</f>
        <v>19894175</v>
      </c>
      <c r="E118" s="49">
        <f>VLOOKUP($A118,'Data shares'!$C:$FB,67)</f>
        <v>5420100</v>
      </c>
      <c r="F118" s="50">
        <f>VLOOKUP($A118,'Data shares'!$C:$FB,69)*100</f>
        <v>267.03999999999996</v>
      </c>
      <c r="G118" s="49">
        <f>VLOOKUP($A118,'Data shares'!$C:$FB,42)</f>
        <v>3364200</v>
      </c>
      <c r="H118" s="49">
        <f>VLOOKUP($A118,'Data shares'!$C:$FB,43)</f>
        <v>839475</v>
      </c>
      <c r="I118" s="50">
        <f>VLOOKUP($A118,'Data shares'!$C:$FB,45)*100</f>
        <v>300.75</v>
      </c>
      <c r="J118" s="49">
        <f>VLOOKUP($A118,'Data shares'!$C:$FB,58)</f>
        <v>11732000</v>
      </c>
      <c r="K118" s="49">
        <f>VLOOKUP($A118,'Data shares'!$C:$FB,59)</f>
        <v>3360175</v>
      </c>
      <c r="L118" s="50">
        <f>VLOOKUP($A118,'Data shares'!$C:$FB,61)*100</f>
        <v>249.14999999999998</v>
      </c>
      <c r="M118" s="49">
        <f>VLOOKUP($A118,'Data shares'!$C:$FB,62)</f>
        <v>4797975</v>
      </c>
      <c r="N118" s="49">
        <f>VLOOKUP($A118,'Data shares'!$C:$FB,63)</f>
        <v>1220450</v>
      </c>
      <c r="O118" s="140">
        <f>VLOOKUP($A118,'Data shares'!$C:$FB,65)*100</f>
        <v>293.13</v>
      </c>
    </row>
    <row r="119" spans="1:15" x14ac:dyDescent="0.25">
      <c r="A119" s="101" t="str">
        <f>'Data shares'!C114</f>
        <v>KFINTECH</v>
      </c>
      <c r="B119" s="50">
        <f>VLOOKUP($A119,'Data shares'!$C:$FB,7)</f>
        <v>1123.9000000000001</v>
      </c>
      <c r="C119" s="50">
        <f>VLOOKUP($A119,'Data shares'!$C:$FB,10)*100</f>
        <v>-0.35000000000000003</v>
      </c>
      <c r="D119" s="49">
        <f>VLOOKUP($A119,'Data shares'!$C:$FB,66)</f>
        <v>2688300</v>
      </c>
      <c r="E119" s="49">
        <f>VLOOKUP($A119,'Data shares'!$C:$FB,67)</f>
        <v>4181850</v>
      </c>
      <c r="F119" s="50">
        <f>VLOOKUP($A119,'Data shares'!$C:$FB,69)*100</f>
        <v>-35.72</v>
      </c>
      <c r="G119" s="49">
        <f>VLOOKUP($A119,'Data shares'!$C:$FB,42)</f>
        <v>684450</v>
      </c>
      <c r="H119" s="49">
        <f>VLOOKUP($A119,'Data shares'!$C:$FB,43)</f>
        <v>1110150</v>
      </c>
      <c r="I119" s="50">
        <f>VLOOKUP($A119,'Data shares'!$C:$FB,45)*100</f>
        <v>-38.35</v>
      </c>
      <c r="J119" s="49">
        <f>VLOOKUP($A119,'Data shares'!$C:$FB,58)</f>
        <v>1326150</v>
      </c>
      <c r="K119" s="49">
        <f>VLOOKUP($A119,'Data shares'!$C:$FB,59)</f>
        <v>2234700</v>
      </c>
      <c r="L119" s="50">
        <f>VLOOKUP($A119,'Data shares'!$C:$FB,61)*100</f>
        <v>-40.660000000000004</v>
      </c>
      <c r="M119" s="49">
        <f>VLOOKUP($A119,'Data shares'!$C:$FB,62)</f>
        <v>677700</v>
      </c>
      <c r="N119" s="49">
        <f>VLOOKUP($A119,'Data shares'!$C:$FB,63)</f>
        <v>837000</v>
      </c>
      <c r="O119" s="140">
        <f>VLOOKUP($A119,'Data shares'!$C:$FB,65)*100</f>
        <v>-19.03</v>
      </c>
    </row>
    <row r="120" spans="1:15" x14ac:dyDescent="0.25">
      <c r="A120" s="101" t="str">
        <f>'Data shares'!C115</f>
        <v>KOTAKBANK</v>
      </c>
      <c r="B120" s="50">
        <f>VLOOKUP($A120,'Data shares'!$C:$FB,7)</f>
        <v>2205.4</v>
      </c>
      <c r="C120" s="50">
        <f>VLOOKUP($A120,'Data shares'!$C:$FB,10)*100</f>
        <v>2.6</v>
      </c>
      <c r="D120" s="49">
        <f>VLOOKUP($A120,'Data shares'!$C:$FB,66)</f>
        <v>55751600</v>
      </c>
      <c r="E120" s="49">
        <f>VLOOKUP($A120,'Data shares'!$C:$FB,67)</f>
        <v>14695200</v>
      </c>
      <c r="F120" s="50">
        <f>VLOOKUP($A120,'Data shares'!$C:$FB,69)*100</f>
        <v>279.39</v>
      </c>
      <c r="G120" s="49">
        <f>VLOOKUP($A120,'Data shares'!$C:$FB,42)</f>
        <v>9054400</v>
      </c>
      <c r="H120" s="49">
        <f>VLOOKUP($A120,'Data shares'!$C:$FB,43)</f>
        <v>2697200</v>
      </c>
      <c r="I120" s="50">
        <f>VLOOKUP($A120,'Data shares'!$C:$FB,45)*100</f>
        <v>235.70000000000002</v>
      </c>
      <c r="J120" s="49">
        <f>VLOOKUP($A120,'Data shares'!$C:$FB,58)</f>
        <v>28159600</v>
      </c>
      <c r="K120" s="49">
        <f>VLOOKUP($A120,'Data shares'!$C:$FB,59)</f>
        <v>7191600</v>
      </c>
      <c r="L120" s="50">
        <f>VLOOKUP($A120,'Data shares'!$C:$FB,61)*100</f>
        <v>291.56</v>
      </c>
      <c r="M120" s="49">
        <f>VLOOKUP($A120,'Data shares'!$C:$FB,62)</f>
        <v>18537600</v>
      </c>
      <c r="N120" s="49">
        <f>VLOOKUP($A120,'Data shares'!$C:$FB,63)</f>
        <v>4806400</v>
      </c>
      <c r="O120" s="140">
        <f>VLOOKUP($A120,'Data shares'!$C:$FB,65)*100</f>
        <v>285.69</v>
      </c>
    </row>
    <row r="121" spans="1:15" x14ac:dyDescent="0.25">
      <c r="A121" s="101" t="str">
        <f>'Data shares'!C116</f>
        <v>KPITTECH</v>
      </c>
      <c r="B121" s="50">
        <f>VLOOKUP($A121,'Data shares'!$C:$FB,7)</f>
        <v>1161.9000000000001</v>
      </c>
      <c r="C121" s="50">
        <f>VLOOKUP($A121,'Data shares'!$C:$FB,10)*100</f>
        <v>-0.33</v>
      </c>
      <c r="D121" s="49">
        <f>VLOOKUP($A121,'Data shares'!$C:$FB,66)</f>
        <v>2867200</v>
      </c>
      <c r="E121" s="49">
        <f>VLOOKUP($A121,'Data shares'!$C:$FB,67)</f>
        <v>3153600</v>
      </c>
      <c r="F121" s="50">
        <f>VLOOKUP($A121,'Data shares'!$C:$FB,69)*100</f>
        <v>-9.08</v>
      </c>
      <c r="G121" s="49">
        <f>VLOOKUP($A121,'Data shares'!$C:$FB,42)</f>
        <v>1035600</v>
      </c>
      <c r="H121" s="49">
        <f>VLOOKUP($A121,'Data shares'!$C:$FB,43)</f>
        <v>755200</v>
      </c>
      <c r="I121" s="50">
        <f>VLOOKUP($A121,'Data shares'!$C:$FB,45)*100</f>
        <v>37.130000000000003</v>
      </c>
      <c r="J121" s="49">
        <f>VLOOKUP($A121,'Data shares'!$C:$FB,58)</f>
        <v>1266800</v>
      </c>
      <c r="K121" s="49">
        <f>VLOOKUP($A121,'Data shares'!$C:$FB,59)</f>
        <v>1797600</v>
      </c>
      <c r="L121" s="50">
        <f>VLOOKUP($A121,'Data shares'!$C:$FB,61)*100</f>
        <v>-29.53</v>
      </c>
      <c r="M121" s="49">
        <f>VLOOKUP($A121,'Data shares'!$C:$FB,62)</f>
        <v>564800</v>
      </c>
      <c r="N121" s="49">
        <f>VLOOKUP($A121,'Data shares'!$C:$FB,63)</f>
        <v>600800</v>
      </c>
      <c r="O121" s="140">
        <f>VLOOKUP($A121,'Data shares'!$C:$FB,65)*100</f>
        <v>-5.99</v>
      </c>
    </row>
    <row r="122" spans="1:15" x14ac:dyDescent="0.25">
      <c r="A122" s="101" t="str">
        <f>'Data shares'!C117</f>
        <v>LAURUSLABS</v>
      </c>
      <c r="B122" s="50">
        <f>VLOOKUP($A122,'Data shares'!$C:$FB,7)</f>
        <v>872.85</v>
      </c>
      <c r="C122" s="50">
        <f>VLOOKUP($A122,'Data shares'!$C:$FB,10)*100</f>
        <v>-0.27999999999999997</v>
      </c>
      <c r="D122" s="49">
        <f>VLOOKUP($A122,'Data shares'!$C:$FB,66)</f>
        <v>17353600</v>
      </c>
      <c r="E122" s="49">
        <f>VLOOKUP($A122,'Data shares'!$C:$FB,67)</f>
        <v>13130800</v>
      </c>
      <c r="F122" s="50">
        <f>VLOOKUP($A122,'Data shares'!$C:$FB,69)*100</f>
        <v>32.159999999999997</v>
      </c>
      <c r="G122" s="49">
        <f>VLOOKUP($A122,'Data shares'!$C:$FB,42)</f>
        <v>4102100</v>
      </c>
      <c r="H122" s="49">
        <f>VLOOKUP($A122,'Data shares'!$C:$FB,43)</f>
        <v>3294600</v>
      </c>
      <c r="I122" s="50">
        <f>VLOOKUP($A122,'Data shares'!$C:$FB,45)*100</f>
        <v>24.51</v>
      </c>
      <c r="J122" s="49">
        <f>VLOOKUP($A122,'Data shares'!$C:$FB,58)</f>
        <v>9581200</v>
      </c>
      <c r="K122" s="49">
        <f>VLOOKUP($A122,'Data shares'!$C:$FB,59)</f>
        <v>6772800</v>
      </c>
      <c r="L122" s="50">
        <f>VLOOKUP($A122,'Data shares'!$C:$FB,61)*100</f>
        <v>41.47</v>
      </c>
      <c r="M122" s="49">
        <f>VLOOKUP($A122,'Data shares'!$C:$FB,62)</f>
        <v>3670300</v>
      </c>
      <c r="N122" s="49">
        <f>VLOOKUP($A122,'Data shares'!$C:$FB,63)</f>
        <v>3063400</v>
      </c>
      <c r="O122" s="140">
        <f>VLOOKUP($A122,'Data shares'!$C:$FB,65)*100</f>
        <v>19.809999999999999</v>
      </c>
    </row>
    <row r="123" spans="1:15" x14ac:dyDescent="0.25">
      <c r="A123" s="101" t="str">
        <f>'Data shares'!C118</f>
        <v>LICHSGFIN</v>
      </c>
      <c r="B123" s="50">
        <f>VLOOKUP($A123,'Data shares'!$C:$FB,7)</f>
        <v>569.29999999999995</v>
      </c>
      <c r="C123" s="50">
        <f>VLOOKUP($A123,'Data shares'!$C:$FB,10)*100</f>
        <v>0.04</v>
      </c>
      <c r="D123" s="49">
        <f>VLOOKUP($A123,'Data shares'!$C:$FB,66)</f>
        <v>8904000</v>
      </c>
      <c r="E123" s="49">
        <f>VLOOKUP($A123,'Data shares'!$C:$FB,67)</f>
        <v>8964000</v>
      </c>
      <c r="F123" s="50">
        <f>VLOOKUP($A123,'Data shares'!$C:$FB,69)*100</f>
        <v>-0.67</v>
      </c>
      <c r="G123" s="49">
        <f>VLOOKUP($A123,'Data shares'!$C:$FB,42)</f>
        <v>2596000</v>
      </c>
      <c r="H123" s="49">
        <f>VLOOKUP($A123,'Data shares'!$C:$FB,43)</f>
        <v>2371000</v>
      </c>
      <c r="I123" s="50">
        <f>VLOOKUP($A123,'Data shares'!$C:$FB,45)*100</f>
        <v>9.49</v>
      </c>
      <c r="J123" s="49">
        <f>VLOOKUP($A123,'Data shares'!$C:$FB,58)</f>
        <v>4649000</v>
      </c>
      <c r="K123" s="49">
        <f>VLOOKUP($A123,'Data shares'!$C:$FB,59)</f>
        <v>4614000</v>
      </c>
      <c r="L123" s="50">
        <f>VLOOKUP($A123,'Data shares'!$C:$FB,61)*100</f>
        <v>0.76</v>
      </c>
      <c r="M123" s="49">
        <f>VLOOKUP($A123,'Data shares'!$C:$FB,62)</f>
        <v>1659000</v>
      </c>
      <c r="N123" s="49">
        <f>VLOOKUP($A123,'Data shares'!$C:$FB,63)</f>
        <v>1979000</v>
      </c>
      <c r="O123" s="140">
        <f>VLOOKUP($A123,'Data shares'!$C:$FB,65)*100</f>
        <v>-16.170000000000002</v>
      </c>
    </row>
    <row r="124" spans="1:15" x14ac:dyDescent="0.25">
      <c r="A124" s="101" t="str">
        <f>'Data shares'!C119</f>
        <v>LICI</v>
      </c>
      <c r="B124" s="50">
        <f>VLOOKUP($A124,'Data shares'!$C:$FB,7)</f>
        <v>894.15</v>
      </c>
      <c r="C124" s="50">
        <f>VLOOKUP($A124,'Data shares'!$C:$FB,10)*100</f>
        <v>-0.53</v>
      </c>
      <c r="D124" s="49">
        <f>VLOOKUP($A124,'Data shares'!$C:$FB,66)</f>
        <v>8654800</v>
      </c>
      <c r="E124" s="49">
        <f>VLOOKUP($A124,'Data shares'!$C:$FB,67)</f>
        <v>5215000</v>
      </c>
      <c r="F124" s="50">
        <f>VLOOKUP($A124,'Data shares'!$C:$FB,69)*100</f>
        <v>65.959999999999994</v>
      </c>
      <c r="G124" s="49">
        <f>VLOOKUP($A124,'Data shares'!$C:$FB,42)</f>
        <v>2171400</v>
      </c>
      <c r="H124" s="49">
        <f>VLOOKUP($A124,'Data shares'!$C:$FB,43)</f>
        <v>1138200</v>
      </c>
      <c r="I124" s="50">
        <f>VLOOKUP($A124,'Data shares'!$C:$FB,45)*100</f>
        <v>90.77</v>
      </c>
      <c r="J124" s="49">
        <f>VLOOKUP($A124,'Data shares'!$C:$FB,58)</f>
        <v>4474400</v>
      </c>
      <c r="K124" s="49">
        <f>VLOOKUP($A124,'Data shares'!$C:$FB,59)</f>
        <v>3096800</v>
      </c>
      <c r="L124" s="50">
        <f>VLOOKUP($A124,'Data shares'!$C:$FB,61)*100</f>
        <v>44.48</v>
      </c>
      <c r="M124" s="49">
        <f>VLOOKUP($A124,'Data shares'!$C:$FB,62)</f>
        <v>2009000</v>
      </c>
      <c r="N124" s="49">
        <f>VLOOKUP($A124,'Data shares'!$C:$FB,63)</f>
        <v>980000</v>
      </c>
      <c r="O124" s="140">
        <f>VLOOKUP($A124,'Data shares'!$C:$FB,65)*100</f>
        <v>105</v>
      </c>
    </row>
    <row r="125" spans="1:15" x14ac:dyDescent="0.25">
      <c r="A125" s="101" t="str">
        <f>'Data shares'!C120</f>
        <v>LODHA</v>
      </c>
      <c r="B125" s="50">
        <f>VLOOKUP($A125,'Data shares'!$C:$FB,7)</f>
        <v>1194.8</v>
      </c>
      <c r="C125" s="50">
        <f>VLOOKUP($A125,'Data shares'!$C:$FB,10)*100</f>
        <v>1.95</v>
      </c>
      <c r="D125" s="49">
        <f>VLOOKUP($A125,'Data shares'!$C:$FB,66)</f>
        <v>14914350</v>
      </c>
      <c r="E125" s="49">
        <f>VLOOKUP($A125,'Data shares'!$C:$FB,67)</f>
        <v>18982800</v>
      </c>
      <c r="F125" s="50">
        <f>VLOOKUP($A125,'Data shares'!$C:$FB,69)*100</f>
        <v>-21.43</v>
      </c>
      <c r="G125" s="49">
        <f>VLOOKUP($A125,'Data shares'!$C:$FB,42)</f>
        <v>2670750</v>
      </c>
      <c r="H125" s="49">
        <f>VLOOKUP($A125,'Data shares'!$C:$FB,43)</f>
        <v>2656800</v>
      </c>
      <c r="I125" s="50">
        <f>VLOOKUP($A125,'Data shares'!$C:$FB,45)*100</f>
        <v>0.53</v>
      </c>
      <c r="J125" s="49">
        <f>VLOOKUP($A125,'Data shares'!$C:$FB,58)</f>
        <v>9859500</v>
      </c>
      <c r="K125" s="49">
        <f>VLOOKUP($A125,'Data shares'!$C:$FB,59)</f>
        <v>12874050</v>
      </c>
      <c r="L125" s="50">
        <f>VLOOKUP($A125,'Data shares'!$C:$FB,61)*100</f>
        <v>-23.419999999999998</v>
      </c>
      <c r="M125" s="49">
        <f>VLOOKUP($A125,'Data shares'!$C:$FB,62)</f>
        <v>2384100</v>
      </c>
      <c r="N125" s="49">
        <f>VLOOKUP($A125,'Data shares'!$C:$FB,63)</f>
        <v>3451950</v>
      </c>
      <c r="O125" s="140">
        <f>VLOOKUP($A125,'Data shares'!$C:$FB,65)*100</f>
        <v>-30.930000000000003</v>
      </c>
    </row>
    <row r="126" spans="1:15" x14ac:dyDescent="0.25">
      <c r="A126" s="101" t="str">
        <f>'Data shares'!C121</f>
        <v>LT</v>
      </c>
      <c r="B126" s="50">
        <f>VLOOKUP($A126,'Data shares'!$C:$FB,7)</f>
        <v>3861.8</v>
      </c>
      <c r="C126" s="50">
        <f>VLOOKUP($A126,'Data shares'!$C:$FB,10)*100</f>
        <v>0.86</v>
      </c>
      <c r="D126" s="49">
        <f>VLOOKUP($A126,'Data shares'!$C:$FB,66)</f>
        <v>22309875</v>
      </c>
      <c r="E126" s="49">
        <f>VLOOKUP($A126,'Data shares'!$C:$FB,67)</f>
        <v>29716750</v>
      </c>
      <c r="F126" s="50">
        <f>VLOOKUP($A126,'Data shares'!$C:$FB,69)*100</f>
        <v>-24.92</v>
      </c>
      <c r="G126" s="49">
        <f>VLOOKUP($A126,'Data shares'!$C:$FB,42)</f>
        <v>2525075</v>
      </c>
      <c r="H126" s="49">
        <f>VLOOKUP($A126,'Data shares'!$C:$FB,43)</f>
        <v>3137925</v>
      </c>
      <c r="I126" s="50">
        <f>VLOOKUP($A126,'Data shares'!$C:$FB,45)*100</f>
        <v>-19.53</v>
      </c>
      <c r="J126" s="49">
        <f>VLOOKUP($A126,'Data shares'!$C:$FB,58)</f>
        <v>12519675</v>
      </c>
      <c r="K126" s="49">
        <f>VLOOKUP($A126,'Data shares'!$C:$FB,59)</f>
        <v>17579800</v>
      </c>
      <c r="L126" s="50">
        <f>VLOOKUP($A126,'Data shares'!$C:$FB,61)*100</f>
        <v>-28.78</v>
      </c>
      <c r="M126" s="49">
        <f>VLOOKUP($A126,'Data shares'!$C:$FB,62)</f>
        <v>7265125</v>
      </c>
      <c r="N126" s="49">
        <f>VLOOKUP($A126,'Data shares'!$C:$FB,63)</f>
        <v>8999025</v>
      </c>
      <c r="O126" s="140">
        <f>VLOOKUP($A126,'Data shares'!$C:$FB,65)*100</f>
        <v>-19.27</v>
      </c>
    </row>
    <row r="127" spans="1:15" x14ac:dyDescent="0.25">
      <c r="A127" s="101" t="str">
        <f>'Data shares'!C122</f>
        <v>LTF</v>
      </c>
      <c r="B127" s="50">
        <f>VLOOKUP($A127,'Data shares'!$C:$FB,7)</f>
        <v>269.19</v>
      </c>
      <c r="C127" s="50">
        <f>VLOOKUP($A127,'Data shares'!$C:$FB,10)*100</f>
        <v>-0.86999999999999988</v>
      </c>
      <c r="D127" s="49">
        <f>VLOOKUP($A127,'Data shares'!$C:$FB,66)</f>
        <v>285434140</v>
      </c>
      <c r="E127" s="49">
        <f>VLOOKUP($A127,'Data shares'!$C:$FB,67)</f>
        <v>151641070</v>
      </c>
      <c r="F127" s="50">
        <f>VLOOKUP($A127,'Data shares'!$C:$FB,69)*100</f>
        <v>88.23</v>
      </c>
      <c r="G127" s="49">
        <f>VLOOKUP($A127,'Data shares'!$C:$FB,42)</f>
        <v>35513058</v>
      </c>
      <c r="H127" s="49">
        <f>VLOOKUP($A127,'Data shares'!$C:$FB,43)</f>
        <v>20208398</v>
      </c>
      <c r="I127" s="50">
        <f>VLOOKUP($A127,'Data shares'!$C:$FB,45)*100</f>
        <v>75.73</v>
      </c>
      <c r="J127" s="49">
        <f>VLOOKUP($A127,'Data shares'!$C:$FB,58)</f>
        <v>151743696</v>
      </c>
      <c r="K127" s="49">
        <f>VLOOKUP($A127,'Data shares'!$C:$FB,59)</f>
        <v>83782974</v>
      </c>
      <c r="L127" s="50">
        <f>VLOOKUP($A127,'Data shares'!$C:$FB,61)*100</f>
        <v>81.12</v>
      </c>
      <c r="M127" s="49">
        <f>VLOOKUP($A127,'Data shares'!$C:$FB,62)</f>
        <v>98177386</v>
      </c>
      <c r="N127" s="49">
        <f>VLOOKUP($A127,'Data shares'!$C:$FB,63)</f>
        <v>47649698</v>
      </c>
      <c r="O127" s="140">
        <f>VLOOKUP($A127,'Data shares'!$C:$FB,65)*100</f>
        <v>106.04</v>
      </c>
    </row>
    <row r="128" spans="1:15" x14ac:dyDescent="0.25">
      <c r="A128" s="101" t="str">
        <f>'Data shares'!C123</f>
        <v>LTIM</v>
      </c>
      <c r="B128" s="50">
        <f>VLOOKUP($A128,'Data shares'!$C:$FB,7)</f>
        <v>5622.5</v>
      </c>
      <c r="C128" s="50">
        <f>VLOOKUP($A128,'Data shares'!$C:$FB,10)*100</f>
        <v>0.22999999999999998</v>
      </c>
      <c r="D128" s="49">
        <f>VLOOKUP($A128,'Data shares'!$C:$FB,66)</f>
        <v>5543250</v>
      </c>
      <c r="E128" s="49">
        <f>VLOOKUP($A128,'Data shares'!$C:$FB,67)</f>
        <v>6659400</v>
      </c>
      <c r="F128" s="50">
        <f>VLOOKUP($A128,'Data shares'!$C:$FB,69)*100</f>
        <v>-16.760000000000002</v>
      </c>
      <c r="G128" s="49">
        <f>VLOOKUP($A128,'Data shares'!$C:$FB,42)</f>
        <v>866550</v>
      </c>
      <c r="H128" s="49">
        <f>VLOOKUP($A128,'Data shares'!$C:$FB,43)</f>
        <v>1196250</v>
      </c>
      <c r="I128" s="50">
        <f>VLOOKUP($A128,'Data shares'!$C:$FB,45)*100</f>
        <v>-27.560000000000002</v>
      </c>
      <c r="J128" s="49">
        <f>VLOOKUP($A128,'Data shares'!$C:$FB,58)</f>
        <v>3187800</v>
      </c>
      <c r="K128" s="49">
        <f>VLOOKUP($A128,'Data shares'!$C:$FB,59)</f>
        <v>4129500</v>
      </c>
      <c r="L128" s="50">
        <f>VLOOKUP($A128,'Data shares'!$C:$FB,61)*100</f>
        <v>-22.8</v>
      </c>
      <c r="M128" s="49">
        <f>VLOOKUP($A128,'Data shares'!$C:$FB,62)</f>
        <v>1488900</v>
      </c>
      <c r="N128" s="49">
        <f>VLOOKUP($A128,'Data shares'!$C:$FB,63)</f>
        <v>1333650</v>
      </c>
      <c r="O128" s="140">
        <f>VLOOKUP($A128,'Data shares'!$C:$FB,65)*100</f>
        <v>11.64</v>
      </c>
    </row>
    <row r="129" spans="1:15" x14ac:dyDescent="0.25">
      <c r="A129" s="101" t="str">
        <f>'Data shares'!C124</f>
        <v>LUPIN</v>
      </c>
      <c r="B129" s="50">
        <f>VLOOKUP($A129,'Data shares'!$C:$FB,7)</f>
        <v>1951.2</v>
      </c>
      <c r="C129" s="50">
        <f>VLOOKUP($A129,'Data shares'!$C:$FB,10)*100</f>
        <v>0.54999999999999993</v>
      </c>
      <c r="D129" s="49">
        <f>VLOOKUP($A129,'Data shares'!$C:$FB,66)</f>
        <v>3664350</v>
      </c>
      <c r="E129" s="49">
        <f>VLOOKUP($A129,'Data shares'!$C:$FB,67)</f>
        <v>4503725</v>
      </c>
      <c r="F129" s="50">
        <f>VLOOKUP($A129,'Data shares'!$C:$FB,69)*100</f>
        <v>-18.64</v>
      </c>
      <c r="G129" s="49">
        <f>VLOOKUP($A129,'Data shares'!$C:$FB,42)</f>
        <v>773925</v>
      </c>
      <c r="H129" s="49">
        <f>VLOOKUP($A129,'Data shares'!$C:$FB,43)</f>
        <v>923100</v>
      </c>
      <c r="I129" s="50">
        <f>VLOOKUP($A129,'Data shares'!$C:$FB,45)*100</f>
        <v>-16.16</v>
      </c>
      <c r="J129" s="49">
        <f>VLOOKUP($A129,'Data shares'!$C:$FB,58)</f>
        <v>2315825</v>
      </c>
      <c r="K129" s="49">
        <f>VLOOKUP($A129,'Data shares'!$C:$FB,59)</f>
        <v>2669425</v>
      </c>
      <c r="L129" s="50">
        <f>VLOOKUP($A129,'Data shares'!$C:$FB,61)*100</f>
        <v>-13.25</v>
      </c>
      <c r="M129" s="49">
        <f>VLOOKUP($A129,'Data shares'!$C:$FB,62)</f>
        <v>574600</v>
      </c>
      <c r="N129" s="49">
        <f>VLOOKUP($A129,'Data shares'!$C:$FB,63)</f>
        <v>911200</v>
      </c>
      <c r="O129" s="140">
        <f>VLOOKUP($A129,'Data shares'!$C:$FB,65)*100</f>
        <v>-36.94</v>
      </c>
    </row>
    <row r="130" spans="1:15" x14ac:dyDescent="0.25">
      <c r="A130" s="101" t="str">
        <f>'Data shares'!C125</f>
        <v>M&amp;M</v>
      </c>
      <c r="B130" s="50">
        <f>VLOOKUP($A130,'Data shares'!$C:$FB,7)</f>
        <v>3560.8</v>
      </c>
      <c r="C130" s="50">
        <f>VLOOKUP($A130,'Data shares'!$C:$FB,10)*100</f>
        <v>1.82</v>
      </c>
      <c r="D130" s="49">
        <f>VLOOKUP($A130,'Data shares'!$C:$FB,66)</f>
        <v>23290400</v>
      </c>
      <c r="E130" s="49">
        <f>VLOOKUP($A130,'Data shares'!$C:$FB,67)</f>
        <v>10731200</v>
      </c>
      <c r="F130" s="50">
        <f>VLOOKUP($A130,'Data shares'!$C:$FB,69)*100</f>
        <v>117.02999999999999</v>
      </c>
      <c r="G130" s="49">
        <f>VLOOKUP($A130,'Data shares'!$C:$FB,42)</f>
        <v>2687400</v>
      </c>
      <c r="H130" s="49">
        <f>VLOOKUP($A130,'Data shares'!$C:$FB,43)</f>
        <v>1867800</v>
      </c>
      <c r="I130" s="50">
        <f>VLOOKUP($A130,'Data shares'!$C:$FB,45)*100</f>
        <v>43.88</v>
      </c>
      <c r="J130" s="49">
        <f>VLOOKUP($A130,'Data shares'!$C:$FB,58)</f>
        <v>14697200</v>
      </c>
      <c r="K130" s="49">
        <f>VLOOKUP($A130,'Data shares'!$C:$FB,59)</f>
        <v>6120600</v>
      </c>
      <c r="L130" s="50">
        <f>VLOOKUP($A130,'Data shares'!$C:$FB,61)*100</f>
        <v>140.13</v>
      </c>
      <c r="M130" s="49">
        <f>VLOOKUP($A130,'Data shares'!$C:$FB,62)</f>
        <v>5905800</v>
      </c>
      <c r="N130" s="49">
        <f>VLOOKUP($A130,'Data shares'!$C:$FB,63)</f>
        <v>2742800</v>
      </c>
      <c r="O130" s="140">
        <f>VLOOKUP($A130,'Data shares'!$C:$FB,65)*100</f>
        <v>115.32</v>
      </c>
    </row>
    <row r="131" spans="1:15" x14ac:dyDescent="0.25">
      <c r="A131" s="101" t="str">
        <f>'Data shares'!C126</f>
        <v>MANAPPURAM</v>
      </c>
      <c r="B131" s="50">
        <f>VLOOKUP($A131,'Data shares'!$C:$FB,7)</f>
        <v>286.8</v>
      </c>
      <c r="C131" s="50">
        <f>VLOOKUP($A131,'Data shares'!$C:$FB,10)*100</f>
        <v>-0.8</v>
      </c>
      <c r="D131" s="49">
        <f>VLOOKUP($A131,'Data shares'!$C:$FB,66)</f>
        <v>21528000</v>
      </c>
      <c r="E131" s="49">
        <f>VLOOKUP($A131,'Data shares'!$C:$FB,67)</f>
        <v>20247000</v>
      </c>
      <c r="F131" s="50">
        <f>VLOOKUP($A131,'Data shares'!$C:$FB,69)*100</f>
        <v>6.3299999999999992</v>
      </c>
      <c r="G131" s="49">
        <f>VLOOKUP($A131,'Data shares'!$C:$FB,42)</f>
        <v>4356000</v>
      </c>
      <c r="H131" s="49">
        <f>VLOOKUP($A131,'Data shares'!$C:$FB,43)</f>
        <v>4092000</v>
      </c>
      <c r="I131" s="50">
        <f>VLOOKUP($A131,'Data shares'!$C:$FB,45)*100</f>
        <v>6.45</v>
      </c>
      <c r="J131" s="49">
        <f>VLOOKUP($A131,'Data shares'!$C:$FB,58)</f>
        <v>13239000</v>
      </c>
      <c r="K131" s="49">
        <f>VLOOKUP($A131,'Data shares'!$C:$FB,59)</f>
        <v>11898000</v>
      </c>
      <c r="L131" s="50">
        <f>VLOOKUP($A131,'Data shares'!$C:$FB,61)*100</f>
        <v>11.27</v>
      </c>
      <c r="M131" s="49">
        <f>VLOOKUP($A131,'Data shares'!$C:$FB,62)</f>
        <v>3933000</v>
      </c>
      <c r="N131" s="49">
        <f>VLOOKUP($A131,'Data shares'!$C:$FB,63)</f>
        <v>4257000</v>
      </c>
      <c r="O131" s="140">
        <f>VLOOKUP($A131,'Data shares'!$C:$FB,65)*100</f>
        <v>-7.61</v>
      </c>
    </row>
    <row r="132" spans="1:15" x14ac:dyDescent="0.25">
      <c r="A132" s="101" t="str">
        <f>'Data shares'!C127</f>
        <v>MANKIND</v>
      </c>
      <c r="B132" s="50">
        <f>VLOOKUP($A132,'Data shares'!$C:$FB,7)</f>
        <v>2455.3000000000002</v>
      </c>
      <c r="C132" s="50">
        <f>VLOOKUP($A132,'Data shares'!$C:$FB,10)*100</f>
        <v>0.38999999999999996</v>
      </c>
      <c r="D132" s="49">
        <f>VLOOKUP($A132,'Data shares'!$C:$FB,66)</f>
        <v>1083600</v>
      </c>
      <c r="E132" s="49">
        <f>VLOOKUP($A132,'Data shares'!$C:$FB,67)</f>
        <v>1357425</v>
      </c>
      <c r="F132" s="50">
        <f>VLOOKUP($A132,'Data shares'!$C:$FB,69)*100</f>
        <v>-20.169999999999998</v>
      </c>
      <c r="G132" s="49">
        <f>VLOOKUP($A132,'Data shares'!$C:$FB,42)</f>
        <v>465300</v>
      </c>
      <c r="H132" s="49">
        <f>VLOOKUP($A132,'Data shares'!$C:$FB,43)</f>
        <v>434925</v>
      </c>
      <c r="I132" s="50">
        <f>VLOOKUP($A132,'Data shares'!$C:$FB,45)*100</f>
        <v>6.98</v>
      </c>
      <c r="J132" s="49">
        <f>VLOOKUP($A132,'Data shares'!$C:$FB,58)</f>
        <v>490050</v>
      </c>
      <c r="K132" s="49">
        <f>VLOOKUP($A132,'Data shares'!$C:$FB,59)</f>
        <v>698850</v>
      </c>
      <c r="L132" s="50">
        <f>VLOOKUP($A132,'Data shares'!$C:$FB,61)*100</f>
        <v>-29.880000000000003</v>
      </c>
      <c r="M132" s="49">
        <f>VLOOKUP($A132,'Data shares'!$C:$FB,62)</f>
        <v>128250</v>
      </c>
      <c r="N132" s="49">
        <f>VLOOKUP($A132,'Data shares'!$C:$FB,63)</f>
        <v>223650</v>
      </c>
      <c r="O132" s="140">
        <f>VLOOKUP($A132,'Data shares'!$C:$FB,65)*100</f>
        <v>-42.66</v>
      </c>
    </row>
    <row r="133" spans="1:15" x14ac:dyDescent="0.25">
      <c r="A133" s="101" t="str">
        <f>'Data shares'!C128</f>
        <v>MARICO</v>
      </c>
      <c r="B133" s="50">
        <f>VLOOKUP($A133,'Data shares'!$C:$FB,7)</f>
        <v>725.7</v>
      </c>
      <c r="C133" s="50">
        <f>VLOOKUP($A133,'Data shares'!$C:$FB,10)*100</f>
        <v>2.1800000000000002</v>
      </c>
      <c r="D133" s="49">
        <f>VLOOKUP($A133,'Data shares'!$C:$FB,66)</f>
        <v>13602000</v>
      </c>
      <c r="E133" s="49">
        <f>VLOOKUP($A133,'Data shares'!$C:$FB,67)</f>
        <v>6430800</v>
      </c>
      <c r="F133" s="50">
        <f>VLOOKUP($A133,'Data shares'!$C:$FB,69)*100</f>
        <v>111.50999999999999</v>
      </c>
      <c r="G133" s="49">
        <f>VLOOKUP($A133,'Data shares'!$C:$FB,42)</f>
        <v>2384400</v>
      </c>
      <c r="H133" s="49">
        <f>VLOOKUP($A133,'Data shares'!$C:$FB,43)</f>
        <v>1462800</v>
      </c>
      <c r="I133" s="50">
        <f>VLOOKUP($A133,'Data shares'!$C:$FB,45)*100</f>
        <v>63</v>
      </c>
      <c r="J133" s="49">
        <f>VLOOKUP($A133,'Data shares'!$C:$FB,58)</f>
        <v>8686800</v>
      </c>
      <c r="K133" s="49">
        <f>VLOOKUP($A133,'Data shares'!$C:$FB,59)</f>
        <v>3472800</v>
      </c>
      <c r="L133" s="50">
        <f>VLOOKUP($A133,'Data shares'!$C:$FB,61)*100</f>
        <v>150.14000000000001</v>
      </c>
      <c r="M133" s="49">
        <f>VLOOKUP($A133,'Data shares'!$C:$FB,62)</f>
        <v>2530800</v>
      </c>
      <c r="N133" s="49">
        <f>VLOOKUP($A133,'Data shares'!$C:$FB,63)</f>
        <v>1495200</v>
      </c>
      <c r="O133" s="140">
        <f>VLOOKUP($A133,'Data shares'!$C:$FB,65)*100</f>
        <v>69.260000000000005</v>
      </c>
    </row>
    <row r="134" spans="1:15" x14ac:dyDescent="0.25">
      <c r="A134" s="101" t="str">
        <f>'Data shares'!C129</f>
        <v>MARUTI</v>
      </c>
      <c r="B134" s="50">
        <f>VLOOKUP($A134,'Data shares'!$C:$FB,7)</f>
        <v>16298</v>
      </c>
      <c r="C134" s="50">
        <f>VLOOKUP($A134,'Data shares'!$C:$FB,10)*100</f>
        <v>0.53</v>
      </c>
      <c r="D134" s="49">
        <f>VLOOKUP($A134,'Data shares'!$C:$FB,66)</f>
        <v>4389350</v>
      </c>
      <c r="E134" s="49">
        <f>VLOOKUP($A134,'Data shares'!$C:$FB,67)</f>
        <v>5526950</v>
      </c>
      <c r="F134" s="50">
        <f>VLOOKUP($A134,'Data shares'!$C:$FB,69)*100</f>
        <v>-20.580000000000002</v>
      </c>
      <c r="G134" s="49">
        <f>VLOOKUP($A134,'Data shares'!$C:$FB,42)</f>
        <v>373600</v>
      </c>
      <c r="H134" s="49">
        <f>VLOOKUP($A134,'Data shares'!$C:$FB,43)</f>
        <v>387650</v>
      </c>
      <c r="I134" s="50">
        <f>VLOOKUP($A134,'Data shares'!$C:$FB,45)*100</f>
        <v>-3.62</v>
      </c>
      <c r="J134" s="49">
        <f>VLOOKUP($A134,'Data shares'!$C:$FB,58)</f>
        <v>2600650</v>
      </c>
      <c r="K134" s="49">
        <f>VLOOKUP($A134,'Data shares'!$C:$FB,59)</f>
        <v>3033650</v>
      </c>
      <c r="L134" s="50">
        <f>VLOOKUP($A134,'Data shares'!$C:$FB,61)*100</f>
        <v>-14.27</v>
      </c>
      <c r="M134" s="49">
        <f>VLOOKUP($A134,'Data shares'!$C:$FB,62)</f>
        <v>1415100</v>
      </c>
      <c r="N134" s="49">
        <f>VLOOKUP($A134,'Data shares'!$C:$FB,63)</f>
        <v>2105650</v>
      </c>
      <c r="O134" s="140">
        <f>VLOOKUP($A134,'Data shares'!$C:$FB,65)*100</f>
        <v>-32.800000000000004</v>
      </c>
    </row>
    <row r="135" spans="1:15" x14ac:dyDescent="0.25">
      <c r="A135" s="101" t="str">
        <f>'Data shares'!C130</f>
        <v>MAXHEALTH</v>
      </c>
      <c r="B135" s="50">
        <f>VLOOKUP($A135,'Data shares'!$C:$FB,7)</f>
        <v>1175.3</v>
      </c>
      <c r="C135" s="50">
        <f>VLOOKUP($A135,'Data shares'!$C:$FB,10)*100</f>
        <v>1.69</v>
      </c>
      <c r="D135" s="49">
        <f>VLOOKUP($A135,'Data shares'!$C:$FB,66)</f>
        <v>10033800</v>
      </c>
      <c r="E135" s="49">
        <f>VLOOKUP($A135,'Data shares'!$C:$FB,67)</f>
        <v>8422575</v>
      </c>
      <c r="F135" s="50">
        <f>VLOOKUP($A135,'Data shares'!$C:$FB,69)*100</f>
        <v>19.13</v>
      </c>
      <c r="G135" s="49">
        <f>VLOOKUP($A135,'Data shares'!$C:$FB,42)</f>
        <v>2010225</v>
      </c>
      <c r="H135" s="49">
        <f>VLOOKUP($A135,'Data shares'!$C:$FB,43)</f>
        <v>1556100</v>
      </c>
      <c r="I135" s="50">
        <f>VLOOKUP($A135,'Data shares'!$C:$FB,45)*100</f>
        <v>29.18</v>
      </c>
      <c r="J135" s="49">
        <f>VLOOKUP($A135,'Data shares'!$C:$FB,58)</f>
        <v>5960850</v>
      </c>
      <c r="K135" s="49">
        <f>VLOOKUP($A135,'Data shares'!$C:$FB,59)</f>
        <v>4481400</v>
      </c>
      <c r="L135" s="50">
        <f>VLOOKUP($A135,'Data shares'!$C:$FB,61)*100</f>
        <v>33.01</v>
      </c>
      <c r="M135" s="49">
        <f>VLOOKUP($A135,'Data shares'!$C:$FB,62)</f>
        <v>2062725</v>
      </c>
      <c r="N135" s="49">
        <f>VLOOKUP($A135,'Data shares'!$C:$FB,63)</f>
        <v>2385075</v>
      </c>
      <c r="O135" s="140">
        <f>VLOOKUP($A135,'Data shares'!$C:$FB,65)*100</f>
        <v>-13.52</v>
      </c>
    </row>
    <row r="136" spans="1:15" x14ac:dyDescent="0.25">
      <c r="A136" s="101" t="str">
        <f>'Data shares'!C131</f>
        <v>MAZDOCK</v>
      </c>
      <c r="B136" s="50">
        <f>VLOOKUP($A136,'Data shares'!$C:$FB,7)</f>
        <v>2831.9</v>
      </c>
      <c r="C136" s="50">
        <f>VLOOKUP($A136,'Data shares'!$C:$FB,10)*100</f>
        <v>-0.72</v>
      </c>
      <c r="D136" s="49">
        <f>VLOOKUP($A136,'Data shares'!$C:$FB,66)</f>
        <v>3650150</v>
      </c>
      <c r="E136" s="49">
        <f>VLOOKUP($A136,'Data shares'!$C:$FB,67)</f>
        <v>6306300</v>
      </c>
      <c r="F136" s="50">
        <f>VLOOKUP($A136,'Data shares'!$C:$FB,69)*100</f>
        <v>-42.120000000000005</v>
      </c>
      <c r="G136" s="49">
        <f>VLOOKUP($A136,'Data shares'!$C:$FB,42)</f>
        <v>786100</v>
      </c>
      <c r="H136" s="49">
        <f>VLOOKUP($A136,'Data shares'!$C:$FB,43)</f>
        <v>872550</v>
      </c>
      <c r="I136" s="50">
        <f>VLOOKUP($A136,'Data shares'!$C:$FB,45)*100</f>
        <v>-9.91</v>
      </c>
      <c r="J136" s="49">
        <f>VLOOKUP($A136,'Data shares'!$C:$FB,58)</f>
        <v>2138150</v>
      </c>
      <c r="K136" s="49">
        <f>VLOOKUP($A136,'Data shares'!$C:$FB,59)</f>
        <v>4251100</v>
      </c>
      <c r="L136" s="50">
        <f>VLOOKUP($A136,'Data shares'!$C:$FB,61)*100</f>
        <v>-49.7</v>
      </c>
      <c r="M136" s="49">
        <f>VLOOKUP($A136,'Data shares'!$C:$FB,62)</f>
        <v>725900</v>
      </c>
      <c r="N136" s="49">
        <f>VLOOKUP($A136,'Data shares'!$C:$FB,63)</f>
        <v>1182650</v>
      </c>
      <c r="O136" s="140">
        <f>VLOOKUP($A136,'Data shares'!$C:$FB,65)*100</f>
        <v>-38.619999999999997</v>
      </c>
    </row>
    <row r="137" spans="1:15" x14ac:dyDescent="0.25">
      <c r="A137" s="101" t="str">
        <f>'Data shares'!C132</f>
        <v>MCX</v>
      </c>
      <c r="B137" s="50">
        <f>VLOOKUP($A137,'Data shares'!$C:$FB,7)</f>
        <v>9330.5</v>
      </c>
      <c r="C137" s="50">
        <f>VLOOKUP($A137,'Data shares'!$C:$FB,10)*100</f>
        <v>-2.21</v>
      </c>
      <c r="D137" s="49">
        <f>VLOOKUP($A137,'Data shares'!$C:$FB,66)</f>
        <v>15393625</v>
      </c>
      <c r="E137" s="49">
        <f>VLOOKUP($A137,'Data shares'!$C:$FB,67)</f>
        <v>17129875</v>
      </c>
      <c r="F137" s="50">
        <f>VLOOKUP($A137,'Data shares'!$C:$FB,69)*100</f>
        <v>-10.14</v>
      </c>
      <c r="G137" s="49">
        <f>VLOOKUP($A137,'Data shares'!$C:$FB,42)</f>
        <v>1430375</v>
      </c>
      <c r="H137" s="49">
        <f>VLOOKUP($A137,'Data shares'!$C:$FB,43)</f>
        <v>1166250</v>
      </c>
      <c r="I137" s="50">
        <f>VLOOKUP($A137,'Data shares'!$C:$FB,45)*100</f>
        <v>22.650000000000002</v>
      </c>
      <c r="J137" s="49">
        <f>VLOOKUP($A137,'Data shares'!$C:$FB,58)</f>
        <v>7439500</v>
      </c>
      <c r="K137" s="49">
        <f>VLOOKUP($A137,'Data shares'!$C:$FB,59)</f>
        <v>10069875</v>
      </c>
      <c r="L137" s="50">
        <f>VLOOKUP($A137,'Data shares'!$C:$FB,61)*100</f>
        <v>-26.119999999999997</v>
      </c>
      <c r="M137" s="49">
        <f>VLOOKUP($A137,'Data shares'!$C:$FB,62)</f>
        <v>6523750</v>
      </c>
      <c r="N137" s="49">
        <f>VLOOKUP($A137,'Data shares'!$C:$FB,63)</f>
        <v>5893750</v>
      </c>
      <c r="O137" s="140">
        <f>VLOOKUP($A137,'Data shares'!$C:$FB,65)*100</f>
        <v>10.69</v>
      </c>
    </row>
    <row r="138" spans="1:15" x14ac:dyDescent="0.25">
      <c r="A138" s="101" t="str">
        <f>'Data shares'!C133</f>
        <v>MFSL</v>
      </c>
      <c r="B138" s="50">
        <f>VLOOKUP($A138,'Data shares'!$C:$FB,7)</f>
        <v>1552.4</v>
      </c>
      <c r="C138" s="50">
        <f>VLOOKUP($A138,'Data shares'!$C:$FB,10)*100</f>
        <v>-3.52</v>
      </c>
      <c r="D138" s="49">
        <f>VLOOKUP($A138,'Data shares'!$C:$FB,66)</f>
        <v>9823200</v>
      </c>
      <c r="E138" s="49">
        <f>VLOOKUP($A138,'Data shares'!$C:$FB,67)</f>
        <v>3206400</v>
      </c>
      <c r="F138" s="50">
        <f>VLOOKUP($A138,'Data shares'!$C:$FB,69)*100</f>
        <v>206.36</v>
      </c>
      <c r="G138" s="49">
        <f>VLOOKUP($A138,'Data shares'!$C:$FB,42)</f>
        <v>2464800</v>
      </c>
      <c r="H138" s="49">
        <f>VLOOKUP($A138,'Data shares'!$C:$FB,43)</f>
        <v>796800</v>
      </c>
      <c r="I138" s="50">
        <f>VLOOKUP($A138,'Data shares'!$C:$FB,45)*100</f>
        <v>209.34</v>
      </c>
      <c r="J138" s="49">
        <f>VLOOKUP($A138,'Data shares'!$C:$FB,58)</f>
        <v>5014400</v>
      </c>
      <c r="K138" s="49">
        <f>VLOOKUP($A138,'Data shares'!$C:$FB,59)</f>
        <v>1855200</v>
      </c>
      <c r="L138" s="50">
        <f>VLOOKUP($A138,'Data shares'!$C:$FB,61)*100</f>
        <v>170.29000000000002</v>
      </c>
      <c r="M138" s="49">
        <f>VLOOKUP($A138,'Data shares'!$C:$FB,62)</f>
        <v>2344000</v>
      </c>
      <c r="N138" s="49">
        <f>VLOOKUP($A138,'Data shares'!$C:$FB,63)</f>
        <v>554400</v>
      </c>
      <c r="O138" s="140">
        <f>VLOOKUP($A138,'Data shares'!$C:$FB,65)*100</f>
        <v>322.8</v>
      </c>
    </row>
    <row r="139" spans="1:15" x14ac:dyDescent="0.25">
      <c r="A139" s="101" t="str">
        <f>'Data shares'!C134</f>
        <v>MIDCPNIFTY</v>
      </c>
      <c r="B139" s="50">
        <f>VLOOKUP($A139,'Data shares'!$C:$FB,7)</f>
        <v>13260.85</v>
      </c>
      <c r="C139" s="50">
        <f>VLOOKUP($A139,'Data shares'!$C:$FB,10)*100</f>
        <v>0.75</v>
      </c>
      <c r="D139" s="49">
        <f>VLOOKUP($A139,'Data shares'!$C:$FB,66)</f>
        <v>41244700</v>
      </c>
      <c r="E139" s="49">
        <f>VLOOKUP($A139,'Data shares'!$C:$FB,67)</f>
        <v>36434440</v>
      </c>
      <c r="F139" s="50">
        <f>VLOOKUP($A139,'Data shares'!$C:$FB,69)*100</f>
        <v>13.200000000000001</v>
      </c>
      <c r="G139" s="49">
        <f>VLOOKUP($A139,'Data shares'!$C:$FB,42)</f>
        <v>910560</v>
      </c>
      <c r="H139" s="49">
        <f>VLOOKUP($A139,'Data shares'!$C:$FB,43)</f>
        <v>557060</v>
      </c>
      <c r="I139" s="50">
        <f>VLOOKUP($A139,'Data shares'!$C:$FB,45)*100</f>
        <v>63.460000000000008</v>
      </c>
      <c r="J139" s="49">
        <f>VLOOKUP($A139,'Data shares'!$C:$FB,58)</f>
        <v>20401360</v>
      </c>
      <c r="K139" s="49">
        <f>VLOOKUP($A139,'Data shares'!$C:$FB,59)</f>
        <v>18156600</v>
      </c>
      <c r="L139" s="50">
        <f>VLOOKUP($A139,'Data shares'!$C:$FB,61)*100</f>
        <v>12.36</v>
      </c>
      <c r="M139" s="49">
        <f>VLOOKUP($A139,'Data shares'!$C:$FB,62)</f>
        <v>19932780</v>
      </c>
      <c r="N139" s="49">
        <f>VLOOKUP($A139,'Data shares'!$C:$FB,63)</f>
        <v>17720780</v>
      </c>
      <c r="O139" s="140">
        <f>VLOOKUP($A139,'Data shares'!$C:$FB,65)*100</f>
        <v>12.479999999999999</v>
      </c>
    </row>
    <row r="140" spans="1:15" x14ac:dyDescent="0.25">
      <c r="A140" s="101" t="str">
        <f>'Data shares'!C135</f>
        <v>MOTHERSON</v>
      </c>
      <c r="B140" s="50">
        <f>VLOOKUP($A140,'Data shares'!$C:$FB,7)</f>
        <v>107.27</v>
      </c>
      <c r="C140" s="50">
        <f>VLOOKUP($A140,'Data shares'!$C:$FB,10)*100</f>
        <v>2.3800000000000003</v>
      </c>
      <c r="D140" s="49">
        <f>VLOOKUP($A140,'Data shares'!$C:$FB,66)</f>
        <v>239112000</v>
      </c>
      <c r="E140" s="49">
        <f>VLOOKUP($A140,'Data shares'!$C:$FB,67)</f>
        <v>100134300</v>
      </c>
      <c r="F140" s="50">
        <f>VLOOKUP($A140,'Data shares'!$C:$FB,69)*100</f>
        <v>138.79</v>
      </c>
      <c r="G140" s="49">
        <f>VLOOKUP($A140,'Data shares'!$C:$FB,42)</f>
        <v>40048800</v>
      </c>
      <c r="H140" s="49">
        <f>VLOOKUP($A140,'Data shares'!$C:$FB,43)</f>
        <v>18739050</v>
      </c>
      <c r="I140" s="50">
        <f>VLOOKUP($A140,'Data shares'!$C:$FB,45)*100</f>
        <v>113.72</v>
      </c>
      <c r="J140" s="49">
        <f>VLOOKUP($A140,'Data shares'!$C:$FB,58)</f>
        <v>139605000</v>
      </c>
      <c r="K140" s="49">
        <f>VLOOKUP($A140,'Data shares'!$C:$FB,59)</f>
        <v>60300750</v>
      </c>
      <c r="L140" s="50">
        <f>VLOOKUP($A140,'Data shares'!$C:$FB,61)*100</f>
        <v>131.51</v>
      </c>
      <c r="M140" s="49">
        <f>VLOOKUP($A140,'Data shares'!$C:$FB,62)</f>
        <v>59458200</v>
      </c>
      <c r="N140" s="49">
        <f>VLOOKUP($A140,'Data shares'!$C:$FB,63)</f>
        <v>21094500</v>
      </c>
      <c r="O140" s="140">
        <f>VLOOKUP($A140,'Data shares'!$C:$FB,65)*100</f>
        <v>181.87</v>
      </c>
    </row>
    <row r="141" spans="1:15" x14ac:dyDescent="0.25">
      <c r="A141" s="101" t="str">
        <f>'Data shares'!C136</f>
        <v>MPHASIS</v>
      </c>
      <c r="B141" s="50">
        <f>VLOOKUP($A141,'Data shares'!$C:$FB,7)</f>
        <v>2783.6</v>
      </c>
      <c r="C141" s="50">
        <f>VLOOKUP($A141,'Data shares'!$C:$FB,10)*100</f>
        <v>0.06</v>
      </c>
      <c r="D141" s="49">
        <f>VLOOKUP($A141,'Data shares'!$C:$FB,66)</f>
        <v>1726450</v>
      </c>
      <c r="E141" s="49">
        <f>VLOOKUP($A141,'Data shares'!$C:$FB,67)</f>
        <v>3169925</v>
      </c>
      <c r="F141" s="50">
        <f>VLOOKUP($A141,'Data shares'!$C:$FB,69)*100</f>
        <v>-45.540000000000006</v>
      </c>
      <c r="G141" s="49">
        <f>VLOOKUP($A141,'Data shares'!$C:$FB,42)</f>
        <v>441100</v>
      </c>
      <c r="H141" s="49">
        <f>VLOOKUP($A141,'Data shares'!$C:$FB,43)</f>
        <v>802725</v>
      </c>
      <c r="I141" s="50">
        <f>VLOOKUP($A141,'Data shares'!$C:$FB,45)*100</f>
        <v>-45.050000000000004</v>
      </c>
      <c r="J141" s="49">
        <f>VLOOKUP($A141,'Data shares'!$C:$FB,58)</f>
        <v>891825</v>
      </c>
      <c r="K141" s="49">
        <f>VLOOKUP($A141,'Data shares'!$C:$FB,59)</f>
        <v>1743775</v>
      </c>
      <c r="L141" s="50">
        <f>VLOOKUP($A141,'Data shares'!$C:$FB,61)*100</f>
        <v>-48.86</v>
      </c>
      <c r="M141" s="49">
        <f>VLOOKUP($A141,'Data shares'!$C:$FB,62)</f>
        <v>393525</v>
      </c>
      <c r="N141" s="49">
        <f>VLOOKUP($A141,'Data shares'!$C:$FB,63)</f>
        <v>623425</v>
      </c>
      <c r="O141" s="140">
        <f>VLOOKUP($A141,'Data shares'!$C:$FB,65)*100</f>
        <v>-36.880000000000003</v>
      </c>
    </row>
    <row r="142" spans="1:15" x14ac:dyDescent="0.25">
      <c r="A142" s="101" t="str">
        <f>'Data shares'!C137</f>
        <v>MUTHOOTFIN</v>
      </c>
      <c r="B142" s="50">
        <f>VLOOKUP($A142,'Data shares'!$C:$FB,7)</f>
        <v>3268.5</v>
      </c>
      <c r="C142" s="50">
        <f>VLOOKUP($A142,'Data shares'!$C:$FB,10)*100</f>
        <v>0.25</v>
      </c>
      <c r="D142" s="49">
        <f>VLOOKUP($A142,'Data shares'!$C:$FB,66)</f>
        <v>5319600</v>
      </c>
      <c r="E142" s="49">
        <f>VLOOKUP($A142,'Data shares'!$C:$FB,67)</f>
        <v>7443975</v>
      </c>
      <c r="F142" s="50">
        <f>VLOOKUP($A142,'Data shares'!$C:$FB,69)*100</f>
        <v>-28.54</v>
      </c>
      <c r="G142" s="49">
        <f>VLOOKUP($A142,'Data shares'!$C:$FB,42)</f>
        <v>673750</v>
      </c>
      <c r="H142" s="49">
        <f>VLOOKUP($A142,'Data shares'!$C:$FB,43)</f>
        <v>851125</v>
      </c>
      <c r="I142" s="50">
        <f>VLOOKUP($A142,'Data shares'!$C:$FB,45)*100</f>
        <v>-20.84</v>
      </c>
      <c r="J142" s="49">
        <f>VLOOKUP($A142,'Data shares'!$C:$FB,58)</f>
        <v>2960925</v>
      </c>
      <c r="K142" s="49">
        <f>VLOOKUP($A142,'Data shares'!$C:$FB,59)</f>
        <v>4007850</v>
      </c>
      <c r="L142" s="50">
        <f>VLOOKUP($A142,'Data shares'!$C:$FB,61)*100</f>
        <v>-26.119999999999997</v>
      </c>
      <c r="M142" s="49">
        <f>VLOOKUP($A142,'Data shares'!$C:$FB,62)</f>
        <v>1684925</v>
      </c>
      <c r="N142" s="49">
        <f>VLOOKUP($A142,'Data shares'!$C:$FB,63)</f>
        <v>2585000</v>
      </c>
      <c r="O142" s="140">
        <f>VLOOKUP($A142,'Data shares'!$C:$FB,65)*100</f>
        <v>-34.82</v>
      </c>
    </row>
    <row r="143" spans="1:15" x14ac:dyDescent="0.25">
      <c r="A143" s="101" t="str">
        <f>'Data shares'!C138</f>
        <v>NATIONALUM</v>
      </c>
      <c r="B143" s="50">
        <f>VLOOKUP($A143,'Data shares'!$C:$FB,7)</f>
        <v>226.84</v>
      </c>
      <c r="C143" s="50">
        <f>VLOOKUP($A143,'Data shares'!$C:$FB,10)*100</f>
        <v>0.13</v>
      </c>
      <c r="D143" s="49">
        <f>VLOOKUP($A143,'Data shares'!$C:$FB,66)</f>
        <v>60780000</v>
      </c>
      <c r="E143" s="49">
        <f>VLOOKUP($A143,'Data shares'!$C:$FB,67)</f>
        <v>58020000</v>
      </c>
      <c r="F143" s="50">
        <f>VLOOKUP($A143,'Data shares'!$C:$FB,69)*100</f>
        <v>4.7600000000000007</v>
      </c>
      <c r="G143" s="49">
        <f>VLOOKUP($A143,'Data shares'!$C:$FB,42)</f>
        <v>12135000</v>
      </c>
      <c r="H143" s="49">
        <f>VLOOKUP($A143,'Data shares'!$C:$FB,43)</f>
        <v>14531250</v>
      </c>
      <c r="I143" s="50">
        <f>VLOOKUP($A143,'Data shares'!$C:$FB,45)*100</f>
        <v>-16.489999999999998</v>
      </c>
      <c r="J143" s="49">
        <f>VLOOKUP($A143,'Data shares'!$C:$FB,58)</f>
        <v>32430000</v>
      </c>
      <c r="K143" s="49">
        <f>VLOOKUP($A143,'Data shares'!$C:$FB,59)</f>
        <v>27855000</v>
      </c>
      <c r="L143" s="50">
        <f>VLOOKUP($A143,'Data shares'!$C:$FB,61)*100</f>
        <v>16.420000000000002</v>
      </c>
      <c r="M143" s="49">
        <f>VLOOKUP($A143,'Data shares'!$C:$FB,62)</f>
        <v>16215000</v>
      </c>
      <c r="N143" s="49">
        <f>VLOOKUP($A143,'Data shares'!$C:$FB,63)</f>
        <v>15633750</v>
      </c>
      <c r="O143" s="140">
        <f>VLOOKUP($A143,'Data shares'!$C:$FB,65)*100</f>
        <v>3.7199999999999998</v>
      </c>
    </row>
    <row r="144" spans="1:15" x14ac:dyDescent="0.25">
      <c r="A144" s="101" t="str">
        <f>'Data shares'!C139</f>
        <v>NAUKRI</v>
      </c>
      <c r="B144" s="50">
        <f>VLOOKUP($A144,'Data shares'!$C:$FB,7)</f>
        <v>1348.5</v>
      </c>
      <c r="C144" s="50">
        <f>VLOOKUP($A144,'Data shares'!$C:$FB,10)*100</f>
        <v>1.03</v>
      </c>
      <c r="D144" s="49">
        <f>VLOOKUP($A144,'Data shares'!$C:$FB,66)</f>
        <v>3828000</v>
      </c>
      <c r="E144" s="49">
        <f>VLOOKUP($A144,'Data shares'!$C:$FB,67)</f>
        <v>2613750</v>
      </c>
      <c r="F144" s="50">
        <f>VLOOKUP($A144,'Data shares'!$C:$FB,69)*100</f>
        <v>46.46</v>
      </c>
      <c r="G144" s="49">
        <f>VLOOKUP($A144,'Data shares'!$C:$FB,42)</f>
        <v>912750</v>
      </c>
      <c r="H144" s="49">
        <f>VLOOKUP($A144,'Data shares'!$C:$FB,43)</f>
        <v>590250</v>
      </c>
      <c r="I144" s="50">
        <f>VLOOKUP($A144,'Data shares'!$C:$FB,45)*100</f>
        <v>54.64</v>
      </c>
      <c r="J144" s="49">
        <f>VLOOKUP($A144,'Data shares'!$C:$FB,58)</f>
        <v>2155125</v>
      </c>
      <c r="K144" s="49">
        <f>VLOOKUP($A144,'Data shares'!$C:$FB,59)</f>
        <v>1492500</v>
      </c>
      <c r="L144" s="50">
        <f>VLOOKUP($A144,'Data shares'!$C:$FB,61)*100</f>
        <v>44.4</v>
      </c>
      <c r="M144" s="49">
        <f>VLOOKUP($A144,'Data shares'!$C:$FB,62)</f>
        <v>760125</v>
      </c>
      <c r="N144" s="49">
        <f>VLOOKUP($A144,'Data shares'!$C:$FB,63)</f>
        <v>531000</v>
      </c>
      <c r="O144" s="140">
        <f>VLOOKUP($A144,'Data shares'!$C:$FB,65)*100</f>
        <v>43.15</v>
      </c>
    </row>
    <row r="145" spans="1:15" x14ac:dyDescent="0.25">
      <c r="A145" s="101" t="str">
        <f>'Data shares'!C140</f>
        <v>NBCC</v>
      </c>
      <c r="B145" s="50">
        <f>VLOOKUP($A145,'Data shares'!$C:$FB,7)</f>
        <v>112.36</v>
      </c>
      <c r="C145" s="50">
        <f>VLOOKUP($A145,'Data shares'!$C:$FB,10)*100</f>
        <v>0.44</v>
      </c>
      <c r="D145" s="49">
        <f>VLOOKUP($A145,'Data shares'!$C:$FB,66)</f>
        <v>59494500</v>
      </c>
      <c r="E145" s="49">
        <f>VLOOKUP($A145,'Data shares'!$C:$FB,67)</f>
        <v>52149500</v>
      </c>
      <c r="F145" s="50">
        <f>VLOOKUP($A145,'Data shares'!$C:$FB,69)*100</f>
        <v>14.08</v>
      </c>
      <c r="G145" s="49">
        <f>VLOOKUP($A145,'Data shares'!$C:$FB,42)</f>
        <v>15509000</v>
      </c>
      <c r="H145" s="49">
        <f>VLOOKUP($A145,'Data shares'!$C:$FB,43)</f>
        <v>13136500</v>
      </c>
      <c r="I145" s="50">
        <f>VLOOKUP($A145,'Data shares'!$C:$FB,45)*100</f>
        <v>18.060000000000002</v>
      </c>
      <c r="J145" s="49">
        <f>VLOOKUP($A145,'Data shares'!$C:$FB,58)</f>
        <v>31733000</v>
      </c>
      <c r="K145" s="49">
        <f>VLOOKUP($A145,'Data shares'!$C:$FB,59)</f>
        <v>29146000</v>
      </c>
      <c r="L145" s="50">
        <f>VLOOKUP($A145,'Data shares'!$C:$FB,61)*100</f>
        <v>8.8800000000000008</v>
      </c>
      <c r="M145" s="49">
        <f>VLOOKUP($A145,'Data shares'!$C:$FB,62)</f>
        <v>12252500</v>
      </c>
      <c r="N145" s="49">
        <f>VLOOKUP($A145,'Data shares'!$C:$FB,63)</f>
        <v>9867000</v>
      </c>
      <c r="O145" s="140">
        <f>VLOOKUP($A145,'Data shares'!$C:$FB,65)*100</f>
        <v>24.18</v>
      </c>
    </row>
    <row r="146" spans="1:15" x14ac:dyDescent="0.25">
      <c r="A146" s="101" t="str">
        <f>'Data shares'!C141</f>
        <v>NCC</v>
      </c>
      <c r="B146" s="50">
        <f>VLOOKUP($A146,'Data shares'!$C:$FB,7)</f>
        <v>209.78</v>
      </c>
      <c r="C146" s="50">
        <f>VLOOKUP($A146,'Data shares'!$C:$FB,10)*100</f>
        <v>-0.89999999999999991</v>
      </c>
      <c r="D146" s="49">
        <f>VLOOKUP($A146,'Data shares'!$C:$FB,66)</f>
        <v>7333200</v>
      </c>
      <c r="E146" s="49">
        <f>VLOOKUP($A146,'Data shares'!$C:$FB,67)</f>
        <v>44936100</v>
      </c>
      <c r="F146" s="50">
        <f>VLOOKUP($A146,'Data shares'!$C:$FB,69)*100</f>
        <v>-83.679999999999993</v>
      </c>
      <c r="G146" s="49">
        <f>VLOOKUP($A146,'Data shares'!$C:$FB,42)</f>
        <v>2295000</v>
      </c>
      <c r="H146" s="49">
        <f>VLOOKUP($A146,'Data shares'!$C:$FB,43)</f>
        <v>9828000</v>
      </c>
      <c r="I146" s="50">
        <f>VLOOKUP($A146,'Data shares'!$C:$FB,45)*100</f>
        <v>-76.649999999999991</v>
      </c>
      <c r="J146" s="49">
        <f>VLOOKUP($A146,'Data shares'!$C:$FB,58)</f>
        <v>3491100</v>
      </c>
      <c r="K146" s="49">
        <f>VLOOKUP($A146,'Data shares'!$C:$FB,59)</f>
        <v>25142400</v>
      </c>
      <c r="L146" s="50">
        <f>VLOOKUP($A146,'Data shares'!$C:$FB,61)*100</f>
        <v>-86.11</v>
      </c>
      <c r="M146" s="49">
        <f>VLOOKUP($A146,'Data shares'!$C:$FB,62)</f>
        <v>1547100</v>
      </c>
      <c r="N146" s="49">
        <f>VLOOKUP($A146,'Data shares'!$C:$FB,63)</f>
        <v>9965700</v>
      </c>
      <c r="O146" s="140">
        <f>VLOOKUP($A146,'Data shares'!$C:$FB,65)*100</f>
        <v>-84.48</v>
      </c>
    </row>
    <row r="147" spans="1:15" x14ac:dyDescent="0.25">
      <c r="A147" s="101" t="str">
        <f>'Data shares'!C142</f>
        <v>NESTLEIND</v>
      </c>
      <c r="B147" s="50">
        <f>VLOOKUP($A147,'Data shares'!$C:$FB,7)</f>
        <v>1276.5999999999999</v>
      </c>
      <c r="C147" s="50">
        <f>VLOOKUP($A147,'Data shares'!$C:$FB,10)*100</f>
        <v>4.5199999999999996</v>
      </c>
      <c r="D147" s="49">
        <f>VLOOKUP($A147,'Data shares'!$C:$FB,66)</f>
        <v>136611500</v>
      </c>
      <c r="E147" s="49">
        <f>VLOOKUP($A147,'Data shares'!$C:$FB,67)</f>
        <v>34293000</v>
      </c>
      <c r="F147" s="50">
        <f>VLOOKUP($A147,'Data shares'!$C:$FB,69)*100</f>
        <v>298.37</v>
      </c>
      <c r="G147" s="49">
        <f>VLOOKUP($A147,'Data shares'!$C:$FB,42)</f>
        <v>14603000</v>
      </c>
      <c r="H147" s="49">
        <f>VLOOKUP($A147,'Data shares'!$C:$FB,43)</f>
        <v>6679000</v>
      </c>
      <c r="I147" s="50">
        <f>VLOOKUP($A147,'Data shares'!$C:$FB,45)*100</f>
        <v>118.63999999999999</v>
      </c>
      <c r="J147" s="49">
        <f>VLOOKUP($A147,'Data shares'!$C:$FB,58)</f>
        <v>72071500</v>
      </c>
      <c r="K147" s="49">
        <f>VLOOKUP($A147,'Data shares'!$C:$FB,59)</f>
        <v>18641500</v>
      </c>
      <c r="L147" s="50">
        <f>VLOOKUP($A147,'Data shares'!$C:$FB,61)*100</f>
        <v>286.62</v>
      </c>
      <c r="M147" s="49">
        <f>VLOOKUP($A147,'Data shares'!$C:$FB,62)</f>
        <v>49937000</v>
      </c>
      <c r="N147" s="49">
        <f>VLOOKUP($A147,'Data shares'!$C:$FB,63)</f>
        <v>8972500</v>
      </c>
      <c r="O147" s="140">
        <f>VLOOKUP($A147,'Data shares'!$C:$FB,65)*100</f>
        <v>456.56</v>
      </c>
    </row>
    <row r="148" spans="1:15" x14ac:dyDescent="0.25">
      <c r="A148" s="101" t="str">
        <f>'Data shares'!C143</f>
        <v>NHPC</v>
      </c>
      <c r="B148" s="50">
        <f>VLOOKUP($A148,'Data shares'!$C:$FB,7)</f>
        <v>86.95</v>
      </c>
      <c r="C148" s="50">
        <f>VLOOKUP($A148,'Data shares'!$C:$FB,10)*100</f>
        <v>-0.1</v>
      </c>
      <c r="D148" s="49">
        <f>VLOOKUP($A148,'Data shares'!$C:$FB,66)</f>
        <v>53939200</v>
      </c>
      <c r="E148" s="49">
        <f>VLOOKUP($A148,'Data shares'!$C:$FB,67)</f>
        <v>38118400</v>
      </c>
      <c r="F148" s="50">
        <f>VLOOKUP($A148,'Data shares'!$C:$FB,69)*100</f>
        <v>41.5</v>
      </c>
      <c r="G148" s="49">
        <f>VLOOKUP($A148,'Data shares'!$C:$FB,42)</f>
        <v>13600000</v>
      </c>
      <c r="H148" s="49">
        <f>VLOOKUP($A148,'Data shares'!$C:$FB,43)</f>
        <v>9478400</v>
      </c>
      <c r="I148" s="50">
        <f>VLOOKUP($A148,'Data shares'!$C:$FB,45)*100</f>
        <v>43.480000000000004</v>
      </c>
      <c r="J148" s="49">
        <f>VLOOKUP($A148,'Data shares'!$C:$FB,58)</f>
        <v>27008000</v>
      </c>
      <c r="K148" s="49">
        <f>VLOOKUP($A148,'Data shares'!$C:$FB,59)</f>
        <v>19468800</v>
      </c>
      <c r="L148" s="50">
        <f>VLOOKUP($A148,'Data shares'!$C:$FB,61)*100</f>
        <v>38.72</v>
      </c>
      <c r="M148" s="49">
        <f>VLOOKUP($A148,'Data shares'!$C:$FB,62)</f>
        <v>13331200</v>
      </c>
      <c r="N148" s="49">
        <f>VLOOKUP($A148,'Data shares'!$C:$FB,63)</f>
        <v>9171200</v>
      </c>
      <c r="O148" s="140">
        <f>VLOOKUP($A148,'Data shares'!$C:$FB,65)*100</f>
        <v>45.36</v>
      </c>
    </row>
    <row r="149" spans="1:15" x14ac:dyDescent="0.25">
      <c r="A149" s="101" t="str">
        <f>'Data shares'!C144</f>
        <v>NIFTY</v>
      </c>
      <c r="B149" s="50">
        <f>VLOOKUP($A149,'Data shares'!$C:$FB,7)</f>
        <v>25585.3</v>
      </c>
      <c r="C149" s="50">
        <f>VLOOKUP($A149,'Data shares'!$C:$FB,10)*100</f>
        <v>1.03</v>
      </c>
      <c r="D149" s="49">
        <f>VLOOKUP($A149,'Data shares'!$C:$FB,66)</f>
        <v>4995517875</v>
      </c>
      <c r="E149" s="49">
        <f>VLOOKUP($A149,'Data shares'!$C:$FB,67)</f>
        <v>4594274025</v>
      </c>
      <c r="F149" s="50">
        <f>VLOOKUP($A149,'Data shares'!$C:$FB,69)*100</f>
        <v>8.73</v>
      </c>
      <c r="G149" s="49">
        <f>VLOOKUP($A149,'Data shares'!$C:$FB,42)</f>
        <v>7386600</v>
      </c>
      <c r="H149" s="49">
        <f>VLOOKUP($A149,'Data shares'!$C:$FB,43)</f>
        <v>6913950</v>
      </c>
      <c r="I149" s="50">
        <f>VLOOKUP($A149,'Data shares'!$C:$FB,45)*100</f>
        <v>6.84</v>
      </c>
      <c r="J149" s="49">
        <f>VLOOKUP($A149,'Data shares'!$C:$FB,58)</f>
        <v>2755165725</v>
      </c>
      <c r="K149" s="49">
        <f>VLOOKUP($A149,'Data shares'!$C:$FB,59)</f>
        <v>2447211300</v>
      </c>
      <c r="L149" s="50">
        <f>VLOOKUP($A149,'Data shares'!$C:$FB,61)*100</f>
        <v>12.58</v>
      </c>
      <c r="M149" s="49">
        <f>VLOOKUP($A149,'Data shares'!$C:$FB,62)</f>
        <v>2232965550</v>
      </c>
      <c r="N149" s="49">
        <f>VLOOKUP($A149,'Data shares'!$C:$FB,63)</f>
        <v>2140148775</v>
      </c>
      <c r="O149" s="140">
        <f>VLOOKUP($A149,'Data shares'!$C:$FB,65)*100</f>
        <v>4.34</v>
      </c>
    </row>
    <row r="150" spans="1:15" x14ac:dyDescent="0.25">
      <c r="A150" s="101" t="str">
        <f>'Data shares'!C145</f>
        <v>NIFTYNXT50</v>
      </c>
      <c r="B150" s="50">
        <f>VLOOKUP($A150,'Data shares'!$C:$FB,7)</f>
        <v>69453.2</v>
      </c>
      <c r="C150" s="50">
        <f>VLOOKUP($A150,'Data shares'!$C:$FB,10)*100</f>
        <v>0.49</v>
      </c>
      <c r="D150" s="49">
        <f>VLOOKUP($A150,'Data shares'!$C:$FB,66)</f>
        <v>21425</v>
      </c>
      <c r="E150" s="49">
        <f>VLOOKUP($A150,'Data shares'!$C:$FB,67)</f>
        <v>30725</v>
      </c>
      <c r="F150" s="50">
        <f>VLOOKUP($A150,'Data shares'!$C:$FB,69)*100</f>
        <v>-30.270000000000003</v>
      </c>
      <c r="G150" s="49">
        <f>VLOOKUP($A150,'Data shares'!$C:$FB,42)</f>
        <v>5675</v>
      </c>
      <c r="H150" s="49">
        <f>VLOOKUP($A150,'Data shares'!$C:$FB,43)</f>
        <v>10375</v>
      </c>
      <c r="I150" s="50">
        <f>VLOOKUP($A150,'Data shares'!$C:$FB,45)*100</f>
        <v>-45.300000000000004</v>
      </c>
      <c r="J150" s="49">
        <f>VLOOKUP($A150,'Data shares'!$C:$FB,58)</f>
        <v>12225</v>
      </c>
      <c r="K150" s="49">
        <f>VLOOKUP($A150,'Data shares'!$C:$FB,59)</f>
        <v>12250</v>
      </c>
      <c r="L150" s="50">
        <f>VLOOKUP($A150,'Data shares'!$C:$FB,61)*100</f>
        <v>-0.2</v>
      </c>
      <c r="M150" s="49">
        <f>VLOOKUP($A150,'Data shares'!$C:$FB,62)</f>
        <v>3525</v>
      </c>
      <c r="N150" s="49">
        <f>VLOOKUP($A150,'Data shares'!$C:$FB,63)</f>
        <v>8100</v>
      </c>
      <c r="O150" s="140">
        <f>VLOOKUP($A150,'Data shares'!$C:$FB,65)*100</f>
        <v>-56.48</v>
      </c>
    </row>
    <row r="151" spans="1:15" x14ac:dyDescent="0.25">
      <c r="A151" s="101" t="str">
        <f>'Data shares'!C146</f>
        <v>NMDC</v>
      </c>
      <c r="B151" s="50">
        <f>VLOOKUP($A151,'Data shares'!$C:$FB,7)</f>
        <v>75.88</v>
      </c>
      <c r="C151" s="50">
        <f>VLOOKUP($A151,'Data shares'!$C:$FB,10)*100</f>
        <v>-1.08</v>
      </c>
      <c r="D151" s="49">
        <f>VLOOKUP($A151,'Data shares'!$C:$FB,66)</f>
        <v>128034000</v>
      </c>
      <c r="E151" s="49">
        <f>VLOOKUP($A151,'Data shares'!$C:$FB,67)</f>
        <v>201042000</v>
      </c>
      <c r="F151" s="50">
        <f>VLOOKUP($A151,'Data shares'!$C:$FB,69)*100</f>
        <v>-36.309999999999995</v>
      </c>
      <c r="G151" s="49">
        <f>VLOOKUP($A151,'Data shares'!$C:$FB,42)</f>
        <v>29403000</v>
      </c>
      <c r="H151" s="49">
        <f>VLOOKUP($A151,'Data shares'!$C:$FB,43)</f>
        <v>34641000</v>
      </c>
      <c r="I151" s="50">
        <f>VLOOKUP($A151,'Data shares'!$C:$FB,45)*100</f>
        <v>-15.120000000000001</v>
      </c>
      <c r="J151" s="49">
        <f>VLOOKUP($A151,'Data shares'!$C:$FB,58)</f>
        <v>71158500</v>
      </c>
      <c r="K151" s="49">
        <f>VLOOKUP($A151,'Data shares'!$C:$FB,59)</f>
        <v>121986000</v>
      </c>
      <c r="L151" s="50">
        <f>VLOOKUP($A151,'Data shares'!$C:$FB,61)*100</f>
        <v>-41.67</v>
      </c>
      <c r="M151" s="49">
        <f>VLOOKUP($A151,'Data shares'!$C:$FB,62)</f>
        <v>27472500</v>
      </c>
      <c r="N151" s="49">
        <f>VLOOKUP($A151,'Data shares'!$C:$FB,63)</f>
        <v>44415000</v>
      </c>
      <c r="O151" s="140">
        <f>VLOOKUP($A151,'Data shares'!$C:$FB,65)*100</f>
        <v>-38.15</v>
      </c>
    </row>
    <row r="152" spans="1:15" x14ac:dyDescent="0.25">
      <c r="A152" s="101" t="str">
        <f>'Data shares'!C147</f>
        <v>NTPC</v>
      </c>
      <c r="B152" s="50">
        <f>VLOOKUP($A152,'Data shares'!$C:$FB,7)</f>
        <v>341.5</v>
      </c>
      <c r="C152" s="50">
        <f>VLOOKUP($A152,'Data shares'!$C:$FB,10)*100</f>
        <v>0.66</v>
      </c>
      <c r="D152" s="49">
        <f>VLOOKUP($A152,'Data shares'!$C:$FB,66)</f>
        <v>57454500</v>
      </c>
      <c r="E152" s="49">
        <f>VLOOKUP($A152,'Data shares'!$C:$FB,67)</f>
        <v>84922500</v>
      </c>
      <c r="F152" s="50">
        <f>VLOOKUP($A152,'Data shares'!$C:$FB,69)*100</f>
        <v>-32.340000000000003</v>
      </c>
      <c r="G152" s="49">
        <f>VLOOKUP($A152,'Data shares'!$C:$FB,42)</f>
        <v>8284500</v>
      </c>
      <c r="H152" s="49">
        <f>VLOOKUP($A152,'Data shares'!$C:$FB,43)</f>
        <v>8832000</v>
      </c>
      <c r="I152" s="50">
        <f>VLOOKUP($A152,'Data shares'!$C:$FB,45)*100</f>
        <v>-6.2</v>
      </c>
      <c r="J152" s="49">
        <f>VLOOKUP($A152,'Data shares'!$C:$FB,58)</f>
        <v>33147000</v>
      </c>
      <c r="K152" s="49">
        <f>VLOOKUP($A152,'Data shares'!$C:$FB,59)</f>
        <v>49420500</v>
      </c>
      <c r="L152" s="50">
        <f>VLOOKUP($A152,'Data shares'!$C:$FB,61)*100</f>
        <v>-32.93</v>
      </c>
      <c r="M152" s="49">
        <f>VLOOKUP($A152,'Data shares'!$C:$FB,62)</f>
        <v>16023000</v>
      </c>
      <c r="N152" s="49">
        <f>VLOOKUP($A152,'Data shares'!$C:$FB,63)</f>
        <v>26670000</v>
      </c>
      <c r="O152" s="140">
        <f>VLOOKUP($A152,'Data shares'!$C:$FB,65)*100</f>
        <v>-39.92</v>
      </c>
    </row>
    <row r="153" spans="1:15" x14ac:dyDescent="0.25">
      <c r="A153" s="101" t="str">
        <f>'Data shares'!C148</f>
        <v>NUVAMA</v>
      </c>
      <c r="B153" s="50">
        <f>VLOOKUP($A153,'Data shares'!$C:$FB,7)</f>
        <v>7225.5</v>
      </c>
      <c r="C153" s="50">
        <f>VLOOKUP($A153,'Data shares'!$C:$FB,10)*100</f>
        <v>0.11</v>
      </c>
      <c r="D153" s="49">
        <f>VLOOKUP($A153,'Data shares'!$C:$FB,66)</f>
        <v>258900</v>
      </c>
      <c r="E153" s="49">
        <f>VLOOKUP($A153,'Data shares'!$C:$FB,67)</f>
        <v>400575</v>
      </c>
      <c r="F153" s="50">
        <f>VLOOKUP($A153,'Data shares'!$C:$FB,69)*100</f>
        <v>-35.370000000000005</v>
      </c>
      <c r="G153" s="49">
        <f>VLOOKUP($A153,'Data shares'!$C:$FB,42)</f>
        <v>45000</v>
      </c>
      <c r="H153" s="49">
        <f>VLOOKUP($A153,'Data shares'!$C:$FB,43)</f>
        <v>96450</v>
      </c>
      <c r="I153" s="50">
        <f>VLOOKUP($A153,'Data shares'!$C:$FB,45)*100</f>
        <v>-53.339999999999996</v>
      </c>
      <c r="J153" s="49">
        <f>VLOOKUP($A153,'Data shares'!$C:$FB,58)</f>
        <v>116700</v>
      </c>
      <c r="K153" s="49">
        <f>VLOOKUP($A153,'Data shares'!$C:$FB,59)</f>
        <v>168000</v>
      </c>
      <c r="L153" s="50">
        <f>VLOOKUP($A153,'Data shares'!$C:$FB,61)*100</f>
        <v>-30.54</v>
      </c>
      <c r="M153" s="49">
        <f>VLOOKUP($A153,'Data shares'!$C:$FB,62)</f>
        <v>97200</v>
      </c>
      <c r="N153" s="49">
        <f>VLOOKUP($A153,'Data shares'!$C:$FB,63)</f>
        <v>136125</v>
      </c>
      <c r="O153" s="140">
        <f>VLOOKUP($A153,'Data shares'!$C:$FB,65)*100</f>
        <v>-28.599999999999998</v>
      </c>
    </row>
    <row r="154" spans="1:15" x14ac:dyDescent="0.25">
      <c r="A154" s="101" t="str">
        <f>'Data shares'!C149</f>
        <v>NYKAA</v>
      </c>
      <c r="B154" s="50">
        <f>VLOOKUP($A154,'Data shares'!$C:$FB,7)</f>
        <v>263.31</v>
      </c>
      <c r="C154" s="50">
        <f>VLOOKUP($A154,'Data shares'!$C:$FB,10)*100</f>
        <v>0.65</v>
      </c>
      <c r="D154" s="49">
        <f>VLOOKUP($A154,'Data shares'!$C:$FB,66)</f>
        <v>48887500</v>
      </c>
      <c r="E154" s="49">
        <f>VLOOKUP($A154,'Data shares'!$C:$FB,67)</f>
        <v>48062500</v>
      </c>
      <c r="F154" s="50">
        <f>VLOOKUP($A154,'Data shares'!$C:$FB,69)*100</f>
        <v>1.72</v>
      </c>
      <c r="G154" s="49">
        <f>VLOOKUP($A154,'Data shares'!$C:$FB,42)</f>
        <v>14190625</v>
      </c>
      <c r="H154" s="49">
        <f>VLOOKUP($A154,'Data shares'!$C:$FB,43)</f>
        <v>7934375</v>
      </c>
      <c r="I154" s="50">
        <f>VLOOKUP($A154,'Data shares'!$C:$FB,45)*100</f>
        <v>78.849999999999994</v>
      </c>
      <c r="J154" s="49">
        <f>VLOOKUP($A154,'Data shares'!$C:$FB,58)</f>
        <v>21978125</v>
      </c>
      <c r="K154" s="49">
        <f>VLOOKUP($A154,'Data shares'!$C:$FB,59)</f>
        <v>27090625</v>
      </c>
      <c r="L154" s="50">
        <f>VLOOKUP($A154,'Data shares'!$C:$FB,61)*100</f>
        <v>-18.87</v>
      </c>
      <c r="M154" s="49">
        <f>VLOOKUP($A154,'Data shares'!$C:$FB,62)</f>
        <v>12718750</v>
      </c>
      <c r="N154" s="49">
        <f>VLOOKUP($A154,'Data shares'!$C:$FB,63)</f>
        <v>13037500</v>
      </c>
      <c r="O154" s="140">
        <f>VLOOKUP($A154,'Data shares'!$C:$FB,65)*100</f>
        <v>-2.44</v>
      </c>
    </row>
    <row r="155" spans="1:15" x14ac:dyDescent="0.25">
      <c r="A155" s="101" t="str">
        <f>'Data shares'!C150</f>
        <v>OBEROIRLTY</v>
      </c>
      <c r="B155" s="50">
        <f>VLOOKUP($A155,'Data shares'!$C:$FB,7)</f>
        <v>1687.1</v>
      </c>
      <c r="C155" s="50">
        <f>VLOOKUP($A155,'Data shares'!$C:$FB,10)*100</f>
        <v>5.35</v>
      </c>
      <c r="D155" s="49">
        <f>VLOOKUP($A155,'Data shares'!$C:$FB,66)</f>
        <v>41430550</v>
      </c>
      <c r="E155" s="49">
        <f>VLOOKUP($A155,'Data shares'!$C:$FB,67)</f>
        <v>7574350</v>
      </c>
      <c r="F155" s="50">
        <f>VLOOKUP($A155,'Data shares'!$C:$FB,69)*100</f>
        <v>446.98</v>
      </c>
      <c r="G155" s="49">
        <f>VLOOKUP($A155,'Data shares'!$C:$FB,42)</f>
        <v>3936100</v>
      </c>
      <c r="H155" s="49">
        <f>VLOOKUP($A155,'Data shares'!$C:$FB,43)</f>
        <v>1156400</v>
      </c>
      <c r="I155" s="50">
        <f>VLOOKUP($A155,'Data shares'!$C:$FB,45)*100</f>
        <v>240.38</v>
      </c>
      <c r="J155" s="49">
        <f>VLOOKUP($A155,'Data shares'!$C:$FB,58)</f>
        <v>27179600</v>
      </c>
      <c r="K155" s="49">
        <f>VLOOKUP($A155,'Data shares'!$C:$FB,59)</f>
        <v>5101950</v>
      </c>
      <c r="L155" s="50">
        <f>VLOOKUP($A155,'Data shares'!$C:$FB,61)*100</f>
        <v>432.73</v>
      </c>
      <c r="M155" s="49">
        <f>VLOOKUP($A155,'Data shares'!$C:$FB,62)</f>
        <v>10314850</v>
      </c>
      <c r="N155" s="49">
        <f>VLOOKUP($A155,'Data shares'!$C:$FB,63)</f>
        <v>1316000</v>
      </c>
      <c r="O155" s="140">
        <f>VLOOKUP($A155,'Data shares'!$C:$FB,65)*100</f>
        <v>683.8</v>
      </c>
    </row>
    <row r="156" spans="1:15" x14ac:dyDescent="0.25">
      <c r="A156" s="101" t="str">
        <f>'Data shares'!C151</f>
        <v>OFSS</v>
      </c>
      <c r="B156" s="50">
        <f>VLOOKUP($A156,'Data shares'!$C:$FB,7)</f>
        <v>8796.5</v>
      </c>
      <c r="C156" s="50">
        <f>VLOOKUP($A156,'Data shares'!$C:$FB,10)*100</f>
        <v>0.44999999999999996</v>
      </c>
      <c r="D156" s="49">
        <f>VLOOKUP($A156,'Data shares'!$C:$FB,66)</f>
        <v>1636425</v>
      </c>
      <c r="E156" s="49">
        <f>VLOOKUP($A156,'Data shares'!$C:$FB,67)</f>
        <v>2733975</v>
      </c>
      <c r="F156" s="50">
        <f>VLOOKUP($A156,'Data shares'!$C:$FB,69)*100</f>
        <v>-40.14</v>
      </c>
      <c r="G156" s="49">
        <f>VLOOKUP($A156,'Data shares'!$C:$FB,42)</f>
        <v>282675</v>
      </c>
      <c r="H156" s="49">
        <f>VLOOKUP($A156,'Data shares'!$C:$FB,43)</f>
        <v>468750</v>
      </c>
      <c r="I156" s="50">
        <f>VLOOKUP($A156,'Data shares'!$C:$FB,45)*100</f>
        <v>-39.700000000000003</v>
      </c>
      <c r="J156" s="49">
        <f>VLOOKUP($A156,'Data shares'!$C:$FB,58)</f>
        <v>939150</v>
      </c>
      <c r="K156" s="49">
        <f>VLOOKUP($A156,'Data shares'!$C:$FB,59)</f>
        <v>1370100</v>
      </c>
      <c r="L156" s="50">
        <f>VLOOKUP($A156,'Data shares'!$C:$FB,61)*100</f>
        <v>-31.45</v>
      </c>
      <c r="M156" s="49">
        <f>VLOOKUP($A156,'Data shares'!$C:$FB,62)</f>
        <v>414600</v>
      </c>
      <c r="N156" s="49">
        <f>VLOOKUP($A156,'Data shares'!$C:$FB,63)</f>
        <v>895125</v>
      </c>
      <c r="O156" s="140">
        <f>VLOOKUP($A156,'Data shares'!$C:$FB,65)*100</f>
        <v>-53.680000000000007</v>
      </c>
    </row>
    <row r="157" spans="1:15" x14ac:dyDescent="0.25">
      <c r="A157" s="101" t="str">
        <f>'Data shares'!C152</f>
        <v>OIL</v>
      </c>
      <c r="B157" s="50">
        <f>VLOOKUP($A157,'Data shares'!$C:$FB,7)</f>
        <v>417.25</v>
      </c>
      <c r="C157" s="50">
        <f>VLOOKUP($A157,'Data shares'!$C:$FB,10)*100</f>
        <v>-1.37</v>
      </c>
      <c r="D157" s="49">
        <f>VLOOKUP($A157,'Data shares'!$C:$FB,66)</f>
        <v>6372800</v>
      </c>
      <c r="E157" s="49">
        <f>VLOOKUP($A157,'Data shares'!$C:$FB,67)</f>
        <v>8310400</v>
      </c>
      <c r="F157" s="50">
        <f>VLOOKUP($A157,'Data shares'!$C:$FB,69)*100</f>
        <v>-23.32</v>
      </c>
      <c r="G157" s="49">
        <f>VLOOKUP($A157,'Data shares'!$C:$FB,42)</f>
        <v>1517600</v>
      </c>
      <c r="H157" s="49">
        <f>VLOOKUP($A157,'Data shares'!$C:$FB,43)</f>
        <v>1972600</v>
      </c>
      <c r="I157" s="50">
        <f>VLOOKUP($A157,'Data shares'!$C:$FB,45)*100</f>
        <v>-23.07</v>
      </c>
      <c r="J157" s="49">
        <f>VLOOKUP($A157,'Data shares'!$C:$FB,58)</f>
        <v>3192000</v>
      </c>
      <c r="K157" s="49">
        <f>VLOOKUP($A157,'Data shares'!$C:$FB,59)</f>
        <v>4312000</v>
      </c>
      <c r="L157" s="50">
        <f>VLOOKUP($A157,'Data shares'!$C:$FB,61)*100</f>
        <v>-25.97</v>
      </c>
      <c r="M157" s="49">
        <f>VLOOKUP($A157,'Data shares'!$C:$FB,62)</f>
        <v>1663200</v>
      </c>
      <c r="N157" s="49">
        <f>VLOOKUP($A157,'Data shares'!$C:$FB,63)</f>
        <v>2025800</v>
      </c>
      <c r="O157" s="140">
        <f>VLOOKUP($A157,'Data shares'!$C:$FB,65)*100</f>
        <v>-17.899999999999999</v>
      </c>
    </row>
    <row r="158" spans="1:15" x14ac:dyDescent="0.25">
      <c r="A158" s="101" t="str">
        <f>'Data shares'!C153</f>
        <v>ONGC</v>
      </c>
      <c r="B158" s="50">
        <f>VLOOKUP($A158,'Data shares'!$C:$FB,7)</f>
        <v>248.35</v>
      </c>
      <c r="C158" s="50">
        <f>VLOOKUP($A158,'Data shares'!$C:$FB,10)*100</f>
        <v>0.25</v>
      </c>
      <c r="D158" s="49">
        <f>VLOOKUP($A158,'Data shares'!$C:$FB,66)</f>
        <v>54900000</v>
      </c>
      <c r="E158" s="49">
        <f>VLOOKUP($A158,'Data shares'!$C:$FB,67)</f>
        <v>65187000</v>
      </c>
      <c r="F158" s="50">
        <f>VLOOKUP($A158,'Data shares'!$C:$FB,69)*100</f>
        <v>-15.78</v>
      </c>
      <c r="G158" s="49">
        <f>VLOOKUP($A158,'Data shares'!$C:$FB,42)</f>
        <v>9216000</v>
      </c>
      <c r="H158" s="49">
        <f>VLOOKUP($A158,'Data shares'!$C:$FB,43)</f>
        <v>8309250</v>
      </c>
      <c r="I158" s="50">
        <f>VLOOKUP($A158,'Data shares'!$C:$FB,45)*100</f>
        <v>10.91</v>
      </c>
      <c r="J158" s="49">
        <f>VLOOKUP($A158,'Data shares'!$C:$FB,58)</f>
        <v>28296000</v>
      </c>
      <c r="K158" s="49">
        <f>VLOOKUP($A158,'Data shares'!$C:$FB,59)</f>
        <v>33660000</v>
      </c>
      <c r="L158" s="50">
        <f>VLOOKUP($A158,'Data shares'!$C:$FB,61)*100</f>
        <v>-15.939999999999998</v>
      </c>
      <c r="M158" s="49">
        <f>VLOOKUP($A158,'Data shares'!$C:$FB,62)</f>
        <v>17388000</v>
      </c>
      <c r="N158" s="49">
        <f>VLOOKUP($A158,'Data shares'!$C:$FB,63)</f>
        <v>23217750</v>
      </c>
      <c r="O158" s="140">
        <f>VLOOKUP($A158,'Data shares'!$C:$FB,65)*100</f>
        <v>-25.11</v>
      </c>
    </row>
    <row r="159" spans="1:15" x14ac:dyDescent="0.25">
      <c r="A159" s="101" t="str">
        <f>'Data shares'!C154</f>
        <v>PAGEIND</v>
      </c>
      <c r="B159" s="50">
        <f>VLOOKUP($A159,'Data shares'!$C:$FB,7)</f>
        <v>41020</v>
      </c>
      <c r="C159" s="50">
        <f>VLOOKUP($A159,'Data shares'!$C:$FB,10)*100</f>
        <v>1.2</v>
      </c>
      <c r="D159" s="49">
        <f>VLOOKUP($A159,'Data shares'!$C:$FB,66)</f>
        <v>262665</v>
      </c>
      <c r="E159" s="49">
        <f>VLOOKUP($A159,'Data shares'!$C:$FB,67)</f>
        <v>206295</v>
      </c>
      <c r="F159" s="50">
        <f>VLOOKUP($A159,'Data shares'!$C:$FB,69)*100</f>
        <v>27.32</v>
      </c>
      <c r="G159" s="49">
        <f>VLOOKUP($A159,'Data shares'!$C:$FB,42)</f>
        <v>38610</v>
      </c>
      <c r="H159" s="49">
        <f>VLOOKUP($A159,'Data shares'!$C:$FB,43)</f>
        <v>26790</v>
      </c>
      <c r="I159" s="50">
        <f>VLOOKUP($A159,'Data shares'!$C:$FB,45)*100</f>
        <v>44.12</v>
      </c>
      <c r="J159" s="49">
        <f>VLOOKUP($A159,'Data shares'!$C:$FB,58)</f>
        <v>179220</v>
      </c>
      <c r="K159" s="49">
        <f>VLOOKUP($A159,'Data shares'!$C:$FB,59)</f>
        <v>165255</v>
      </c>
      <c r="L159" s="50">
        <f>VLOOKUP($A159,'Data shares'!$C:$FB,61)*100</f>
        <v>8.4500000000000011</v>
      </c>
      <c r="M159" s="49">
        <f>VLOOKUP($A159,'Data shares'!$C:$FB,62)</f>
        <v>44835</v>
      </c>
      <c r="N159" s="49">
        <f>VLOOKUP($A159,'Data shares'!$C:$FB,63)</f>
        <v>14250</v>
      </c>
      <c r="O159" s="140">
        <f>VLOOKUP($A159,'Data shares'!$C:$FB,65)*100</f>
        <v>214.63</v>
      </c>
    </row>
    <row r="160" spans="1:15" x14ac:dyDescent="0.25">
      <c r="A160" s="101" t="str">
        <f>'Data shares'!C155</f>
        <v>PATANJALI</v>
      </c>
      <c r="B160" s="50">
        <f>VLOOKUP($A160,'Data shares'!$C:$FB,7)</f>
        <v>589.85</v>
      </c>
      <c r="C160" s="50">
        <f>VLOOKUP($A160,'Data shares'!$C:$FB,10)*100</f>
        <v>0.89999999999999991</v>
      </c>
      <c r="D160" s="49">
        <f>VLOOKUP($A160,'Data shares'!$C:$FB,66)</f>
        <v>8871300</v>
      </c>
      <c r="E160" s="49">
        <f>VLOOKUP($A160,'Data shares'!$C:$FB,67)</f>
        <v>5492700</v>
      </c>
      <c r="F160" s="50">
        <f>VLOOKUP($A160,'Data shares'!$C:$FB,69)*100</f>
        <v>61.51</v>
      </c>
      <c r="G160" s="49">
        <f>VLOOKUP($A160,'Data shares'!$C:$FB,42)</f>
        <v>3672000</v>
      </c>
      <c r="H160" s="49">
        <f>VLOOKUP($A160,'Data shares'!$C:$FB,43)</f>
        <v>1466100</v>
      </c>
      <c r="I160" s="50">
        <f>VLOOKUP($A160,'Data shares'!$C:$FB,45)*100</f>
        <v>150.45999999999998</v>
      </c>
      <c r="J160" s="49">
        <f>VLOOKUP($A160,'Data shares'!$C:$FB,58)</f>
        <v>3525300</v>
      </c>
      <c r="K160" s="49">
        <f>VLOOKUP($A160,'Data shares'!$C:$FB,59)</f>
        <v>3041100</v>
      </c>
      <c r="L160" s="50">
        <f>VLOOKUP($A160,'Data shares'!$C:$FB,61)*100</f>
        <v>15.920000000000002</v>
      </c>
      <c r="M160" s="49">
        <f>VLOOKUP($A160,'Data shares'!$C:$FB,62)</f>
        <v>1674000</v>
      </c>
      <c r="N160" s="49">
        <f>VLOOKUP($A160,'Data shares'!$C:$FB,63)</f>
        <v>985500</v>
      </c>
      <c r="O160" s="140">
        <f>VLOOKUP($A160,'Data shares'!$C:$FB,65)*100</f>
        <v>69.86</v>
      </c>
    </row>
    <row r="161" spans="1:15" x14ac:dyDescent="0.25">
      <c r="A161" s="101" t="str">
        <f>'Data shares'!C156</f>
        <v>PAYTM</v>
      </c>
      <c r="B161" s="50">
        <f>VLOOKUP($A161,'Data shares'!$C:$FB,7)</f>
        <v>1274</v>
      </c>
      <c r="C161" s="50">
        <f>VLOOKUP($A161,'Data shares'!$C:$FB,10)*100</f>
        <v>-0.26</v>
      </c>
      <c r="D161" s="49">
        <f>VLOOKUP($A161,'Data shares'!$C:$FB,66)</f>
        <v>45493025</v>
      </c>
      <c r="E161" s="49">
        <f>VLOOKUP($A161,'Data shares'!$C:$FB,67)</f>
        <v>56033075</v>
      </c>
      <c r="F161" s="50">
        <f>VLOOKUP($A161,'Data shares'!$C:$FB,69)*100</f>
        <v>-18.809999999999999</v>
      </c>
      <c r="G161" s="49">
        <f>VLOOKUP($A161,'Data shares'!$C:$FB,42)</f>
        <v>7603075</v>
      </c>
      <c r="H161" s="49">
        <f>VLOOKUP($A161,'Data shares'!$C:$FB,43)</f>
        <v>8523100</v>
      </c>
      <c r="I161" s="50">
        <f>VLOOKUP($A161,'Data shares'!$C:$FB,45)*100</f>
        <v>-10.79</v>
      </c>
      <c r="J161" s="49">
        <f>VLOOKUP($A161,'Data shares'!$C:$FB,58)</f>
        <v>24860975</v>
      </c>
      <c r="K161" s="49">
        <f>VLOOKUP($A161,'Data shares'!$C:$FB,59)</f>
        <v>32088500</v>
      </c>
      <c r="L161" s="50">
        <f>VLOOKUP($A161,'Data shares'!$C:$FB,61)*100</f>
        <v>-22.52</v>
      </c>
      <c r="M161" s="49">
        <f>VLOOKUP($A161,'Data shares'!$C:$FB,62)</f>
        <v>13028975</v>
      </c>
      <c r="N161" s="49">
        <f>VLOOKUP($A161,'Data shares'!$C:$FB,63)</f>
        <v>15421475</v>
      </c>
      <c r="O161" s="140">
        <f>VLOOKUP($A161,'Data shares'!$C:$FB,65)*100</f>
        <v>-15.509999999999998</v>
      </c>
    </row>
    <row r="162" spans="1:15" x14ac:dyDescent="0.25">
      <c r="A162" s="101" t="str">
        <f>'Data shares'!C157</f>
        <v>PERSISTENT</v>
      </c>
      <c r="B162" s="50">
        <f>VLOOKUP($A162,'Data shares'!$C:$FB,7)</f>
        <v>5841.5</v>
      </c>
      <c r="C162" s="50">
        <f>VLOOKUP($A162,'Data shares'!$C:$FB,10)*100</f>
        <v>2.04</v>
      </c>
      <c r="D162" s="49">
        <f>VLOOKUP($A162,'Data shares'!$C:$FB,66)</f>
        <v>11328400</v>
      </c>
      <c r="E162" s="49">
        <f>VLOOKUP($A162,'Data shares'!$C:$FB,67)</f>
        <v>38784900</v>
      </c>
      <c r="F162" s="50">
        <f>VLOOKUP($A162,'Data shares'!$C:$FB,69)*100</f>
        <v>-70.789999999999992</v>
      </c>
      <c r="G162" s="49">
        <f>VLOOKUP($A162,'Data shares'!$C:$FB,42)</f>
        <v>942400</v>
      </c>
      <c r="H162" s="49">
        <f>VLOOKUP($A162,'Data shares'!$C:$FB,43)</f>
        <v>3706700</v>
      </c>
      <c r="I162" s="50">
        <f>VLOOKUP($A162,'Data shares'!$C:$FB,45)*100</f>
        <v>-74.58</v>
      </c>
      <c r="J162" s="49">
        <f>VLOOKUP($A162,'Data shares'!$C:$FB,58)</f>
        <v>6256900</v>
      </c>
      <c r="K162" s="49">
        <f>VLOOKUP($A162,'Data shares'!$C:$FB,59)</f>
        <v>23459800</v>
      </c>
      <c r="L162" s="50">
        <f>VLOOKUP($A162,'Data shares'!$C:$FB,61)*100</f>
        <v>-73.33</v>
      </c>
      <c r="M162" s="49">
        <f>VLOOKUP($A162,'Data shares'!$C:$FB,62)</f>
        <v>4129100</v>
      </c>
      <c r="N162" s="49">
        <f>VLOOKUP($A162,'Data shares'!$C:$FB,63)</f>
        <v>11618400</v>
      </c>
      <c r="O162" s="140">
        <f>VLOOKUP($A162,'Data shares'!$C:$FB,65)*100</f>
        <v>-64.459999999999994</v>
      </c>
    </row>
    <row r="163" spans="1:15" x14ac:dyDescent="0.25">
      <c r="A163" s="101" t="str">
        <f>'Data shares'!C158</f>
        <v>PETRONET</v>
      </c>
      <c r="B163" s="50">
        <f>VLOOKUP($A163,'Data shares'!$C:$FB,7)</f>
        <v>278.75</v>
      </c>
      <c r="C163" s="50">
        <f>VLOOKUP($A163,'Data shares'!$C:$FB,10)*100</f>
        <v>-0.32</v>
      </c>
      <c r="D163" s="49">
        <f>VLOOKUP($A163,'Data shares'!$C:$FB,66)</f>
        <v>16583400</v>
      </c>
      <c r="E163" s="49">
        <f>VLOOKUP($A163,'Data shares'!$C:$FB,67)</f>
        <v>16981200</v>
      </c>
      <c r="F163" s="50">
        <f>VLOOKUP($A163,'Data shares'!$C:$FB,69)*100</f>
        <v>-2.34</v>
      </c>
      <c r="G163" s="49">
        <f>VLOOKUP($A163,'Data shares'!$C:$FB,42)</f>
        <v>8211600</v>
      </c>
      <c r="H163" s="49">
        <f>VLOOKUP($A163,'Data shares'!$C:$FB,43)</f>
        <v>5886000</v>
      </c>
      <c r="I163" s="50">
        <f>VLOOKUP($A163,'Data shares'!$C:$FB,45)*100</f>
        <v>39.51</v>
      </c>
      <c r="J163" s="49">
        <f>VLOOKUP($A163,'Data shares'!$C:$FB,58)</f>
        <v>5367600</v>
      </c>
      <c r="K163" s="49">
        <f>VLOOKUP($A163,'Data shares'!$C:$FB,59)</f>
        <v>6660000</v>
      </c>
      <c r="L163" s="50">
        <f>VLOOKUP($A163,'Data shares'!$C:$FB,61)*100</f>
        <v>-19.41</v>
      </c>
      <c r="M163" s="49">
        <f>VLOOKUP($A163,'Data shares'!$C:$FB,62)</f>
        <v>3004200</v>
      </c>
      <c r="N163" s="49">
        <f>VLOOKUP($A163,'Data shares'!$C:$FB,63)</f>
        <v>4435200</v>
      </c>
      <c r="O163" s="140">
        <f>VLOOKUP($A163,'Data shares'!$C:$FB,65)*100</f>
        <v>-32.26</v>
      </c>
    </row>
    <row r="164" spans="1:15" x14ac:dyDescent="0.25">
      <c r="A164" s="101" t="str">
        <f>'Data shares'!C159</f>
        <v>PFC</v>
      </c>
      <c r="B164" s="50">
        <f>VLOOKUP($A164,'Data shares'!$C:$FB,7)</f>
        <v>401.55</v>
      </c>
      <c r="C164" s="50">
        <f>VLOOKUP($A164,'Data shares'!$C:$FB,10)*100</f>
        <v>-0.85000000000000009</v>
      </c>
      <c r="D164" s="49">
        <f>VLOOKUP($A164,'Data shares'!$C:$FB,66)</f>
        <v>42201900</v>
      </c>
      <c r="E164" s="49">
        <f>VLOOKUP($A164,'Data shares'!$C:$FB,67)</f>
        <v>50276200</v>
      </c>
      <c r="F164" s="50">
        <f>VLOOKUP($A164,'Data shares'!$C:$FB,69)*100</f>
        <v>-16.059999999999999</v>
      </c>
      <c r="G164" s="49">
        <f>VLOOKUP($A164,'Data shares'!$C:$FB,42)</f>
        <v>9332700</v>
      </c>
      <c r="H164" s="49">
        <f>VLOOKUP($A164,'Data shares'!$C:$FB,43)</f>
        <v>11021400</v>
      </c>
      <c r="I164" s="50">
        <f>VLOOKUP($A164,'Data shares'!$C:$FB,45)*100</f>
        <v>-15.32</v>
      </c>
      <c r="J164" s="49">
        <f>VLOOKUP($A164,'Data shares'!$C:$FB,58)</f>
        <v>20482800</v>
      </c>
      <c r="K164" s="49">
        <f>VLOOKUP($A164,'Data shares'!$C:$FB,59)</f>
        <v>25065300</v>
      </c>
      <c r="L164" s="50">
        <f>VLOOKUP($A164,'Data shares'!$C:$FB,61)*100</f>
        <v>-18.279999999999998</v>
      </c>
      <c r="M164" s="49">
        <f>VLOOKUP($A164,'Data shares'!$C:$FB,62)</f>
        <v>12386400</v>
      </c>
      <c r="N164" s="49">
        <f>VLOOKUP($A164,'Data shares'!$C:$FB,63)</f>
        <v>14189500</v>
      </c>
      <c r="O164" s="140">
        <f>VLOOKUP($A164,'Data shares'!$C:$FB,65)*100</f>
        <v>-12.709999999999999</v>
      </c>
    </row>
    <row r="165" spans="1:15" x14ac:dyDescent="0.25">
      <c r="A165" s="101" t="str">
        <f>'Data shares'!C160</f>
        <v>PGEL</v>
      </c>
      <c r="B165" s="50">
        <f>VLOOKUP($A165,'Data shares'!$C:$FB,7)</f>
        <v>568.85</v>
      </c>
      <c r="C165" s="50">
        <f>VLOOKUP($A165,'Data shares'!$C:$FB,10)*100</f>
        <v>-0.43</v>
      </c>
      <c r="D165" s="49">
        <f>VLOOKUP($A165,'Data shares'!$C:$FB,66)</f>
        <v>9346400</v>
      </c>
      <c r="E165" s="49">
        <f>VLOOKUP($A165,'Data shares'!$C:$FB,67)</f>
        <v>19676300</v>
      </c>
      <c r="F165" s="50">
        <f>VLOOKUP($A165,'Data shares'!$C:$FB,69)*100</f>
        <v>-52.5</v>
      </c>
      <c r="G165" s="49">
        <f>VLOOKUP($A165,'Data shares'!$C:$FB,42)</f>
        <v>1892800</v>
      </c>
      <c r="H165" s="49">
        <f>VLOOKUP($A165,'Data shares'!$C:$FB,43)</f>
        <v>3318000</v>
      </c>
      <c r="I165" s="50">
        <f>VLOOKUP($A165,'Data shares'!$C:$FB,45)*100</f>
        <v>-42.95</v>
      </c>
      <c r="J165" s="49">
        <f>VLOOKUP($A165,'Data shares'!$C:$FB,58)</f>
        <v>5208000</v>
      </c>
      <c r="K165" s="49">
        <f>VLOOKUP($A165,'Data shares'!$C:$FB,59)</f>
        <v>11150300</v>
      </c>
      <c r="L165" s="50">
        <f>VLOOKUP($A165,'Data shares'!$C:$FB,61)*100</f>
        <v>-53.290000000000006</v>
      </c>
      <c r="M165" s="49">
        <f>VLOOKUP($A165,'Data shares'!$C:$FB,62)</f>
        <v>2245600</v>
      </c>
      <c r="N165" s="49">
        <f>VLOOKUP($A165,'Data shares'!$C:$FB,63)</f>
        <v>5208000</v>
      </c>
      <c r="O165" s="140">
        <f>VLOOKUP($A165,'Data shares'!$C:$FB,65)*100</f>
        <v>-56.879999999999995</v>
      </c>
    </row>
    <row r="166" spans="1:15" x14ac:dyDescent="0.25">
      <c r="A166" s="101" t="str">
        <f>'Data shares'!C161</f>
        <v>PHOENIXLTD</v>
      </c>
      <c r="B166" s="50">
        <f>VLOOKUP($A166,'Data shares'!$C:$FB,7)</f>
        <v>1694.9</v>
      </c>
      <c r="C166" s="50">
        <f>VLOOKUP($A166,'Data shares'!$C:$FB,10)*100</f>
        <v>1.1100000000000001</v>
      </c>
      <c r="D166" s="49">
        <f>VLOOKUP($A166,'Data shares'!$C:$FB,66)</f>
        <v>7744800</v>
      </c>
      <c r="E166" s="49">
        <f>VLOOKUP($A166,'Data shares'!$C:$FB,67)</f>
        <v>5919550</v>
      </c>
      <c r="F166" s="50">
        <f>VLOOKUP($A166,'Data shares'!$C:$FB,69)*100</f>
        <v>30.830000000000002</v>
      </c>
      <c r="G166" s="49">
        <f>VLOOKUP($A166,'Data shares'!$C:$FB,42)</f>
        <v>1756650</v>
      </c>
      <c r="H166" s="49">
        <f>VLOOKUP($A166,'Data shares'!$C:$FB,43)</f>
        <v>787500</v>
      </c>
      <c r="I166" s="50">
        <f>VLOOKUP($A166,'Data shares'!$C:$FB,45)*100</f>
        <v>123.07</v>
      </c>
      <c r="J166" s="49">
        <f>VLOOKUP($A166,'Data shares'!$C:$FB,58)</f>
        <v>4538450</v>
      </c>
      <c r="K166" s="49">
        <f>VLOOKUP($A166,'Data shares'!$C:$FB,59)</f>
        <v>3964100</v>
      </c>
      <c r="L166" s="50">
        <f>VLOOKUP($A166,'Data shares'!$C:$FB,61)*100</f>
        <v>14.49</v>
      </c>
      <c r="M166" s="49">
        <f>VLOOKUP($A166,'Data shares'!$C:$FB,62)</f>
        <v>1449700</v>
      </c>
      <c r="N166" s="49">
        <f>VLOOKUP($A166,'Data shares'!$C:$FB,63)</f>
        <v>1167950</v>
      </c>
      <c r="O166" s="140">
        <f>VLOOKUP($A166,'Data shares'!$C:$FB,65)*100</f>
        <v>24.12</v>
      </c>
    </row>
    <row r="167" spans="1:15" x14ac:dyDescent="0.25">
      <c r="A167" s="101" t="str">
        <f>'Data shares'!C162</f>
        <v>PIDILITIND</v>
      </c>
      <c r="B167" s="50">
        <f>VLOOKUP($A167,'Data shares'!$C:$FB,7)</f>
        <v>1523</v>
      </c>
      <c r="C167" s="50">
        <f>VLOOKUP($A167,'Data shares'!$C:$FB,10)*100</f>
        <v>1.48</v>
      </c>
      <c r="D167" s="49">
        <f>VLOOKUP($A167,'Data shares'!$C:$FB,66)</f>
        <v>4121000</v>
      </c>
      <c r="E167" s="49">
        <f>VLOOKUP($A167,'Data shares'!$C:$FB,67)</f>
        <v>2535000</v>
      </c>
      <c r="F167" s="50">
        <f>VLOOKUP($A167,'Data shares'!$C:$FB,69)*100</f>
        <v>62.56</v>
      </c>
      <c r="G167" s="49">
        <f>VLOOKUP($A167,'Data shares'!$C:$FB,42)</f>
        <v>982500</v>
      </c>
      <c r="H167" s="49">
        <f>VLOOKUP($A167,'Data shares'!$C:$FB,43)</f>
        <v>827000</v>
      </c>
      <c r="I167" s="50">
        <f>VLOOKUP($A167,'Data shares'!$C:$FB,45)*100</f>
        <v>18.8</v>
      </c>
      <c r="J167" s="49">
        <f>VLOOKUP($A167,'Data shares'!$C:$FB,58)</f>
        <v>2441500</v>
      </c>
      <c r="K167" s="49">
        <f>VLOOKUP($A167,'Data shares'!$C:$FB,59)</f>
        <v>1121000</v>
      </c>
      <c r="L167" s="50">
        <f>VLOOKUP($A167,'Data shares'!$C:$FB,61)*100</f>
        <v>117.8</v>
      </c>
      <c r="M167" s="49">
        <f>VLOOKUP($A167,'Data shares'!$C:$FB,62)</f>
        <v>697000</v>
      </c>
      <c r="N167" s="49">
        <f>VLOOKUP($A167,'Data shares'!$C:$FB,63)</f>
        <v>587000</v>
      </c>
      <c r="O167" s="140">
        <f>VLOOKUP($A167,'Data shares'!$C:$FB,65)*100</f>
        <v>18.740000000000002</v>
      </c>
    </row>
    <row r="168" spans="1:15" x14ac:dyDescent="0.25">
      <c r="A168" s="101" t="str">
        <f>'Data shares'!C163</f>
        <v>PIIND</v>
      </c>
      <c r="B168" s="50">
        <f>VLOOKUP($A168,'Data shares'!$C:$FB,7)</f>
        <v>3550.3</v>
      </c>
      <c r="C168" s="50">
        <f>VLOOKUP($A168,'Data shares'!$C:$FB,10)*100</f>
        <v>-0.13999999999999999</v>
      </c>
      <c r="D168" s="49">
        <f>VLOOKUP($A168,'Data shares'!$C:$FB,66)</f>
        <v>727125</v>
      </c>
      <c r="E168" s="49">
        <f>VLOOKUP($A168,'Data shares'!$C:$FB,67)</f>
        <v>461125</v>
      </c>
      <c r="F168" s="50">
        <f>VLOOKUP($A168,'Data shares'!$C:$FB,69)*100</f>
        <v>57.69</v>
      </c>
      <c r="G168" s="49">
        <f>VLOOKUP($A168,'Data shares'!$C:$FB,42)</f>
        <v>256725</v>
      </c>
      <c r="H168" s="49">
        <f>VLOOKUP($A168,'Data shares'!$C:$FB,43)</f>
        <v>123900</v>
      </c>
      <c r="I168" s="50">
        <f>VLOOKUP($A168,'Data shares'!$C:$FB,45)*100</f>
        <v>107.2</v>
      </c>
      <c r="J168" s="49">
        <f>VLOOKUP($A168,'Data shares'!$C:$FB,58)</f>
        <v>368900</v>
      </c>
      <c r="K168" s="49">
        <f>VLOOKUP($A168,'Data shares'!$C:$FB,59)</f>
        <v>290850</v>
      </c>
      <c r="L168" s="50">
        <f>VLOOKUP($A168,'Data shares'!$C:$FB,61)*100</f>
        <v>26.840000000000003</v>
      </c>
      <c r="M168" s="49">
        <f>VLOOKUP($A168,'Data shares'!$C:$FB,62)</f>
        <v>101500</v>
      </c>
      <c r="N168" s="49">
        <f>VLOOKUP($A168,'Data shares'!$C:$FB,63)</f>
        <v>46375</v>
      </c>
      <c r="O168" s="140">
        <f>VLOOKUP($A168,'Data shares'!$C:$FB,65)*100</f>
        <v>118.87</v>
      </c>
    </row>
    <row r="169" spans="1:15" x14ac:dyDescent="0.25">
      <c r="A169" s="101" t="str">
        <f>'Data shares'!C164</f>
        <v>PNB</v>
      </c>
      <c r="B169" s="50">
        <f>VLOOKUP($A169,'Data shares'!$C:$FB,7)</f>
        <v>116.11</v>
      </c>
      <c r="C169" s="50">
        <f>VLOOKUP($A169,'Data shares'!$C:$FB,10)*100</f>
        <v>-0.25</v>
      </c>
      <c r="D169" s="49">
        <f>VLOOKUP($A169,'Data shares'!$C:$FB,66)</f>
        <v>335488000</v>
      </c>
      <c r="E169" s="49">
        <f>VLOOKUP($A169,'Data shares'!$C:$FB,67)</f>
        <v>263152000</v>
      </c>
      <c r="F169" s="50">
        <f>VLOOKUP($A169,'Data shares'!$C:$FB,69)*100</f>
        <v>27.49</v>
      </c>
      <c r="G169" s="49">
        <f>VLOOKUP($A169,'Data shares'!$C:$FB,42)</f>
        <v>62184000</v>
      </c>
      <c r="H169" s="49">
        <f>VLOOKUP($A169,'Data shares'!$C:$FB,43)</f>
        <v>44696000</v>
      </c>
      <c r="I169" s="50">
        <f>VLOOKUP($A169,'Data shares'!$C:$FB,45)*100</f>
        <v>39.129999999999995</v>
      </c>
      <c r="J169" s="49">
        <f>VLOOKUP($A169,'Data shares'!$C:$FB,58)</f>
        <v>167056000</v>
      </c>
      <c r="K169" s="49">
        <f>VLOOKUP($A169,'Data shares'!$C:$FB,59)</f>
        <v>140688000</v>
      </c>
      <c r="L169" s="50">
        <f>VLOOKUP($A169,'Data shares'!$C:$FB,61)*100</f>
        <v>18.740000000000002</v>
      </c>
      <c r="M169" s="49">
        <f>VLOOKUP($A169,'Data shares'!$C:$FB,62)</f>
        <v>106248000</v>
      </c>
      <c r="N169" s="49">
        <f>VLOOKUP($A169,'Data shares'!$C:$FB,63)</f>
        <v>77768000</v>
      </c>
      <c r="O169" s="140">
        <f>VLOOKUP($A169,'Data shares'!$C:$FB,65)*100</f>
        <v>36.620000000000005</v>
      </c>
    </row>
    <row r="170" spans="1:15" x14ac:dyDescent="0.25">
      <c r="A170" s="101" t="str">
        <f>'Data shares'!C165</f>
        <v>PNBHOUSING</v>
      </c>
      <c r="B170" s="50">
        <f>VLOOKUP($A170,'Data shares'!$C:$FB,7)</f>
        <v>843.4</v>
      </c>
      <c r="C170" s="50">
        <f>VLOOKUP($A170,'Data shares'!$C:$FB,10)*100</f>
        <v>-0.64</v>
      </c>
      <c r="D170" s="49">
        <f>VLOOKUP($A170,'Data shares'!$C:$FB,66)</f>
        <v>6239350</v>
      </c>
      <c r="E170" s="49">
        <f>VLOOKUP($A170,'Data shares'!$C:$FB,67)</f>
        <v>4685200</v>
      </c>
      <c r="F170" s="50">
        <f>VLOOKUP($A170,'Data shares'!$C:$FB,69)*100</f>
        <v>33.17</v>
      </c>
      <c r="G170" s="49">
        <f>VLOOKUP($A170,'Data shares'!$C:$FB,42)</f>
        <v>1989650</v>
      </c>
      <c r="H170" s="49">
        <f>VLOOKUP($A170,'Data shares'!$C:$FB,43)</f>
        <v>1553500</v>
      </c>
      <c r="I170" s="50">
        <f>VLOOKUP($A170,'Data shares'!$C:$FB,45)*100</f>
        <v>28.08</v>
      </c>
      <c r="J170" s="49">
        <f>VLOOKUP($A170,'Data shares'!$C:$FB,58)</f>
        <v>2752100</v>
      </c>
      <c r="K170" s="49">
        <f>VLOOKUP($A170,'Data shares'!$C:$FB,59)</f>
        <v>2148900</v>
      </c>
      <c r="L170" s="50">
        <f>VLOOKUP($A170,'Data shares'!$C:$FB,61)*100</f>
        <v>28.07</v>
      </c>
      <c r="M170" s="49">
        <f>VLOOKUP($A170,'Data shares'!$C:$FB,62)</f>
        <v>1497600</v>
      </c>
      <c r="N170" s="49">
        <f>VLOOKUP($A170,'Data shares'!$C:$FB,63)</f>
        <v>982800</v>
      </c>
      <c r="O170" s="140">
        <f>VLOOKUP($A170,'Data shares'!$C:$FB,65)*100</f>
        <v>52.38</v>
      </c>
    </row>
    <row r="171" spans="1:15" x14ac:dyDescent="0.25">
      <c r="A171" s="101" t="str">
        <f>'Data shares'!C166</f>
        <v>POLICYBZR</v>
      </c>
      <c r="B171" s="50">
        <f>VLOOKUP($A171,'Data shares'!$C:$FB,7)</f>
        <v>1691</v>
      </c>
      <c r="C171" s="50">
        <f>VLOOKUP($A171,'Data shares'!$C:$FB,10)*100</f>
        <v>1.01</v>
      </c>
      <c r="D171" s="49">
        <f>VLOOKUP($A171,'Data shares'!$C:$FB,66)</f>
        <v>3588550</v>
      </c>
      <c r="E171" s="49">
        <f>VLOOKUP($A171,'Data shares'!$C:$FB,67)</f>
        <v>3483200</v>
      </c>
      <c r="F171" s="50">
        <f>VLOOKUP($A171,'Data shares'!$C:$FB,69)*100</f>
        <v>3.02</v>
      </c>
      <c r="G171" s="49">
        <f>VLOOKUP($A171,'Data shares'!$C:$FB,42)</f>
        <v>1369900</v>
      </c>
      <c r="H171" s="49">
        <f>VLOOKUP($A171,'Data shares'!$C:$FB,43)</f>
        <v>1361150</v>
      </c>
      <c r="I171" s="50">
        <f>VLOOKUP($A171,'Data shares'!$C:$FB,45)*100</f>
        <v>0.64</v>
      </c>
      <c r="J171" s="49">
        <f>VLOOKUP($A171,'Data shares'!$C:$FB,58)</f>
        <v>1789900</v>
      </c>
      <c r="K171" s="49">
        <f>VLOOKUP($A171,'Data shares'!$C:$FB,59)</f>
        <v>1394050</v>
      </c>
      <c r="L171" s="50">
        <f>VLOOKUP($A171,'Data shares'!$C:$FB,61)*100</f>
        <v>28.4</v>
      </c>
      <c r="M171" s="49">
        <f>VLOOKUP($A171,'Data shares'!$C:$FB,62)</f>
        <v>428750</v>
      </c>
      <c r="N171" s="49">
        <f>VLOOKUP($A171,'Data shares'!$C:$FB,63)</f>
        <v>728000</v>
      </c>
      <c r="O171" s="140">
        <f>VLOOKUP($A171,'Data shares'!$C:$FB,65)*100</f>
        <v>-41.11</v>
      </c>
    </row>
    <row r="172" spans="1:15" x14ac:dyDescent="0.25">
      <c r="A172" s="101" t="str">
        <f>'Data shares'!C167</f>
        <v>POLYCAB</v>
      </c>
      <c r="B172" s="50">
        <f>VLOOKUP($A172,'Data shares'!$C:$FB,7)</f>
        <v>7578</v>
      </c>
      <c r="C172" s="50">
        <f>VLOOKUP($A172,'Data shares'!$C:$FB,10)*100</f>
        <v>-1.05</v>
      </c>
      <c r="D172" s="49">
        <f>VLOOKUP($A172,'Data shares'!$C:$FB,66)</f>
        <v>3247500</v>
      </c>
      <c r="E172" s="49">
        <f>VLOOKUP($A172,'Data shares'!$C:$FB,67)</f>
        <v>2349250</v>
      </c>
      <c r="F172" s="50">
        <f>VLOOKUP($A172,'Data shares'!$C:$FB,69)*100</f>
        <v>38.24</v>
      </c>
      <c r="G172" s="49">
        <f>VLOOKUP($A172,'Data shares'!$C:$FB,42)</f>
        <v>683750</v>
      </c>
      <c r="H172" s="49">
        <f>VLOOKUP($A172,'Data shares'!$C:$FB,43)</f>
        <v>445875</v>
      </c>
      <c r="I172" s="50">
        <f>VLOOKUP($A172,'Data shares'!$C:$FB,45)*100</f>
        <v>53.349999999999994</v>
      </c>
      <c r="J172" s="49">
        <f>VLOOKUP($A172,'Data shares'!$C:$FB,58)</f>
        <v>1783875</v>
      </c>
      <c r="K172" s="49">
        <f>VLOOKUP($A172,'Data shares'!$C:$FB,59)</f>
        <v>1231375</v>
      </c>
      <c r="L172" s="50">
        <f>VLOOKUP($A172,'Data shares'!$C:$FB,61)*100</f>
        <v>44.87</v>
      </c>
      <c r="M172" s="49">
        <f>VLOOKUP($A172,'Data shares'!$C:$FB,62)</f>
        <v>779875</v>
      </c>
      <c r="N172" s="49">
        <f>VLOOKUP($A172,'Data shares'!$C:$FB,63)</f>
        <v>672000</v>
      </c>
      <c r="O172" s="140">
        <f>VLOOKUP($A172,'Data shares'!$C:$FB,65)*100</f>
        <v>16.05</v>
      </c>
    </row>
    <row r="173" spans="1:15" x14ac:dyDescent="0.25">
      <c r="A173" s="101" t="str">
        <f>'Data shares'!C168</f>
        <v>POWERGRID</v>
      </c>
      <c r="B173" s="50">
        <f>VLOOKUP($A173,'Data shares'!$C:$FB,7)</f>
        <v>291.85000000000002</v>
      </c>
      <c r="C173" s="50">
        <f>VLOOKUP($A173,'Data shares'!$C:$FB,10)*100</f>
        <v>0.31</v>
      </c>
      <c r="D173" s="49">
        <f>VLOOKUP($A173,'Data shares'!$C:$FB,66)</f>
        <v>28538000</v>
      </c>
      <c r="E173" s="49">
        <f>VLOOKUP($A173,'Data shares'!$C:$FB,67)</f>
        <v>53010000</v>
      </c>
      <c r="F173" s="50">
        <f>VLOOKUP($A173,'Data shares'!$C:$FB,69)*100</f>
        <v>-46.160000000000004</v>
      </c>
      <c r="G173" s="49">
        <f>VLOOKUP($A173,'Data shares'!$C:$FB,42)</f>
        <v>8474000</v>
      </c>
      <c r="H173" s="49">
        <f>VLOOKUP($A173,'Data shares'!$C:$FB,43)</f>
        <v>8506300</v>
      </c>
      <c r="I173" s="50">
        <f>VLOOKUP($A173,'Data shares'!$C:$FB,45)*100</f>
        <v>-0.38</v>
      </c>
      <c r="J173" s="49">
        <f>VLOOKUP($A173,'Data shares'!$C:$FB,58)</f>
        <v>12783200</v>
      </c>
      <c r="K173" s="49">
        <f>VLOOKUP($A173,'Data shares'!$C:$FB,59)</f>
        <v>28794500</v>
      </c>
      <c r="L173" s="50">
        <f>VLOOKUP($A173,'Data shares'!$C:$FB,61)*100</f>
        <v>-55.610000000000007</v>
      </c>
      <c r="M173" s="49">
        <f>VLOOKUP($A173,'Data shares'!$C:$FB,62)</f>
        <v>7280800</v>
      </c>
      <c r="N173" s="49">
        <f>VLOOKUP($A173,'Data shares'!$C:$FB,63)</f>
        <v>15709200</v>
      </c>
      <c r="O173" s="140">
        <f>VLOOKUP($A173,'Data shares'!$C:$FB,65)*100</f>
        <v>-53.65</v>
      </c>
    </row>
    <row r="174" spans="1:15" x14ac:dyDescent="0.25">
      <c r="A174" s="101" t="str">
        <f>'Data shares'!C169</f>
        <v>POWERINDIA</v>
      </c>
      <c r="B174" s="50">
        <f>VLOOKUP($A174,'Data shares'!$C:$FB,7)</f>
        <v>17700</v>
      </c>
      <c r="C174" s="50">
        <f>VLOOKUP($A174,'Data shares'!$C:$FB,10)*100</f>
        <v>1.21</v>
      </c>
      <c r="D174" s="49">
        <f>VLOOKUP($A174,'Data shares'!$C:$FB,66)</f>
        <v>186850</v>
      </c>
      <c r="E174" s="49">
        <f>VLOOKUP($A174,'Data shares'!$C:$FB,67)</f>
        <v>101100</v>
      </c>
      <c r="F174" s="50">
        <f>VLOOKUP($A174,'Data shares'!$C:$FB,69)*100</f>
        <v>84.82</v>
      </c>
      <c r="G174" s="49">
        <f>VLOOKUP($A174,'Data shares'!$C:$FB,42)</f>
        <v>69400</v>
      </c>
      <c r="H174" s="49">
        <f>VLOOKUP($A174,'Data shares'!$C:$FB,43)</f>
        <v>40600</v>
      </c>
      <c r="I174" s="50">
        <f>VLOOKUP($A174,'Data shares'!$C:$FB,45)*100</f>
        <v>70.94</v>
      </c>
      <c r="J174" s="49">
        <f>VLOOKUP($A174,'Data shares'!$C:$FB,58)</f>
        <v>105400</v>
      </c>
      <c r="K174" s="49">
        <f>VLOOKUP($A174,'Data shares'!$C:$FB,59)</f>
        <v>46600</v>
      </c>
      <c r="L174" s="50">
        <f>VLOOKUP($A174,'Data shares'!$C:$FB,61)*100</f>
        <v>126.18</v>
      </c>
      <c r="M174" s="49">
        <f>VLOOKUP($A174,'Data shares'!$C:$FB,62)</f>
        <v>12050</v>
      </c>
      <c r="N174" s="49">
        <f>VLOOKUP($A174,'Data shares'!$C:$FB,63)</f>
        <v>13900</v>
      </c>
      <c r="O174" s="140">
        <f>VLOOKUP($A174,'Data shares'!$C:$FB,65)*100</f>
        <v>-13.309999999999999</v>
      </c>
    </row>
    <row r="175" spans="1:15" x14ac:dyDescent="0.25">
      <c r="A175" s="101" t="str">
        <f>'Data shares'!C170</f>
        <v>PPLPHARMA</v>
      </c>
      <c r="B175" s="50">
        <f>VLOOKUP($A175,'Data shares'!$C:$FB,7)</f>
        <v>194.16</v>
      </c>
      <c r="C175" s="50">
        <f>VLOOKUP($A175,'Data shares'!$C:$FB,10)*100</f>
        <v>0.33999999999999997</v>
      </c>
      <c r="D175" s="49">
        <f>VLOOKUP($A175,'Data shares'!$C:$FB,66)</f>
        <v>12225000</v>
      </c>
      <c r="E175" s="49">
        <f>VLOOKUP($A175,'Data shares'!$C:$FB,67)</f>
        <v>25752500</v>
      </c>
      <c r="F175" s="50">
        <f>VLOOKUP($A175,'Data shares'!$C:$FB,69)*100</f>
        <v>-52.53</v>
      </c>
      <c r="G175" s="49">
        <f>VLOOKUP($A175,'Data shares'!$C:$FB,42)</f>
        <v>5002500</v>
      </c>
      <c r="H175" s="49">
        <f>VLOOKUP($A175,'Data shares'!$C:$FB,43)</f>
        <v>6185000</v>
      </c>
      <c r="I175" s="50">
        <f>VLOOKUP($A175,'Data shares'!$C:$FB,45)*100</f>
        <v>-19.12</v>
      </c>
      <c r="J175" s="49">
        <f>VLOOKUP($A175,'Data shares'!$C:$FB,58)</f>
        <v>5917500</v>
      </c>
      <c r="K175" s="49">
        <f>VLOOKUP($A175,'Data shares'!$C:$FB,59)</f>
        <v>12897500</v>
      </c>
      <c r="L175" s="50">
        <f>VLOOKUP($A175,'Data shares'!$C:$FB,61)*100</f>
        <v>-54.120000000000005</v>
      </c>
      <c r="M175" s="49">
        <f>VLOOKUP($A175,'Data shares'!$C:$FB,62)</f>
        <v>1305000</v>
      </c>
      <c r="N175" s="49">
        <f>VLOOKUP($A175,'Data shares'!$C:$FB,63)</f>
        <v>6670000</v>
      </c>
      <c r="O175" s="140">
        <f>VLOOKUP($A175,'Data shares'!$C:$FB,65)*100</f>
        <v>-80.430000000000007</v>
      </c>
    </row>
    <row r="176" spans="1:15" x14ac:dyDescent="0.25">
      <c r="A176" s="101" t="str">
        <f>'Data shares'!C171</f>
        <v>PRESTIGE</v>
      </c>
      <c r="B176" s="50">
        <f>VLOOKUP($A176,'Data shares'!$C:$FB,7)</f>
        <v>1696.9</v>
      </c>
      <c r="C176" s="50">
        <f>VLOOKUP($A176,'Data shares'!$C:$FB,10)*100</f>
        <v>1.25</v>
      </c>
      <c r="D176" s="49">
        <f>VLOOKUP($A176,'Data shares'!$C:$FB,66)</f>
        <v>7507350</v>
      </c>
      <c r="E176" s="49">
        <f>VLOOKUP($A176,'Data shares'!$C:$FB,67)</f>
        <v>22238100</v>
      </c>
      <c r="F176" s="50">
        <f>VLOOKUP($A176,'Data shares'!$C:$FB,69)*100</f>
        <v>-66.239999999999995</v>
      </c>
      <c r="G176" s="49">
        <f>VLOOKUP($A176,'Data shares'!$C:$FB,42)</f>
        <v>918450</v>
      </c>
      <c r="H176" s="49">
        <f>VLOOKUP($A176,'Data shares'!$C:$FB,43)</f>
        <v>2546100</v>
      </c>
      <c r="I176" s="50">
        <f>VLOOKUP($A176,'Data shares'!$C:$FB,45)*100</f>
        <v>-63.93</v>
      </c>
      <c r="J176" s="49">
        <f>VLOOKUP($A176,'Data shares'!$C:$FB,58)</f>
        <v>5033700</v>
      </c>
      <c r="K176" s="49">
        <f>VLOOKUP($A176,'Data shares'!$C:$FB,59)</f>
        <v>15151950</v>
      </c>
      <c r="L176" s="50">
        <f>VLOOKUP($A176,'Data shares'!$C:$FB,61)*100</f>
        <v>-66.78</v>
      </c>
      <c r="M176" s="49">
        <f>VLOOKUP($A176,'Data shares'!$C:$FB,62)</f>
        <v>1555200</v>
      </c>
      <c r="N176" s="49">
        <f>VLOOKUP($A176,'Data shares'!$C:$FB,63)</f>
        <v>4540050</v>
      </c>
      <c r="O176" s="140">
        <f>VLOOKUP($A176,'Data shares'!$C:$FB,65)*100</f>
        <v>-65.739999999999995</v>
      </c>
    </row>
    <row r="177" spans="1:15" x14ac:dyDescent="0.25">
      <c r="A177" s="101" t="str">
        <f>'Data shares'!C172</f>
        <v>RBLBANK</v>
      </c>
      <c r="B177" s="50">
        <f>VLOOKUP($A177,'Data shares'!$C:$FB,7)</f>
        <v>306.75</v>
      </c>
      <c r="C177" s="50">
        <f>VLOOKUP($A177,'Data shares'!$C:$FB,10)*100</f>
        <v>2.4</v>
      </c>
      <c r="D177" s="49">
        <f>VLOOKUP($A177,'Data shares'!$C:$FB,66)</f>
        <v>150450550</v>
      </c>
      <c r="E177" s="49">
        <f>VLOOKUP($A177,'Data shares'!$C:$FB,67)</f>
        <v>6045200</v>
      </c>
      <c r="F177" s="50">
        <f>VLOOKUP($A177,'Data shares'!$C:$FB,69)*100</f>
        <v>2388.7599999999998</v>
      </c>
      <c r="G177" s="49">
        <f>VLOOKUP($A177,'Data shares'!$C:$FB,42)</f>
        <v>73085325</v>
      </c>
      <c r="H177" s="49">
        <f>VLOOKUP($A177,'Data shares'!$C:$FB,43)</f>
        <v>3863975</v>
      </c>
      <c r="I177" s="50">
        <f>VLOOKUP($A177,'Data shares'!$C:$FB,45)*100</f>
        <v>1791.45</v>
      </c>
      <c r="J177" s="49">
        <f>VLOOKUP($A177,'Data shares'!$C:$FB,58)</f>
        <v>50136425</v>
      </c>
      <c r="K177" s="49">
        <f>VLOOKUP($A177,'Data shares'!$C:$FB,59)</f>
        <v>1219200</v>
      </c>
      <c r="L177" s="50">
        <f>VLOOKUP($A177,'Data shares'!$C:$FB,61)*100</f>
        <v>4012.24</v>
      </c>
      <c r="M177" s="49">
        <f>VLOOKUP($A177,'Data shares'!$C:$FB,62)</f>
        <v>27228800</v>
      </c>
      <c r="N177" s="49">
        <f>VLOOKUP($A177,'Data shares'!$C:$FB,63)</f>
        <v>962025</v>
      </c>
      <c r="O177" s="140">
        <f>VLOOKUP($A177,'Data shares'!$C:$FB,65)*100</f>
        <v>2730.36</v>
      </c>
    </row>
    <row r="178" spans="1:15" x14ac:dyDescent="0.25">
      <c r="A178" s="101" t="str">
        <f>'Data shares'!C173</f>
        <v>RECLTD</v>
      </c>
      <c r="B178" s="50">
        <f>VLOOKUP($A178,'Data shares'!$C:$FB,7)</f>
        <v>377.5</v>
      </c>
      <c r="C178" s="50">
        <f>VLOOKUP($A178,'Data shares'!$C:$FB,10)*100</f>
        <v>0.44999999999999996</v>
      </c>
      <c r="D178" s="49">
        <f>VLOOKUP($A178,'Data shares'!$C:$FB,66)</f>
        <v>33841050</v>
      </c>
      <c r="E178" s="49">
        <f>VLOOKUP($A178,'Data shares'!$C:$FB,67)</f>
        <v>51816000</v>
      </c>
      <c r="F178" s="50">
        <f>VLOOKUP($A178,'Data shares'!$C:$FB,69)*100</f>
        <v>-34.69</v>
      </c>
      <c r="G178" s="49">
        <f>VLOOKUP($A178,'Data shares'!$C:$FB,42)</f>
        <v>8281125</v>
      </c>
      <c r="H178" s="49">
        <f>VLOOKUP($A178,'Data shares'!$C:$FB,43)</f>
        <v>11840925</v>
      </c>
      <c r="I178" s="50">
        <f>VLOOKUP($A178,'Data shares'!$C:$FB,45)*100</f>
        <v>-30.06</v>
      </c>
      <c r="J178" s="49">
        <f>VLOOKUP($A178,'Data shares'!$C:$FB,58)</f>
        <v>15557550</v>
      </c>
      <c r="K178" s="49">
        <f>VLOOKUP($A178,'Data shares'!$C:$FB,59)</f>
        <v>25501275</v>
      </c>
      <c r="L178" s="50">
        <f>VLOOKUP($A178,'Data shares'!$C:$FB,61)*100</f>
        <v>-38.99</v>
      </c>
      <c r="M178" s="49">
        <f>VLOOKUP($A178,'Data shares'!$C:$FB,62)</f>
        <v>10002375</v>
      </c>
      <c r="N178" s="49">
        <f>VLOOKUP($A178,'Data shares'!$C:$FB,63)</f>
        <v>14473800</v>
      </c>
      <c r="O178" s="140">
        <f>VLOOKUP($A178,'Data shares'!$C:$FB,65)*100</f>
        <v>-30.89</v>
      </c>
    </row>
    <row r="179" spans="1:15" x14ac:dyDescent="0.25">
      <c r="A179" s="101" t="str">
        <f>'Data shares'!C174</f>
        <v>RELIANCE</v>
      </c>
      <c r="B179" s="50">
        <f>VLOOKUP($A179,'Data shares'!$C:$FB,7)</f>
        <v>1398.3</v>
      </c>
      <c r="C179" s="50">
        <f>VLOOKUP($A179,'Data shares'!$C:$FB,10)*100</f>
        <v>1.7500000000000002</v>
      </c>
      <c r="D179" s="49">
        <f>VLOOKUP($A179,'Data shares'!$C:$FB,66)</f>
        <v>119328000</v>
      </c>
      <c r="E179" s="49">
        <f>VLOOKUP($A179,'Data shares'!$C:$FB,67)</f>
        <v>76998000</v>
      </c>
      <c r="F179" s="50">
        <f>VLOOKUP($A179,'Data shares'!$C:$FB,69)*100</f>
        <v>54.98</v>
      </c>
      <c r="G179" s="49">
        <f>VLOOKUP($A179,'Data shares'!$C:$FB,42)</f>
        <v>18551000</v>
      </c>
      <c r="H179" s="49">
        <f>VLOOKUP($A179,'Data shares'!$C:$FB,43)</f>
        <v>13009500</v>
      </c>
      <c r="I179" s="50">
        <f>VLOOKUP($A179,'Data shares'!$C:$FB,45)*100</f>
        <v>42.6</v>
      </c>
      <c r="J179" s="49">
        <f>VLOOKUP($A179,'Data shares'!$C:$FB,58)</f>
        <v>70512500</v>
      </c>
      <c r="K179" s="49">
        <f>VLOOKUP($A179,'Data shares'!$C:$FB,59)</f>
        <v>41570000</v>
      </c>
      <c r="L179" s="50">
        <f>VLOOKUP($A179,'Data shares'!$C:$FB,61)*100</f>
        <v>69.62</v>
      </c>
      <c r="M179" s="49">
        <f>VLOOKUP($A179,'Data shares'!$C:$FB,62)</f>
        <v>30264500</v>
      </c>
      <c r="N179" s="49">
        <f>VLOOKUP($A179,'Data shares'!$C:$FB,63)</f>
        <v>22418500</v>
      </c>
      <c r="O179" s="140">
        <f>VLOOKUP($A179,'Data shares'!$C:$FB,65)*100</f>
        <v>35</v>
      </c>
    </row>
    <row r="180" spans="1:15" x14ac:dyDescent="0.25">
      <c r="A180" s="101" t="str">
        <f>'Data shares'!C175</f>
        <v>RVNL</v>
      </c>
      <c r="B180" s="50">
        <f>VLOOKUP($A180,'Data shares'!$C:$FB,7)</f>
        <v>336.05</v>
      </c>
      <c r="C180" s="50">
        <f>VLOOKUP($A180,'Data shares'!$C:$FB,10)*100</f>
        <v>-0.75</v>
      </c>
      <c r="D180" s="49">
        <f>VLOOKUP($A180,'Data shares'!$C:$FB,66)</f>
        <v>18315000</v>
      </c>
      <c r="E180" s="49">
        <f>VLOOKUP($A180,'Data shares'!$C:$FB,67)</f>
        <v>23830125</v>
      </c>
      <c r="F180" s="50">
        <f>VLOOKUP($A180,'Data shares'!$C:$FB,69)*100</f>
        <v>-23.14</v>
      </c>
      <c r="G180" s="49">
        <f>VLOOKUP($A180,'Data shares'!$C:$FB,42)</f>
        <v>5578375</v>
      </c>
      <c r="H180" s="49">
        <f>VLOOKUP($A180,'Data shares'!$C:$FB,43)</f>
        <v>5667750</v>
      </c>
      <c r="I180" s="50">
        <f>VLOOKUP($A180,'Data shares'!$C:$FB,45)*100</f>
        <v>-1.58</v>
      </c>
      <c r="J180" s="49">
        <f>VLOOKUP($A180,'Data shares'!$C:$FB,58)</f>
        <v>9959125</v>
      </c>
      <c r="K180" s="49">
        <f>VLOOKUP($A180,'Data shares'!$C:$FB,59)</f>
        <v>14269750</v>
      </c>
      <c r="L180" s="50">
        <f>VLOOKUP($A180,'Data shares'!$C:$FB,61)*100</f>
        <v>-30.209999999999997</v>
      </c>
      <c r="M180" s="49">
        <f>VLOOKUP($A180,'Data shares'!$C:$FB,62)</f>
        <v>2777500</v>
      </c>
      <c r="N180" s="49">
        <f>VLOOKUP($A180,'Data shares'!$C:$FB,63)</f>
        <v>3892625</v>
      </c>
      <c r="O180" s="140">
        <f>VLOOKUP($A180,'Data shares'!$C:$FB,65)*100</f>
        <v>-28.65</v>
      </c>
    </row>
    <row r="181" spans="1:15" x14ac:dyDescent="0.25">
      <c r="A181" s="101" t="str">
        <f>'Data shares'!C176</f>
        <v>SAIL</v>
      </c>
      <c r="B181" s="50">
        <f>VLOOKUP($A181,'Data shares'!$C:$FB,7)</f>
        <v>131.38</v>
      </c>
      <c r="C181" s="50">
        <f>VLOOKUP($A181,'Data shares'!$C:$FB,10)*100</f>
        <v>0.84</v>
      </c>
      <c r="D181" s="49">
        <f>VLOOKUP($A181,'Data shares'!$C:$FB,66)</f>
        <v>97703600</v>
      </c>
      <c r="E181" s="49">
        <f>VLOOKUP($A181,'Data shares'!$C:$FB,67)</f>
        <v>84698700</v>
      </c>
      <c r="F181" s="50">
        <f>VLOOKUP($A181,'Data shares'!$C:$FB,69)*100</f>
        <v>15.35</v>
      </c>
      <c r="G181" s="49">
        <f>VLOOKUP($A181,'Data shares'!$C:$FB,42)</f>
        <v>24487000</v>
      </c>
      <c r="H181" s="49">
        <f>VLOOKUP($A181,'Data shares'!$C:$FB,43)</f>
        <v>16877700</v>
      </c>
      <c r="I181" s="50">
        <f>VLOOKUP($A181,'Data shares'!$C:$FB,45)*100</f>
        <v>45.08</v>
      </c>
      <c r="J181" s="49">
        <f>VLOOKUP($A181,'Data shares'!$C:$FB,58)</f>
        <v>46967100</v>
      </c>
      <c r="K181" s="49">
        <f>VLOOKUP($A181,'Data shares'!$C:$FB,59)</f>
        <v>45994200</v>
      </c>
      <c r="L181" s="50">
        <f>VLOOKUP($A181,'Data shares'!$C:$FB,61)*100</f>
        <v>2.12</v>
      </c>
      <c r="M181" s="49">
        <f>VLOOKUP($A181,'Data shares'!$C:$FB,62)</f>
        <v>26249500</v>
      </c>
      <c r="N181" s="49">
        <f>VLOOKUP($A181,'Data shares'!$C:$FB,63)</f>
        <v>21826800</v>
      </c>
      <c r="O181" s="140">
        <f>VLOOKUP($A181,'Data shares'!$C:$FB,65)*100</f>
        <v>20.260000000000002</v>
      </c>
    </row>
    <row r="182" spans="1:15" x14ac:dyDescent="0.25">
      <c r="A182" s="101" t="str">
        <f>'Data shares'!C177</f>
        <v>SAMMAANCAP</v>
      </c>
      <c r="B182" s="50">
        <f>VLOOKUP($A182,'Data shares'!$C:$FB,7)</f>
        <v>166.89</v>
      </c>
      <c r="C182" s="50">
        <f>VLOOKUP($A182,'Data shares'!$C:$FB,10)*100</f>
        <v>1.1599999999999999</v>
      </c>
      <c r="D182" s="49">
        <f>VLOOKUP($A182,'Data shares'!$C:$FB,66)</f>
        <v>2885300</v>
      </c>
      <c r="E182" s="49">
        <f>VLOOKUP($A182,'Data shares'!$C:$FB,67)</f>
        <v>4467700</v>
      </c>
      <c r="F182" s="50">
        <f>VLOOKUP($A182,'Data shares'!$C:$FB,69)*100</f>
        <v>-35.42</v>
      </c>
      <c r="G182" s="49">
        <f>VLOOKUP($A182,'Data shares'!$C:$FB,42)</f>
        <v>1139500</v>
      </c>
      <c r="H182" s="49">
        <f>VLOOKUP($A182,'Data shares'!$C:$FB,43)</f>
        <v>2644500</v>
      </c>
      <c r="I182" s="50">
        <f>VLOOKUP($A182,'Data shares'!$C:$FB,45)*100</f>
        <v>-56.910000000000004</v>
      </c>
      <c r="J182" s="49">
        <f>VLOOKUP($A182,'Data shares'!$C:$FB,58)</f>
        <v>1208300</v>
      </c>
      <c r="K182" s="49">
        <f>VLOOKUP($A182,'Data shares'!$C:$FB,59)</f>
        <v>1044900</v>
      </c>
      <c r="L182" s="50">
        <f>VLOOKUP($A182,'Data shares'!$C:$FB,61)*100</f>
        <v>15.64</v>
      </c>
      <c r="M182" s="49">
        <f>VLOOKUP($A182,'Data shares'!$C:$FB,62)</f>
        <v>537500</v>
      </c>
      <c r="N182" s="49">
        <f>VLOOKUP($A182,'Data shares'!$C:$FB,63)</f>
        <v>778300</v>
      </c>
      <c r="O182" s="140">
        <f>VLOOKUP($A182,'Data shares'!$C:$FB,65)*100</f>
        <v>-30.94</v>
      </c>
    </row>
    <row r="183" spans="1:15" x14ac:dyDescent="0.25">
      <c r="A183" s="101" t="str">
        <f>'Data shares'!C178</f>
        <v>SBICARD</v>
      </c>
      <c r="B183" s="50">
        <f>VLOOKUP($A183,'Data shares'!$C:$FB,7)</f>
        <v>934.85</v>
      </c>
      <c r="C183" s="50">
        <f>VLOOKUP($A183,'Data shares'!$C:$FB,10)*100</f>
        <v>0.61</v>
      </c>
      <c r="D183" s="49">
        <f>VLOOKUP($A183,'Data shares'!$C:$FB,66)</f>
        <v>20464000</v>
      </c>
      <c r="E183" s="49">
        <f>VLOOKUP($A183,'Data shares'!$C:$FB,67)</f>
        <v>16766400</v>
      </c>
      <c r="F183" s="50">
        <f>VLOOKUP($A183,'Data shares'!$C:$FB,69)*100</f>
        <v>22.05</v>
      </c>
      <c r="G183" s="49">
        <f>VLOOKUP($A183,'Data shares'!$C:$FB,42)</f>
        <v>4736000</v>
      </c>
      <c r="H183" s="49">
        <f>VLOOKUP($A183,'Data shares'!$C:$FB,43)</f>
        <v>3337600</v>
      </c>
      <c r="I183" s="50">
        <f>VLOOKUP($A183,'Data shares'!$C:$FB,45)*100</f>
        <v>41.9</v>
      </c>
      <c r="J183" s="49">
        <f>VLOOKUP($A183,'Data shares'!$C:$FB,58)</f>
        <v>11078400</v>
      </c>
      <c r="K183" s="49">
        <f>VLOOKUP($A183,'Data shares'!$C:$FB,59)</f>
        <v>9288800</v>
      </c>
      <c r="L183" s="50">
        <f>VLOOKUP($A183,'Data shares'!$C:$FB,61)*100</f>
        <v>19.27</v>
      </c>
      <c r="M183" s="49">
        <f>VLOOKUP($A183,'Data shares'!$C:$FB,62)</f>
        <v>4649600</v>
      </c>
      <c r="N183" s="49">
        <f>VLOOKUP($A183,'Data shares'!$C:$FB,63)</f>
        <v>4140000</v>
      </c>
      <c r="O183" s="140">
        <f>VLOOKUP($A183,'Data shares'!$C:$FB,65)*100</f>
        <v>12.31</v>
      </c>
    </row>
    <row r="184" spans="1:15" x14ac:dyDescent="0.25">
      <c r="A184" s="101" t="str">
        <f>'Data shares'!C179</f>
        <v>SBILIFE</v>
      </c>
      <c r="B184" s="50">
        <f>VLOOKUP($A184,'Data shares'!$C:$FB,7)</f>
        <v>1835.7</v>
      </c>
      <c r="C184" s="50">
        <f>VLOOKUP($A184,'Data shares'!$C:$FB,10)*100</f>
        <v>-0.27</v>
      </c>
      <c r="D184" s="49">
        <f>VLOOKUP($A184,'Data shares'!$C:$FB,66)</f>
        <v>6052125</v>
      </c>
      <c r="E184" s="49">
        <f>VLOOKUP($A184,'Data shares'!$C:$FB,67)</f>
        <v>7725375</v>
      </c>
      <c r="F184" s="50">
        <f>VLOOKUP($A184,'Data shares'!$C:$FB,69)*100</f>
        <v>-21.66</v>
      </c>
      <c r="G184" s="49">
        <f>VLOOKUP($A184,'Data shares'!$C:$FB,42)</f>
        <v>1256625</v>
      </c>
      <c r="H184" s="49">
        <f>VLOOKUP($A184,'Data shares'!$C:$FB,43)</f>
        <v>1562625</v>
      </c>
      <c r="I184" s="50">
        <f>VLOOKUP($A184,'Data shares'!$C:$FB,45)*100</f>
        <v>-19.580000000000002</v>
      </c>
      <c r="J184" s="49">
        <f>VLOOKUP($A184,'Data shares'!$C:$FB,58)</f>
        <v>3190125</v>
      </c>
      <c r="K184" s="49">
        <f>VLOOKUP($A184,'Data shares'!$C:$FB,59)</f>
        <v>4583250</v>
      </c>
      <c r="L184" s="50">
        <f>VLOOKUP($A184,'Data shares'!$C:$FB,61)*100</f>
        <v>-30.4</v>
      </c>
      <c r="M184" s="49">
        <f>VLOOKUP($A184,'Data shares'!$C:$FB,62)</f>
        <v>1605375</v>
      </c>
      <c r="N184" s="49">
        <f>VLOOKUP($A184,'Data shares'!$C:$FB,63)</f>
        <v>1579500</v>
      </c>
      <c r="O184" s="140">
        <f>VLOOKUP($A184,'Data shares'!$C:$FB,65)*100</f>
        <v>1.6400000000000001</v>
      </c>
    </row>
    <row r="185" spans="1:15" x14ac:dyDescent="0.25">
      <c r="A185" s="101" t="str">
        <f>'Data shares'!C180</f>
        <v>SBIN</v>
      </c>
      <c r="B185" s="50">
        <f>VLOOKUP($A185,'Data shares'!$C:$FB,7)</f>
        <v>886.95</v>
      </c>
      <c r="C185" s="50">
        <f>VLOOKUP($A185,'Data shares'!$C:$FB,10)*100</f>
        <v>0.1</v>
      </c>
      <c r="D185" s="49">
        <f>VLOOKUP($A185,'Data shares'!$C:$FB,66)</f>
        <v>127494750</v>
      </c>
      <c r="E185" s="49">
        <f>VLOOKUP($A185,'Data shares'!$C:$FB,67)</f>
        <v>118210500</v>
      </c>
      <c r="F185" s="50">
        <f>VLOOKUP($A185,'Data shares'!$C:$FB,69)*100</f>
        <v>7.85</v>
      </c>
      <c r="G185" s="49">
        <f>VLOOKUP($A185,'Data shares'!$C:$FB,42)</f>
        <v>16343250</v>
      </c>
      <c r="H185" s="49">
        <f>VLOOKUP($A185,'Data shares'!$C:$FB,43)</f>
        <v>11547750</v>
      </c>
      <c r="I185" s="50">
        <f>VLOOKUP($A185,'Data shares'!$C:$FB,45)*100</f>
        <v>41.53</v>
      </c>
      <c r="J185" s="49">
        <f>VLOOKUP($A185,'Data shares'!$C:$FB,58)</f>
        <v>67512000</v>
      </c>
      <c r="K185" s="49">
        <f>VLOOKUP($A185,'Data shares'!$C:$FB,59)</f>
        <v>65306250</v>
      </c>
      <c r="L185" s="50">
        <f>VLOOKUP($A185,'Data shares'!$C:$FB,61)*100</f>
        <v>3.38</v>
      </c>
      <c r="M185" s="49">
        <f>VLOOKUP($A185,'Data shares'!$C:$FB,62)</f>
        <v>43639500</v>
      </c>
      <c r="N185" s="49">
        <f>VLOOKUP($A185,'Data shares'!$C:$FB,63)</f>
        <v>41356500</v>
      </c>
      <c r="O185" s="140">
        <f>VLOOKUP($A185,'Data shares'!$C:$FB,65)*100</f>
        <v>5.52</v>
      </c>
    </row>
    <row r="186" spans="1:15" x14ac:dyDescent="0.25">
      <c r="A186" s="101" t="str">
        <f>'Data shares'!C181</f>
        <v>SHREECEM</v>
      </c>
      <c r="B186" s="50">
        <f>VLOOKUP($A186,'Data shares'!$C:$FB,7)</f>
        <v>30010</v>
      </c>
      <c r="C186" s="50">
        <f>VLOOKUP($A186,'Data shares'!$C:$FB,10)*100</f>
        <v>0.22999999999999998</v>
      </c>
      <c r="D186" s="49">
        <f>VLOOKUP($A186,'Data shares'!$C:$FB,66)</f>
        <v>96950</v>
      </c>
      <c r="E186" s="49">
        <f>VLOOKUP($A186,'Data shares'!$C:$FB,67)</f>
        <v>111350</v>
      </c>
      <c r="F186" s="50">
        <f>VLOOKUP($A186,'Data shares'!$C:$FB,69)*100</f>
        <v>-12.93</v>
      </c>
      <c r="G186" s="49">
        <f>VLOOKUP($A186,'Data shares'!$C:$FB,42)</f>
        <v>24575</v>
      </c>
      <c r="H186" s="49">
        <f>VLOOKUP($A186,'Data shares'!$C:$FB,43)</f>
        <v>29100</v>
      </c>
      <c r="I186" s="50">
        <f>VLOOKUP($A186,'Data shares'!$C:$FB,45)*100</f>
        <v>-15.55</v>
      </c>
      <c r="J186" s="49">
        <f>VLOOKUP($A186,'Data shares'!$C:$FB,58)</f>
        <v>31125</v>
      </c>
      <c r="K186" s="49">
        <f>VLOOKUP($A186,'Data shares'!$C:$FB,59)</f>
        <v>69650</v>
      </c>
      <c r="L186" s="50">
        <f>VLOOKUP($A186,'Data shares'!$C:$FB,61)*100</f>
        <v>-55.31</v>
      </c>
      <c r="M186" s="49">
        <f>VLOOKUP($A186,'Data shares'!$C:$FB,62)</f>
        <v>41250</v>
      </c>
      <c r="N186" s="49">
        <f>VLOOKUP($A186,'Data shares'!$C:$FB,63)</f>
        <v>12600</v>
      </c>
      <c r="O186" s="140">
        <f>VLOOKUP($A186,'Data shares'!$C:$FB,65)*100</f>
        <v>227.38</v>
      </c>
    </row>
    <row r="187" spans="1:15" x14ac:dyDescent="0.25">
      <c r="A187" s="101" t="str">
        <f>'Data shares'!C182</f>
        <v>SHRIRAMFIN</v>
      </c>
      <c r="B187" s="50">
        <f>VLOOKUP($A187,'Data shares'!$C:$FB,7)</f>
        <v>672.5</v>
      </c>
      <c r="C187" s="50">
        <f>VLOOKUP($A187,'Data shares'!$C:$FB,10)*100</f>
        <v>-0.69</v>
      </c>
      <c r="D187" s="49">
        <f>VLOOKUP($A187,'Data shares'!$C:$FB,66)</f>
        <v>35686200</v>
      </c>
      <c r="E187" s="49">
        <f>VLOOKUP($A187,'Data shares'!$C:$FB,67)</f>
        <v>40729425</v>
      </c>
      <c r="F187" s="50">
        <f>VLOOKUP($A187,'Data shares'!$C:$FB,69)*100</f>
        <v>-12.379999999999999</v>
      </c>
      <c r="G187" s="49">
        <f>VLOOKUP($A187,'Data shares'!$C:$FB,42)</f>
        <v>8479350</v>
      </c>
      <c r="H187" s="49">
        <f>VLOOKUP($A187,'Data shares'!$C:$FB,43)</f>
        <v>7953825</v>
      </c>
      <c r="I187" s="50">
        <f>VLOOKUP($A187,'Data shares'!$C:$FB,45)*100</f>
        <v>6.61</v>
      </c>
      <c r="J187" s="49">
        <f>VLOOKUP($A187,'Data shares'!$C:$FB,58)</f>
        <v>18800925</v>
      </c>
      <c r="K187" s="49">
        <f>VLOOKUP($A187,'Data shares'!$C:$FB,59)</f>
        <v>21388125</v>
      </c>
      <c r="L187" s="50">
        <f>VLOOKUP($A187,'Data shares'!$C:$FB,61)*100</f>
        <v>-12.1</v>
      </c>
      <c r="M187" s="49">
        <f>VLOOKUP($A187,'Data shares'!$C:$FB,62)</f>
        <v>8405925</v>
      </c>
      <c r="N187" s="49">
        <f>VLOOKUP($A187,'Data shares'!$C:$FB,63)</f>
        <v>11387475</v>
      </c>
      <c r="O187" s="140">
        <f>VLOOKUP($A187,'Data shares'!$C:$FB,65)*100</f>
        <v>-26.179999999999996</v>
      </c>
    </row>
    <row r="188" spans="1:15" x14ac:dyDescent="0.25">
      <c r="A188" s="101" t="str">
        <f>'Data shares'!C183</f>
        <v>SIEMENS</v>
      </c>
      <c r="B188" s="50">
        <f>VLOOKUP($A188,'Data shares'!$C:$FB,7)</f>
        <v>3119</v>
      </c>
      <c r="C188" s="50">
        <f>VLOOKUP($A188,'Data shares'!$C:$FB,10)*100</f>
        <v>0.01</v>
      </c>
      <c r="D188" s="49">
        <f>VLOOKUP($A188,'Data shares'!$C:$FB,66)</f>
        <v>3082750</v>
      </c>
      <c r="E188" s="49">
        <f>VLOOKUP($A188,'Data shares'!$C:$FB,67)</f>
        <v>2686375</v>
      </c>
      <c r="F188" s="50">
        <f>VLOOKUP($A188,'Data shares'!$C:$FB,69)*100</f>
        <v>14.760000000000002</v>
      </c>
      <c r="G188" s="49">
        <f>VLOOKUP($A188,'Data shares'!$C:$FB,42)</f>
        <v>739250</v>
      </c>
      <c r="H188" s="49">
        <f>VLOOKUP($A188,'Data shares'!$C:$FB,43)</f>
        <v>437125</v>
      </c>
      <c r="I188" s="50">
        <f>VLOOKUP($A188,'Data shares'!$C:$FB,45)*100</f>
        <v>69.12</v>
      </c>
      <c r="J188" s="49">
        <f>VLOOKUP($A188,'Data shares'!$C:$FB,58)</f>
        <v>1612750</v>
      </c>
      <c r="K188" s="49">
        <f>VLOOKUP($A188,'Data shares'!$C:$FB,59)</f>
        <v>1721125</v>
      </c>
      <c r="L188" s="50">
        <f>VLOOKUP($A188,'Data shares'!$C:$FB,61)*100</f>
        <v>-6.3</v>
      </c>
      <c r="M188" s="49">
        <f>VLOOKUP($A188,'Data shares'!$C:$FB,62)</f>
        <v>730750</v>
      </c>
      <c r="N188" s="49">
        <f>VLOOKUP($A188,'Data shares'!$C:$FB,63)</f>
        <v>528125</v>
      </c>
      <c r="O188" s="140">
        <f>VLOOKUP($A188,'Data shares'!$C:$FB,65)*100</f>
        <v>38.369999999999997</v>
      </c>
    </row>
    <row r="189" spans="1:15" x14ac:dyDescent="0.25">
      <c r="A189" s="101" t="str">
        <f>'Data shares'!C216</f>
        <v>ZYDUSLIFE</v>
      </c>
      <c r="B189" s="50">
        <f>VLOOKUP($A189,'Data shares'!$C:$FB,7)</f>
        <v>984.6</v>
      </c>
      <c r="C189" s="50">
        <f>VLOOKUP($A189,'Data shares'!$C:$FB,10)*100</f>
        <v>0.75</v>
      </c>
      <c r="D189" s="49">
        <f>VLOOKUP($A189,'Data shares'!$C:$FB,66)</f>
        <v>4965300</v>
      </c>
      <c r="E189" s="49">
        <f>VLOOKUP($A189,'Data shares'!$C:$FB,67)</f>
        <v>4188600</v>
      </c>
      <c r="F189" s="50">
        <f>VLOOKUP($A189,'Data shares'!$C:$FB,69)*100</f>
        <v>18.54</v>
      </c>
      <c r="G189" s="49">
        <f>VLOOKUP($A189,'Data shares'!$C:$FB,42)</f>
        <v>1314000</v>
      </c>
      <c r="H189" s="49">
        <f>VLOOKUP($A189,'Data shares'!$C:$FB,43)</f>
        <v>1785600</v>
      </c>
      <c r="I189" s="50">
        <f>VLOOKUP($A189,'Data shares'!$C:$FB,45)*100</f>
        <v>-26.41</v>
      </c>
      <c r="J189" s="49">
        <f>VLOOKUP($A189,'Data shares'!$C:$FB,58)</f>
        <v>2502900</v>
      </c>
      <c r="K189" s="49">
        <f>VLOOKUP($A189,'Data shares'!$C:$FB,59)</f>
        <v>1821600</v>
      </c>
      <c r="L189" s="50">
        <f>VLOOKUP($A189,'Data shares'!$C:$FB,61)*100</f>
        <v>37.4</v>
      </c>
      <c r="M189" s="49">
        <f>VLOOKUP($A189,'Data shares'!$C:$FB,62)</f>
        <v>1148400</v>
      </c>
      <c r="N189" s="49">
        <f>VLOOKUP($A189,'Data shares'!$C:$FB,63)</f>
        <v>581400</v>
      </c>
      <c r="O189" s="140">
        <f>VLOOKUP($A189,'Data shares'!$C:$FB,65)*100</f>
        <v>97.52</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14260870513</v>
      </c>
      <c r="E209" s="133">
        <f>SUM(E7:E172)</f>
        <v>13881634990</v>
      </c>
      <c r="F209" s="134">
        <f>(D209-E209)/E209</f>
        <v>2.7319225961004757E-2</v>
      </c>
      <c r="G209" s="133">
        <f>SUM(G7:G172)</f>
        <v>2071623612</v>
      </c>
      <c r="H209" s="133">
        <f>SUM(H7:H172)</f>
        <v>2218744592</v>
      </c>
      <c r="I209" s="134">
        <f>(G209-H209)/H209</f>
        <v>-6.6308208944132488E-2</v>
      </c>
      <c r="J209" s="133">
        <f>SUM(J7:J172)</f>
        <v>7519091047</v>
      </c>
      <c r="K209" s="133">
        <f>SUM(K7:K172)</f>
        <v>7575006121</v>
      </c>
      <c r="L209" s="134">
        <f>(J209-K209)/K209</f>
        <v>-7.3815219561325553E-3</v>
      </c>
      <c r="M209" s="133">
        <f>SUM(M7:M172)</f>
        <v>4670155854</v>
      </c>
      <c r="N209" s="133">
        <f>SUM(N7:N172)</f>
        <v>4087884277</v>
      </c>
      <c r="O209" s="134">
        <f>(M209-N209)/N209</f>
        <v>0.14243837093825834</v>
      </c>
    </row>
    <row r="210" spans="1:15" x14ac:dyDescent="0.25">
      <c r="A210" s="133" t="s">
        <v>398</v>
      </c>
      <c r="B210" s="133"/>
      <c r="C210" s="133"/>
      <c r="D210" s="133">
        <f>D209/10000000</f>
        <v>1426.0870513</v>
      </c>
      <c r="E210" s="133">
        <f>E209/10000000</f>
        <v>1388.163499</v>
      </c>
      <c r="F210" s="134">
        <f>(D210-E210)/E210</f>
        <v>2.7319225961004744E-2</v>
      </c>
      <c r="G210" s="133">
        <f>G209/10000000</f>
        <v>207.16236119999999</v>
      </c>
      <c r="H210" s="133">
        <f>H209/10000000</f>
        <v>221.87445919999999</v>
      </c>
      <c r="I210" s="134">
        <f>(G210-H210)/H210</f>
        <v>-6.6308208944132488E-2</v>
      </c>
      <c r="J210" s="133">
        <f>J209/10000000</f>
        <v>751.90910469999994</v>
      </c>
      <c r="K210" s="133">
        <f>K209/10000000</f>
        <v>757.50061210000001</v>
      </c>
      <c r="L210" s="134">
        <f>(J210-K210)/K210</f>
        <v>-7.3815219561326455E-3</v>
      </c>
      <c r="M210" s="133">
        <f>M209/10000000</f>
        <v>467.01558540000002</v>
      </c>
      <c r="N210" s="133">
        <f>N209/10000000</f>
        <v>408.7884277</v>
      </c>
      <c r="O210" s="134">
        <f>(M210-N210)/N210</f>
        <v>0.1424383709382584</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45946</v>
      </c>
      <c r="C6" s="76" t="s">
        <v>322</v>
      </c>
      <c r="D6" s="76" t="s">
        <v>328</v>
      </c>
      <c r="E6" s="3">
        <f>B6</f>
        <v>45946</v>
      </c>
      <c r="F6" s="76" t="s">
        <v>322</v>
      </c>
      <c r="G6" s="76" t="s">
        <v>328</v>
      </c>
      <c r="H6" s="3">
        <f>E6</f>
        <v>45946</v>
      </c>
      <c r="I6" s="76" t="s">
        <v>333</v>
      </c>
      <c r="J6" s="3">
        <f>E6</f>
        <v>45946</v>
      </c>
      <c r="K6" s="76" t="s">
        <v>333</v>
      </c>
      <c r="L6" s="3">
        <f>E6</f>
        <v>45946</v>
      </c>
      <c r="M6" s="76" t="s">
        <v>333</v>
      </c>
      <c r="N6" s="3">
        <f>E6</f>
        <v>45946</v>
      </c>
      <c r="O6" s="76" t="s">
        <v>333</v>
      </c>
    </row>
    <row r="7" spans="1:19" x14ac:dyDescent="0.25">
      <c r="A7" s="105" t="str">
        <f>'Data shares'!C2</f>
        <v>360ONE</v>
      </c>
      <c r="B7" s="143">
        <f>VLOOKUP($A7,'Data shares'!$C:$FA,118)</f>
        <v>0.57999999999999996</v>
      </c>
      <c r="C7" s="143">
        <f>VLOOKUP($A7,'Data shares'!$C:$FA,119)</f>
        <v>0.61</v>
      </c>
      <c r="D7" s="143">
        <f>VLOOKUP($A7,'Data shares'!$C:$FA,121)*100</f>
        <v>-4.92</v>
      </c>
      <c r="E7" s="143">
        <f>VLOOKUP($A7,'Data shares'!$C:$FA,124)</f>
        <v>0.41</v>
      </c>
      <c r="F7" s="143">
        <f>VLOOKUP($A7,'Data shares'!$C:$FA,125)</f>
        <v>0.28000000000000003</v>
      </c>
      <c r="G7" s="143">
        <f>VLOOKUP($A7,'Data shares'!$C:$FA,127)*100</f>
        <v>46.43</v>
      </c>
      <c r="H7" s="103">
        <f>VLOOKUP($A7,'OI(Volume)'!$A$7:$O$427,8)</f>
        <v>1885500</v>
      </c>
      <c r="I7" s="103">
        <f>VLOOKUP($A7,'OI(Volume)'!$A$7:$O$427,9)</f>
        <v>174500</v>
      </c>
      <c r="J7" s="103">
        <f>VLOOKUP($A7,'OI(Volume)'!$A$7:$O$427,11)</f>
        <v>1098000</v>
      </c>
      <c r="K7" s="103">
        <f>VLOOKUP($A7,'OI(Volume)'!$A$7:$O$427,12)</f>
        <v>60500</v>
      </c>
      <c r="L7" s="103">
        <f>VLOOKUP($A7,'OI(Value)'!$A$7:$O$306,8,0)</f>
        <v>221</v>
      </c>
      <c r="M7" s="103">
        <f>VLOOKUP($A7,'OI(Value)'!$A$7:$O$306,9,0)</f>
        <v>20</v>
      </c>
      <c r="N7" s="103">
        <f>VLOOKUP($A7,'OI(Value)'!$A$7:$O$306,11,0)</f>
        <v>129</v>
      </c>
      <c r="O7" s="103">
        <f>VLOOKUP($A7,'OI(Value)'!$A$7:$O$306,12,0)</f>
        <v>7</v>
      </c>
      <c r="P7" s="179">
        <f>VLOOKUP(A7,'OI(Value)'!A7:O182,8,0)</f>
        <v>221</v>
      </c>
      <c r="Q7" s="179">
        <f>VLOOKUP(A7,'OI(Value)'!A7:O182,9,0)</f>
        <v>20</v>
      </c>
      <c r="R7" s="179">
        <f>VLOOKUP(A7,'OI(Value)'!A7:O182,11,0)</f>
        <v>129</v>
      </c>
      <c r="S7" s="179">
        <f>VLOOKUP(A7,'OI(Value)'!A7:O182,12,0)</f>
        <v>7</v>
      </c>
    </row>
    <row r="8" spans="1:19" x14ac:dyDescent="0.25">
      <c r="A8" s="105" t="str">
        <f>'Data shares'!C3</f>
        <v>ABB</v>
      </c>
      <c r="B8" s="143">
        <f>VLOOKUP($A8,'Data shares'!$C:$FA,118)</f>
        <v>0.69</v>
      </c>
      <c r="C8" s="143">
        <f>VLOOKUP($A8,'Data shares'!$C:$FA,119)</f>
        <v>0.62</v>
      </c>
      <c r="D8" s="143">
        <f>VLOOKUP($A8,'Data shares'!$C:$FA,121)*100</f>
        <v>11.29</v>
      </c>
      <c r="E8" s="143">
        <f>VLOOKUP($A8,'Data shares'!$C:$FA,124)</f>
        <v>0.64</v>
      </c>
      <c r="F8" s="143">
        <f>VLOOKUP($A8,'Data shares'!$C:$FA,125)</f>
        <v>0.31</v>
      </c>
      <c r="G8" s="143">
        <f>VLOOKUP($A8,'Data shares'!$C:$FA,127)*100</f>
        <v>106.45</v>
      </c>
      <c r="H8" s="103">
        <f>VLOOKUP($A8,'OI(Volume)'!$A$7:$O$427,8)</f>
        <v>1320125</v>
      </c>
      <c r="I8" s="103">
        <f>VLOOKUP($A8,'OI(Volume)'!$A$7:$O$427,9)</f>
        <v>-18500</v>
      </c>
      <c r="J8" s="103">
        <f>VLOOKUP($A8,'OI(Volume)'!$A$7:$O$427,11)</f>
        <v>904875</v>
      </c>
      <c r="K8" s="103">
        <f>VLOOKUP($A8,'OI(Volume)'!$A$7:$O$427,12)</f>
        <v>80625</v>
      </c>
      <c r="L8" s="103">
        <f>VLOOKUP($A8,'OI(Value)'!$A$7:$O$306,8,0)</f>
        <v>688</v>
      </c>
      <c r="M8" s="103">
        <f>VLOOKUP($A8,'OI(Value)'!$A$7:$O$306,9,0)</f>
        <v>-10</v>
      </c>
      <c r="N8" s="103">
        <f>VLOOKUP($A8,'OI(Value)'!$A$7:$O$306,11,0)</f>
        <v>472</v>
      </c>
      <c r="O8" s="103">
        <f>VLOOKUP($A8,'OI(Value)'!$A$7:$O$306,12,0)</f>
        <v>42</v>
      </c>
      <c r="P8" s="179">
        <f>VLOOKUP(A8,'OI(Value)'!A8:O209,8,0)</f>
        <v>688</v>
      </c>
      <c r="Q8" s="179">
        <f>VLOOKUP(A8,'OI(Value)'!A8:O209,9,0)</f>
        <v>-10</v>
      </c>
      <c r="R8" s="179">
        <f>VLOOKUP(A8,'OI(Value)'!A8:O209,11,0)</f>
        <v>472</v>
      </c>
      <c r="S8" s="179">
        <f>VLOOKUP(A8,'OI(Value)'!A8:O209,11,0)</f>
        <v>472</v>
      </c>
    </row>
    <row r="9" spans="1:19" x14ac:dyDescent="0.25">
      <c r="A9" s="105" t="str">
        <f>'Data shares'!C4</f>
        <v>ABCAPITAL</v>
      </c>
      <c r="B9" s="143">
        <f>VLOOKUP($A9,'Data shares'!$C:$FA,118)</f>
        <v>0.56000000000000005</v>
      </c>
      <c r="C9" s="143">
        <f>VLOOKUP($A9,'Data shares'!$C:$FA,119)</f>
        <v>0.56999999999999995</v>
      </c>
      <c r="D9" s="143">
        <f>VLOOKUP($A9,'Data shares'!$C:$FA,121)*100</f>
        <v>-1.7500000000000002</v>
      </c>
      <c r="E9" s="143">
        <f>VLOOKUP($A9,'Data shares'!$C:$FA,124)</f>
        <v>0.45</v>
      </c>
      <c r="F9" s="143">
        <f>VLOOKUP($A9,'Data shares'!$C:$FA,125)</f>
        <v>0.53</v>
      </c>
      <c r="G9" s="143">
        <f>VLOOKUP($A9,'Data shares'!$C:$FA,127)*100</f>
        <v>-15.09</v>
      </c>
      <c r="H9" s="103">
        <f>VLOOKUP($A9,'OI(Volume)'!$A$7:$O$427,8)</f>
        <v>24542700</v>
      </c>
      <c r="I9" s="103">
        <f>VLOOKUP($A9,'OI(Volume)'!$A$7:$O$427,9)</f>
        <v>685100</v>
      </c>
      <c r="J9" s="103">
        <f>VLOOKUP($A9,'OI(Volume)'!$A$7:$O$427,11)</f>
        <v>13850800</v>
      </c>
      <c r="K9" s="103">
        <f>VLOOKUP($A9,'OI(Volume)'!$A$7:$O$427,12)</f>
        <v>313100</v>
      </c>
      <c r="L9" s="103">
        <f>VLOOKUP($A9,'OI(Value)'!$A$7:$O$306,8,0)</f>
        <v>739</v>
      </c>
      <c r="M9" s="103">
        <f>VLOOKUP($A9,'OI(Value)'!$A$7:$O$306,9,0)</f>
        <v>21</v>
      </c>
      <c r="N9" s="103">
        <f>VLOOKUP($A9,'OI(Value)'!$A$7:$O$306,11,0)</f>
        <v>417</v>
      </c>
      <c r="O9" s="103">
        <f>VLOOKUP($A9,'OI(Value)'!$A$7:$O$306,12,0)</f>
        <v>9</v>
      </c>
      <c r="P9" s="179">
        <f>VLOOKUP(A9,'OI(Value)'!A9:O210,8,0)</f>
        <v>739</v>
      </c>
      <c r="Q9" s="179">
        <f>VLOOKUP(A9,'OI(Value)'!A9:O210,9,0)</f>
        <v>21</v>
      </c>
      <c r="R9" s="179">
        <f>VLOOKUP(A9,'OI(Value)'!A9:O210,11,0)</f>
        <v>417</v>
      </c>
      <c r="S9" s="179">
        <f>VLOOKUP(A9,'OI(Value)'!A9:O210,11,0)</f>
        <v>417</v>
      </c>
    </row>
    <row r="10" spans="1:19" x14ac:dyDescent="0.25">
      <c r="A10" s="105" t="str">
        <f>'Data shares'!C5</f>
        <v>ADANIENSOL</v>
      </c>
      <c r="B10" s="143">
        <f>VLOOKUP($A10,'Data shares'!$C:$FA,118)</f>
        <v>0.64</v>
      </c>
      <c r="C10" s="143">
        <f>VLOOKUP($A10,'Data shares'!$C:$FA,119)</f>
        <v>0.63</v>
      </c>
      <c r="D10" s="143">
        <f>VLOOKUP($A10,'Data shares'!$C:$FA,121)*100</f>
        <v>1.59</v>
      </c>
      <c r="E10" s="143">
        <f>VLOOKUP($A10,'Data shares'!$C:$FA,124)</f>
        <v>0.38</v>
      </c>
      <c r="F10" s="143">
        <f>VLOOKUP($A10,'Data shares'!$C:$FA,125)</f>
        <v>0.31</v>
      </c>
      <c r="G10" s="143">
        <f>VLOOKUP($A10,'Data shares'!$C:$FA,127)*100</f>
        <v>22.58</v>
      </c>
      <c r="H10" s="103">
        <f>VLOOKUP($A10,'OI(Volume)'!$A$7:$O$427,8)</f>
        <v>3569400</v>
      </c>
      <c r="I10" s="103">
        <f>VLOOKUP($A10,'OI(Volume)'!$A$7:$O$427,9)</f>
        <v>-7425</v>
      </c>
      <c r="J10" s="103">
        <f>VLOOKUP($A10,'OI(Volume)'!$A$7:$O$427,11)</f>
        <v>2278125</v>
      </c>
      <c r="K10" s="103">
        <f>VLOOKUP($A10,'OI(Volume)'!$A$7:$O$427,12)</f>
        <v>33750</v>
      </c>
      <c r="L10" s="103">
        <f>VLOOKUP($A10,'OI(Value)'!$A$7:$O$306,8,0)</f>
        <v>339</v>
      </c>
      <c r="M10" s="103">
        <f>VLOOKUP($A10,'OI(Value)'!$A$7:$O$306,9,0)</f>
        <v>-1</v>
      </c>
      <c r="N10" s="103">
        <f>VLOOKUP($A10,'OI(Value)'!$A$7:$O$306,11,0)</f>
        <v>216</v>
      </c>
      <c r="O10" s="103">
        <f>VLOOKUP($A10,'OI(Value)'!$A$7:$O$306,12,0)</f>
        <v>3</v>
      </c>
      <c r="P10" s="179">
        <f>VLOOKUP(A10,'OI(Value)'!A10:O211,8,0)</f>
        <v>339</v>
      </c>
      <c r="Q10" s="179">
        <f>VLOOKUP(A10,'OI(Value)'!A10:O211,9,0)</f>
        <v>-1</v>
      </c>
      <c r="R10" s="179">
        <f>VLOOKUP(A10,'OI(Value)'!A10:O211,11,0)</f>
        <v>216</v>
      </c>
      <c r="S10" s="179">
        <f>VLOOKUP(A10,'OI(Value)'!A10:O211,11,0)</f>
        <v>216</v>
      </c>
    </row>
    <row r="11" spans="1:19" x14ac:dyDescent="0.25">
      <c r="A11" s="105" t="str">
        <f>'Data shares'!C6</f>
        <v>ADANIENT</v>
      </c>
      <c r="B11" s="143">
        <f>VLOOKUP($A11,'Data shares'!$C:$FA,118)</f>
        <v>0.55000000000000004</v>
      </c>
      <c r="C11" s="143">
        <f>VLOOKUP($A11,'Data shares'!$C:$FA,119)</f>
        <v>0.56000000000000005</v>
      </c>
      <c r="D11" s="143">
        <f>VLOOKUP($A11,'Data shares'!$C:$FA,121)*100</f>
        <v>-1.79</v>
      </c>
      <c r="E11" s="143">
        <f>VLOOKUP($A11,'Data shares'!$C:$FA,124)</f>
        <v>0.33</v>
      </c>
      <c r="F11" s="143">
        <f>VLOOKUP($A11,'Data shares'!$C:$FA,125)</f>
        <v>0.34</v>
      </c>
      <c r="G11" s="143">
        <f>VLOOKUP($A11,'Data shares'!$C:$FA,127)*100</f>
        <v>-2.94</v>
      </c>
      <c r="H11" s="103">
        <f>VLOOKUP($A11,'OI(Volume)'!$A$7:$O$427,8)</f>
        <v>8590800</v>
      </c>
      <c r="I11" s="103">
        <f>VLOOKUP($A11,'OI(Volume)'!$A$7:$O$427,9)</f>
        <v>6600</v>
      </c>
      <c r="J11" s="103">
        <f>VLOOKUP($A11,'OI(Volume)'!$A$7:$O$427,11)</f>
        <v>4750500</v>
      </c>
      <c r="K11" s="103">
        <f>VLOOKUP($A11,'OI(Volume)'!$A$7:$O$427,12)</f>
        <v>-24000</v>
      </c>
      <c r="L11" s="103">
        <f>VLOOKUP($A11,'OI(Value)'!$A$7:$O$306,8,0)</f>
        <v>2206</v>
      </c>
      <c r="M11" s="103">
        <f>VLOOKUP($A11,'OI(Value)'!$A$7:$O$306,9,0)</f>
        <v>2</v>
      </c>
      <c r="N11" s="103">
        <f>VLOOKUP($A11,'OI(Value)'!$A$7:$O$306,11,0)</f>
        <v>1220</v>
      </c>
      <c r="O11" s="103">
        <f>VLOOKUP($A11,'OI(Value)'!$A$7:$O$306,12,0)</f>
        <v>-6</v>
      </c>
      <c r="P11" s="179">
        <f>VLOOKUP(A11,'OI(Value)'!A11:O212,8,0)</f>
        <v>2206</v>
      </c>
      <c r="Q11" s="179">
        <f>VLOOKUP(A11,'OI(Value)'!A11:O212,9,0)</f>
        <v>2</v>
      </c>
      <c r="R11" s="179">
        <f>VLOOKUP(A11,'OI(Value)'!A11:O212,11,0)</f>
        <v>1220</v>
      </c>
      <c r="S11" s="179">
        <f>VLOOKUP(A11,'OI(Value)'!A11:O212,11,0)</f>
        <v>1220</v>
      </c>
    </row>
    <row r="12" spans="1:19" x14ac:dyDescent="0.25">
      <c r="A12" s="105" t="str">
        <f>'Data shares'!C7</f>
        <v>ADANIGREEN</v>
      </c>
      <c r="B12" s="143">
        <f>VLOOKUP($A12,'Data shares'!$C:$FA,118)</f>
        <v>0.5</v>
      </c>
      <c r="C12" s="143">
        <f>VLOOKUP($A12,'Data shares'!$C:$FA,119)</f>
        <v>0.47</v>
      </c>
      <c r="D12" s="143">
        <f>VLOOKUP($A12,'Data shares'!$C:$FA,121)*100</f>
        <v>6.38</v>
      </c>
      <c r="E12" s="143">
        <f>VLOOKUP($A12,'Data shares'!$C:$FA,124)</f>
        <v>0.28000000000000003</v>
      </c>
      <c r="F12" s="143">
        <f>VLOOKUP($A12,'Data shares'!$C:$FA,125)</f>
        <v>0.32</v>
      </c>
      <c r="G12" s="143">
        <f>VLOOKUP($A12,'Data shares'!$C:$FA,127)*100</f>
        <v>-12.5</v>
      </c>
      <c r="H12" s="103">
        <f>VLOOKUP($A12,'OI(Volume)'!$A$7:$O$427,8)</f>
        <v>11103600</v>
      </c>
      <c r="I12" s="103">
        <f>VLOOKUP($A12,'OI(Volume)'!$A$7:$O$427,9)</f>
        <v>-144600</v>
      </c>
      <c r="J12" s="103">
        <f>VLOOKUP($A12,'OI(Volume)'!$A$7:$O$427,11)</f>
        <v>5505000</v>
      </c>
      <c r="K12" s="103">
        <f>VLOOKUP($A12,'OI(Volume)'!$A$7:$O$427,12)</f>
        <v>238200</v>
      </c>
      <c r="L12" s="103">
        <f>VLOOKUP($A12,'OI(Value)'!$A$7:$O$306,8,0)</f>
        <v>1182</v>
      </c>
      <c r="M12" s="103">
        <f>VLOOKUP($A12,'OI(Value)'!$A$7:$O$306,9,0)</f>
        <v>-15</v>
      </c>
      <c r="N12" s="103">
        <f>VLOOKUP($A12,'OI(Value)'!$A$7:$O$306,11,0)</f>
        <v>586</v>
      </c>
      <c r="O12" s="103">
        <f>VLOOKUP($A12,'OI(Value)'!$A$7:$O$306,12,0)</f>
        <v>25</v>
      </c>
      <c r="P12" s="179">
        <f>VLOOKUP(A12,'OI(Value)'!A12:O213,8,0)</f>
        <v>1182</v>
      </c>
      <c r="Q12" s="179">
        <f>VLOOKUP(A12,'OI(Value)'!A12:O213,9,0)</f>
        <v>-15</v>
      </c>
      <c r="R12" s="179">
        <f>VLOOKUP(A12,'OI(Value)'!A12:O213,11,0)</f>
        <v>586</v>
      </c>
      <c r="S12" s="179">
        <f>VLOOKUP(A12,'OI(Value)'!A12:O213,11,0)</f>
        <v>586</v>
      </c>
    </row>
    <row r="13" spans="1:19" x14ac:dyDescent="0.25">
      <c r="A13" s="105" t="str">
        <f>'Data shares'!C8</f>
        <v>ADANIPORTS</v>
      </c>
      <c r="B13" s="143">
        <f>VLOOKUP($A13,'Data shares'!$C:$FA,118)</f>
        <v>0.73</v>
      </c>
      <c r="C13" s="143">
        <f>VLOOKUP($A13,'Data shares'!$C:$FA,119)</f>
        <v>0.68</v>
      </c>
      <c r="D13" s="143">
        <f>VLOOKUP($A13,'Data shares'!$C:$FA,121)*100</f>
        <v>7.35</v>
      </c>
      <c r="E13" s="143">
        <f>VLOOKUP($A13,'Data shares'!$C:$FA,124)</f>
        <v>0.39</v>
      </c>
      <c r="F13" s="143">
        <f>VLOOKUP($A13,'Data shares'!$C:$FA,125)</f>
        <v>0.4</v>
      </c>
      <c r="G13" s="143">
        <f>VLOOKUP($A13,'Data shares'!$C:$FA,127)*100</f>
        <v>-2.5</v>
      </c>
      <c r="H13" s="103">
        <f>VLOOKUP($A13,'OI(Volume)'!$A$7:$O$427,8)</f>
        <v>7066575</v>
      </c>
      <c r="I13" s="103">
        <f>VLOOKUP($A13,'OI(Volume)'!$A$7:$O$427,9)</f>
        <v>-232750</v>
      </c>
      <c r="J13" s="103">
        <f>VLOOKUP($A13,'OI(Volume)'!$A$7:$O$427,11)</f>
        <v>5174175</v>
      </c>
      <c r="K13" s="103">
        <f>VLOOKUP($A13,'OI(Volume)'!$A$7:$O$427,12)</f>
        <v>193800</v>
      </c>
      <c r="L13" s="103">
        <f>VLOOKUP($A13,'OI(Value)'!$A$7:$O$306,8,0)</f>
        <v>1047</v>
      </c>
      <c r="M13" s="103">
        <f>VLOOKUP($A13,'OI(Value)'!$A$7:$O$306,9,0)</f>
        <v>-34</v>
      </c>
      <c r="N13" s="103">
        <f>VLOOKUP($A13,'OI(Value)'!$A$7:$O$306,11,0)</f>
        <v>767</v>
      </c>
      <c r="O13" s="103">
        <f>VLOOKUP($A13,'OI(Value)'!$A$7:$O$306,12,0)</f>
        <v>29</v>
      </c>
      <c r="P13" s="179">
        <f>VLOOKUP(A13,'OI(Value)'!A13:O214,8,0)</f>
        <v>1047</v>
      </c>
      <c r="Q13" s="179">
        <f>VLOOKUP(A13,'OI(Value)'!A13:O214,9,0)</f>
        <v>-34</v>
      </c>
      <c r="R13" s="179">
        <f>VLOOKUP(A13,'OI(Value)'!A13:O214,11,0)</f>
        <v>767</v>
      </c>
      <c r="S13" s="179">
        <f>VLOOKUP(A13,'OI(Value)'!A13:O214,11,0)</f>
        <v>767</v>
      </c>
    </row>
    <row r="14" spans="1:19" x14ac:dyDescent="0.25">
      <c r="A14" s="105" t="str">
        <f>'Data shares'!C9</f>
        <v>ALKEM</v>
      </c>
      <c r="B14" s="143">
        <f>VLOOKUP($A14,'Data shares'!$C:$FA,118)</f>
        <v>0.64</v>
      </c>
      <c r="C14" s="143">
        <f>VLOOKUP($A14,'Data shares'!$C:$FA,119)</f>
        <v>0.64</v>
      </c>
      <c r="D14" s="143">
        <f>VLOOKUP($A14,'Data shares'!$C:$FA,121)*100</f>
        <v>0</v>
      </c>
      <c r="E14" s="143">
        <f>VLOOKUP($A14,'Data shares'!$C:$FA,124)</f>
        <v>0.53</v>
      </c>
      <c r="F14" s="143">
        <f>VLOOKUP($A14,'Data shares'!$C:$FA,125)</f>
        <v>0.27</v>
      </c>
      <c r="G14" s="143">
        <f>VLOOKUP($A14,'Data shares'!$C:$FA,127)*100</f>
        <v>96.3</v>
      </c>
      <c r="H14" s="103">
        <f>VLOOKUP($A14,'OI(Volume)'!$A$7:$O$427,8)</f>
        <v>266000</v>
      </c>
      <c r="I14" s="103">
        <f>VLOOKUP($A14,'OI(Volume)'!$A$7:$O$427,9)</f>
        <v>3875</v>
      </c>
      <c r="J14" s="103">
        <f>VLOOKUP($A14,'OI(Volume)'!$A$7:$O$427,11)</f>
        <v>170500</v>
      </c>
      <c r="K14" s="103">
        <f>VLOOKUP($A14,'OI(Volume)'!$A$7:$O$427,12)</f>
        <v>3625</v>
      </c>
      <c r="L14" s="103">
        <f>VLOOKUP($A14,'OI(Value)'!$A$7:$O$306,8,0)</f>
        <v>147</v>
      </c>
      <c r="M14" s="103">
        <f>VLOOKUP($A14,'OI(Value)'!$A$7:$O$306,9,0)</f>
        <v>2</v>
      </c>
      <c r="N14" s="103">
        <f>VLOOKUP($A14,'OI(Value)'!$A$7:$O$306,11,0)</f>
        <v>95</v>
      </c>
      <c r="O14" s="103">
        <f>VLOOKUP($A14,'OI(Value)'!$A$7:$O$306,12,0)</f>
        <v>2</v>
      </c>
      <c r="P14" s="179">
        <f>VLOOKUP(A14,'OI(Value)'!A14:O215,8,0)</f>
        <v>147</v>
      </c>
      <c r="Q14" s="179">
        <f>VLOOKUP(A14,'OI(Value)'!A14:O215,9,0)</f>
        <v>2</v>
      </c>
      <c r="R14" s="179">
        <f>VLOOKUP(A14,'OI(Value)'!A14:O215,11,0)</f>
        <v>95</v>
      </c>
      <c r="S14" s="179">
        <f>VLOOKUP(A14,'OI(Value)'!A14:O215,11,0)</f>
        <v>95</v>
      </c>
    </row>
    <row r="15" spans="1:19" x14ac:dyDescent="0.25">
      <c r="A15" s="105" t="str">
        <f>'Data shares'!C10</f>
        <v>AMBER</v>
      </c>
      <c r="B15" s="143">
        <f>VLOOKUP($A15,'Data shares'!$C:$FA,118)</f>
        <v>0.51</v>
      </c>
      <c r="C15" s="143">
        <f>VLOOKUP($A15,'Data shares'!$C:$FA,119)</f>
        <v>0.51</v>
      </c>
      <c r="D15" s="143">
        <f>VLOOKUP($A15,'Data shares'!$C:$FA,121)*100</f>
        <v>0</v>
      </c>
      <c r="E15" s="143">
        <f>VLOOKUP($A15,'Data shares'!$C:$FA,124)</f>
        <v>0.27</v>
      </c>
      <c r="F15" s="143">
        <f>VLOOKUP($A15,'Data shares'!$C:$FA,125)</f>
        <v>0.31</v>
      </c>
      <c r="G15" s="143">
        <f>VLOOKUP($A15,'Data shares'!$C:$FA,127)*100</f>
        <v>-12.9</v>
      </c>
      <c r="H15" s="103">
        <f>VLOOKUP($A15,'OI(Volume)'!$A$7:$O$427,8)</f>
        <v>691900</v>
      </c>
      <c r="I15" s="103">
        <f>VLOOKUP($A15,'OI(Volume)'!$A$7:$O$427,9)</f>
        <v>24200</v>
      </c>
      <c r="J15" s="103">
        <f>VLOOKUP($A15,'OI(Volume)'!$A$7:$O$427,11)</f>
        <v>355100</v>
      </c>
      <c r="K15" s="103">
        <f>VLOOKUP($A15,'OI(Volume)'!$A$7:$O$427,12)</f>
        <v>16800</v>
      </c>
      <c r="L15" s="103">
        <f>VLOOKUP($A15,'OI(Value)'!$A$7:$O$306,8,0)</f>
        <v>562</v>
      </c>
      <c r="M15" s="103">
        <f>VLOOKUP($A15,'OI(Value)'!$A$7:$O$306,9,0)</f>
        <v>20</v>
      </c>
      <c r="N15" s="103">
        <f>VLOOKUP($A15,'OI(Value)'!$A$7:$O$306,11,0)</f>
        <v>289</v>
      </c>
      <c r="O15" s="103">
        <f>VLOOKUP($A15,'OI(Value)'!$A$7:$O$306,12,0)</f>
        <v>14</v>
      </c>
      <c r="P15" s="179">
        <f>VLOOKUP(A15,'OI(Value)'!A15:O216,8,0)</f>
        <v>562</v>
      </c>
      <c r="Q15" s="179">
        <f>VLOOKUP(A15,'OI(Value)'!A15:O216,9,0)</f>
        <v>20</v>
      </c>
      <c r="R15" s="179">
        <f>VLOOKUP(A15,'OI(Value)'!A15:O216,11,0)</f>
        <v>289</v>
      </c>
      <c r="S15" s="179">
        <f>VLOOKUP(A15,'OI(Value)'!A15:O216,11,0)</f>
        <v>289</v>
      </c>
    </row>
    <row r="16" spans="1:19" x14ac:dyDescent="0.25">
      <c r="A16" s="105" t="str">
        <f>'Data shares'!C11</f>
        <v>AMBUJACEM</v>
      </c>
      <c r="B16" s="143">
        <f>VLOOKUP($A16,'Data shares'!$C:$FA,118)</f>
        <v>0.62</v>
      </c>
      <c r="C16" s="143">
        <f>VLOOKUP($A16,'Data shares'!$C:$FA,119)</f>
        <v>0.63</v>
      </c>
      <c r="D16" s="143">
        <f>VLOOKUP($A16,'Data shares'!$C:$FA,121)*100</f>
        <v>-1.59</v>
      </c>
      <c r="E16" s="143">
        <f>VLOOKUP($A16,'Data shares'!$C:$FA,124)</f>
        <v>0.48</v>
      </c>
      <c r="F16" s="143">
        <f>VLOOKUP($A16,'Data shares'!$C:$FA,125)</f>
        <v>0.39</v>
      </c>
      <c r="G16" s="143">
        <f>VLOOKUP($A16,'Data shares'!$C:$FA,127)*100</f>
        <v>23.080000000000002</v>
      </c>
      <c r="H16" s="103">
        <f>VLOOKUP($A16,'OI(Volume)'!$A$7:$O$427,8)</f>
        <v>12698700</v>
      </c>
      <c r="I16" s="103">
        <f>VLOOKUP($A16,'OI(Volume)'!$A$7:$O$427,9)</f>
        <v>4200</v>
      </c>
      <c r="J16" s="103">
        <f>VLOOKUP($A16,'OI(Volume)'!$A$7:$O$427,11)</f>
        <v>7888650</v>
      </c>
      <c r="K16" s="103">
        <f>VLOOKUP($A16,'OI(Volume)'!$A$7:$O$427,12)</f>
        <v>-91350</v>
      </c>
      <c r="L16" s="103">
        <f>VLOOKUP($A16,'OI(Value)'!$A$7:$O$306,8,0)</f>
        <v>726</v>
      </c>
      <c r="M16" s="103">
        <f>VLOOKUP($A16,'OI(Value)'!$A$7:$O$306,9,0)</f>
        <v>0</v>
      </c>
      <c r="N16" s="103">
        <f>VLOOKUP($A16,'OI(Value)'!$A$7:$O$306,11,0)</f>
        <v>451</v>
      </c>
      <c r="O16" s="103">
        <f>VLOOKUP($A16,'OI(Value)'!$A$7:$O$306,12,0)</f>
        <v>-5</v>
      </c>
      <c r="P16" s="179">
        <f>VLOOKUP(A16,'OI(Value)'!A16:O217,8,0)</f>
        <v>726</v>
      </c>
      <c r="Q16" s="179">
        <f>VLOOKUP(A16,'OI(Value)'!A16:O217,9,0)</f>
        <v>0</v>
      </c>
      <c r="R16" s="179">
        <f>VLOOKUP(A16,'OI(Value)'!A16:O217,11,0)</f>
        <v>451</v>
      </c>
      <c r="S16" s="179">
        <f>VLOOKUP(A16,'OI(Value)'!A16:O217,11,0)</f>
        <v>451</v>
      </c>
    </row>
    <row r="17" spans="1:19" x14ac:dyDescent="0.25">
      <c r="A17" s="105" t="str">
        <f>'Data shares'!C12</f>
        <v>ANGELONE</v>
      </c>
      <c r="B17" s="143">
        <f>VLOOKUP($A17,'Data shares'!$C:$FA,118)</f>
        <v>0.82</v>
      </c>
      <c r="C17" s="143">
        <f>VLOOKUP($A17,'Data shares'!$C:$FA,119)</f>
        <v>0.84</v>
      </c>
      <c r="D17" s="143">
        <f>VLOOKUP($A17,'Data shares'!$C:$FA,121)*100</f>
        <v>-2.3800000000000003</v>
      </c>
      <c r="E17" s="143">
        <f>VLOOKUP($A17,'Data shares'!$C:$FA,124)</f>
        <v>0.66</v>
      </c>
      <c r="F17" s="143">
        <f>VLOOKUP($A17,'Data shares'!$C:$FA,125)</f>
        <v>0.44</v>
      </c>
      <c r="G17" s="143">
        <f>VLOOKUP($A17,'Data shares'!$C:$FA,127)*100</f>
        <v>50</v>
      </c>
      <c r="H17" s="103">
        <f>VLOOKUP($A17,'OI(Volume)'!$A$7:$O$427,8)</f>
        <v>2676500</v>
      </c>
      <c r="I17" s="103">
        <f>VLOOKUP($A17,'OI(Volume)'!$A$7:$O$427,9)</f>
        <v>-144750</v>
      </c>
      <c r="J17" s="103">
        <f>VLOOKUP($A17,'OI(Volume)'!$A$7:$O$427,11)</f>
        <v>2200750</v>
      </c>
      <c r="K17" s="103">
        <f>VLOOKUP($A17,'OI(Volume)'!$A$7:$O$427,12)</f>
        <v>-161250</v>
      </c>
      <c r="L17" s="103">
        <f>VLOOKUP($A17,'OI(Value)'!$A$7:$O$306,8,0)</f>
        <v>664</v>
      </c>
      <c r="M17" s="103">
        <f>VLOOKUP($A17,'OI(Value)'!$A$7:$O$306,9,0)</f>
        <v>-36</v>
      </c>
      <c r="N17" s="103">
        <f>VLOOKUP($A17,'OI(Value)'!$A$7:$O$306,11,0)</f>
        <v>546</v>
      </c>
      <c r="O17" s="103">
        <f>VLOOKUP($A17,'OI(Value)'!$A$7:$O$306,12,0)</f>
        <v>-40</v>
      </c>
      <c r="P17" s="179">
        <f>VLOOKUP(A17,'OI(Value)'!A17:O218,8,0)</f>
        <v>664</v>
      </c>
      <c r="Q17" s="179">
        <f>VLOOKUP(A17,'OI(Value)'!A17:O218,9,0)</f>
        <v>-36</v>
      </c>
      <c r="R17" s="179">
        <f>VLOOKUP(A17,'OI(Value)'!A17:O218,11,0)</f>
        <v>546</v>
      </c>
      <c r="S17" s="179">
        <f>VLOOKUP(A17,'OI(Value)'!A17:O218,11,0)</f>
        <v>546</v>
      </c>
    </row>
    <row r="18" spans="1:19" x14ac:dyDescent="0.25">
      <c r="A18" s="105" t="str">
        <f>'Data shares'!C13</f>
        <v>APLAPOLLO</v>
      </c>
      <c r="B18" s="143">
        <f>VLOOKUP($A18,'Data shares'!$C:$FA,118)</f>
        <v>0.5</v>
      </c>
      <c r="C18" s="143">
        <f>VLOOKUP($A18,'Data shares'!$C:$FA,119)</f>
        <v>0.52</v>
      </c>
      <c r="D18" s="143">
        <f>VLOOKUP($A18,'Data shares'!$C:$FA,121)*100</f>
        <v>-3.85</v>
      </c>
      <c r="E18" s="143">
        <f>VLOOKUP($A18,'Data shares'!$C:$FA,124)</f>
        <v>0.33</v>
      </c>
      <c r="F18" s="143">
        <f>VLOOKUP($A18,'Data shares'!$C:$FA,125)</f>
        <v>0.41</v>
      </c>
      <c r="G18" s="143">
        <f>VLOOKUP($A18,'Data shares'!$C:$FA,127)*100</f>
        <v>-19.509999999999998</v>
      </c>
      <c r="H18" s="103">
        <f>VLOOKUP($A18,'OI(Volume)'!$A$7:$O$427,8)</f>
        <v>1187900</v>
      </c>
      <c r="I18" s="103">
        <f>VLOOKUP($A18,'OI(Volume)'!$A$7:$O$427,9)</f>
        <v>19600</v>
      </c>
      <c r="J18" s="103">
        <f>VLOOKUP($A18,'OI(Volume)'!$A$7:$O$427,11)</f>
        <v>599200</v>
      </c>
      <c r="K18" s="103">
        <f>VLOOKUP($A18,'OI(Volume)'!$A$7:$O$427,12)</f>
        <v>-11550</v>
      </c>
      <c r="L18" s="103">
        <f>VLOOKUP($A18,'OI(Value)'!$A$7:$O$306,8,0)</f>
        <v>206</v>
      </c>
      <c r="M18" s="103">
        <f>VLOOKUP($A18,'OI(Value)'!$A$7:$O$306,9,0)</f>
        <v>3</v>
      </c>
      <c r="N18" s="103">
        <f>VLOOKUP($A18,'OI(Value)'!$A$7:$O$306,11,0)</f>
        <v>104</v>
      </c>
      <c r="O18" s="103">
        <f>VLOOKUP($A18,'OI(Value)'!$A$7:$O$306,12,0)</f>
        <v>-2</v>
      </c>
      <c r="P18" s="179">
        <f>VLOOKUP(A18,'OI(Value)'!A18:O219,8,0)</f>
        <v>206</v>
      </c>
      <c r="Q18" s="179">
        <f>VLOOKUP(A18,'OI(Value)'!A18:O219,9,0)</f>
        <v>3</v>
      </c>
      <c r="R18" s="179">
        <f>VLOOKUP(A18,'OI(Value)'!A18:O219,11,0)</f>
        <v>104</v>
      </c>
      <c r="S18" s="179">
        <f>VLOOKUP(A18,'OI(Value)'!A18:O219,11,0)</f>
        <v>104</v>
      </c>
    </row>
    <row r="19" spans="1:19" x14ac:dyDescent="0.25">
      <c r="A19" s="105" t="str">
        <f>'Data shares'!C14</f>
        <v>APOLLOHOSP</v>
      </c>
      <c r="B19" s="143">
        <f>VLOOKUP($A19,'Data shares'!$C:$FA,118)</f>
        <v>0.87</v>
      </c>
      <c r="C19" s="143">
        <f>VLOOKUP($A19,'Data shares'!$C:$FA,119)</f>
        <v>0.81</v>
      </c>
      <c r="D19" s="143">
        <f>VLOOKUP($A19,'Data shares'!$C:$FA,121)*100</f>
        <v>7.41</v>
      </c>
      <c r="E19" s="143">
        <f>VLOOKUP($A19,'Data shares'!$C:$FA,124)</f>
        <v>0.61</v>
      </c>
      <c r="F19" s="143">
        <f>VLOOKUP($A19,'Data shares'!$C:$FA,125)</f>
        <v>0.63</v>
      </c>
      <c r="G19" s="143">
        <f>VLOOKUP($A19,'Data shares'!$C:$FA,127)*100</f>
        <v>-3.17</v>
      </c>
      <c r="H19" s="103">
        <f>VLOOKUP($A19,'OI(Volume)'!$A$7:$O$427,8)</f>
        <v>603000</v>
      </c>
      <c r="I19" s="103">
        <f>VLOOKUP($A19,'OI(Volume)'!$A$7:$O$427,9)</f>
        <v>-39750</v>
      </c>
      <c r="J19" s="103">
        <f>VLOOKUP($A19,'OI(Volume)'!$A$7:$O$427,11)</f>
        <v>524875</v>
      </c>
      <c r="K19" s="103">
        <f>VLOOKUP($A19,'OI(Volume)'!$A$7:$O$427,12)</f>
        <v>4625</v>
      </c>
      <c r="L19" s="103">
        <f>VLOOKUP($A19,'OI(Value)'!$A$7:$O$306,8,0)</f>
        <v>474</v>
      </c>
      <c r="M19" s="103">
        <f>VLOOKUP($A19,'OI(Value)'!$A$7:$O$306,9,0)</f>
        <v>-31</v>
      </c>
      <c r="N19" s="103">
        <f>VLOOKUP($A19,'OI(Value)'!$A$7:$O$306,11,0)</f>
        <v>413</v>
      </c>
      <c r="O19" s="103">
        <f>VLOOKUP($A19,'OI(Value)'!$A$7:$O$306,12,0)</f>
        <v>4</v>
      </c>
      <c r="P19" s="179">
        <f>VLOOKUP(A19,'OI(Value)'!A19:O220,8,0)</f>
        <v>474</v>
      </c>
      <c r="Q19" s="179">
        <f>VLOOKUP(A19,'OI(Value)'!A19:O220,9,0)</f>
        <v>-31</v>
      </c>
      <c r="R19" s="179">
        <f>VLOOKUP(A19,'OI(Value)'!A19:O220,11,0)</f>
        <v>413</v>
      </c>
      <c r="S19" s="179">
        <f>VLOOKUP(A19,'OI(Value)'!A19:O220,11,0)</f>
        <v>413</v>
      </c>
    </row>
    <row r="20" spans="1:19" x14ac:dyDescent="0.25">
      <c r="A20" s="105" t="str">
        <f>'Data shares'!C15</f>
        <v>ASHOKLEY</v>
      </c>
      <c r="B20" s="143">
        <f>VLOOKUP($A20,'Data shares'!$C:$FA,118)</f>
        <v>0.42</v>
      </c>
      <c r="C20" s="143">
        <f>VLOOKUP($A20,'Data shares'!$C:$FA,119)</f>
        <v>0.41</v>
      </c>
      <c r="D20" s="143">
        <f>VLOOKUP($A20,'Data shares'!$C:$FA,121)*100</f>
        <v>2.44</v>
      </c>
      <c r="E20" s="143">
        <f>VLOOKUP($A20,'Data shares'!$C:$FA,124)</f>
        <v>0.4</v>
      </c>
      <c r="F20" s="143">
        <f>VLOOKUP($A20,'Data shares'!$C:$FA,125)</f>
        <v>0.33</v>
      </c>
      <c r="G20" s="143">
        <f>VLOOKUP($A20,'Data shares'!$C:$FA,127)*100</f>
        <v>21.21</v>
      </c>
      <c r="H20" s="103">
        <f>VLOOKUP($A20,'OI(Volume)'!$A$7:$O$427,8)</f>
        <v>88350000</v>
      </c>
      <c r="I20" s="103">
        <f>VLOOKUP($A20,'OI(Volume)'!$A$7:$O$427,9)</f>
        <v>-515000</v>
      </c>
      <c r="J20" s="103">
        <f>VLOOKUP($A20,'OI(Volume)'!$A$7:$O$427,11)</f>
        <v>36940000</v>
      </c>
      <c r="K20" s="103">
        <f>VLOOKUP($A20,'OI(Volume)'!$A$7:$O$427,12)</f>
        <v>250000</v>
      </c>
      <c r="L20" s="103">
        <f>VLOOKUP($A20,'OI(Value)'!$A$7:$O$306,8,0)</f>
        <v>1211</v>
      </c>
      <c r="M20" s="103">
        <f>VLOOKUP($A20,'OI(Value)'!$A$7:$O$306,9,0)</f>
        <v>-7</v>
      </c>
      <c r="N20" s="103">
        <f>VLOOKUP($A20,'OI(Value)'!$A$7:$O$306,11,0)</f>
        <v>506</v>
      </c>
      <c r="O20" s="103">
        <f>VLOOKUP($A20,'OI(Value)'!$A$7:$O$306,12,0)</f>
        <v>3</v>
      </c>
      <c r="P20" s="179">
        <f>VLOOKUP(A20,'OI(Value)'!A20:O221,8,0)</f>
        <v>1211</v>
      </c>
      <c r="Q20" s="179">
        <f>VLOOKUP(A20,'OI(Value)'!A20:O221,9,0)</f>
        <v>-7</v>
      </c>
      <c r="R20" s="179">
        <f>VLOOKUP(A20,'OI(Value)'!A20:O221,11,0)</f>
        <v>506</v>
      </c>
      <c r="S20" s="179">
        <f>VLOOKUP(A20,'OI(Value)'!A20:O221,11,0)</f>
        <v>506</v>
      </c>
    </row>
    <row r="21" spans="1:19" x14ac:dyDescent="0.25">
      <c r="A21" s="105" t="str">
        <f>'Data shares'!C16</f>
        <v>ASIANPAINT</v>
      </c>
      <c r="B21" s="143">
        <f>VLOOKUP($A21,'Data shares'!$C:$FA,118)</f>
        <v>0.63</v>
      </c>
      <c r="C21" s="143">
        <f>VLOOKUP($A21,'Data shares'!$C:$FA,119)</f>
        <v>0.64</v>
      </c>
      <c r="D21" s="143">
        <f>VLOOKUP($A21,'Data shares'!$C:$FA,121)*100</f>
        <v>-1.5599999999999998</v>
      </c>
      <c r="E21" s="143">
        <f>VLOOKUP($A21,'Data shares'!$C:$FA,124)</f>
        <v>0.48</v>
      </c>
      <c r="F21" s="143">
        <f>VLOOKUP($A21,'Data shares'!$C:$FA,125)</f>
        <v>0.43</v>
      </c>
      <c r="G21" s="143">
        <f>VLOOKUP($A21,'Data shares'!$C:$FA,127)*100</f>
        <v>11.63</v>
      </c>
      <c r="H21" s="103">
        <f>VLOOKUP($A21,'OI(Volume)'!$A$7:$O$427,8)</f>
        <v>5833000</v>
      </c>
      <c r="I21" s="103">
        <f>VLOOKUP($A21,'OI(Volume)'!$A$7:$O$427,9)</f>
        <v>41750</v>
      </c>
      <c r="J21" s="103">
        <f>VLOOKUP($A21,'OI(Volume)'!$A$7:$O$427,11)</f>
        <v>3665250</v>
      </c>
      <c r="K21" s="103">
        <f>VLOOKUP($A21,'OI(Volume)'!$A$7:$O$427,12)</f>
        <v>-69000</v>
      </c>
      <c r="L21" s="103">
        <f>VLOOKUP($A21,'OI(Value)'!$A$7:$O$306,8,0)</f>
        <v>1410</v>
      </c>
      <c r="M21" s="103">
        <f>VLOOKUP($A21,'OI(Value)'!$A$7:$O$306,9,0)</f>
        <v>10</v>
      </c>
      <c r="N21" s="103">
        <f>VLOOKUP($A21,'OI(Value)'!$A$7:$O$306,11,0)</f>
        <v>886</v>
      </c>
      <c r="O21" s="103">
        <f>VLOOKUP($A21,'OI(Value)'!$A$7:$O$306,12,0)</f>
        <v>-17</v>
      </c>
      <c r="P21" s="179">
        <f>VLOOKUP(A21,'OI(Value)'!A21:O222,8,0)</f>
        <v>1410</v>
      </c>
      <c r="Q21" s="179">
        <f>VLOOKUP(A21,'OI(Value)'!A21:O222,9,0)</f>
        <v>10</v>
      </c>
      <c r="R21" s="179">
        <f>VLOOKUP(A21,'OI(Value)'!A21:O222,11,0)</f>
        <v>886</v>
      </c>
      <c r="S21" s="179">
        <f>VLOOKUP(A21,'OI(Value)'!A21:O222,11,0)</f>
        <v>886</v>
      </c>
    </row>
    <row r="22" spans="1:19" x14ac:dyDescent="0.25">
      <c r="A22" s="105" t="str">
        <f>'Data shares'!C17</f>
        <v>ASTRAL</v>
      </c>
      <c r="B22" s="143">
        <f>VLOOKUP($A22,'Data shares'!$C:$FA,118)</f>
        <v>0.48</v>
      </c>
      <c r="C22" s="143">
        <f>VLOOKUP($A22,'Data shares'!$C:$FA,119)</f>
        <v>0.46</v>
      </c>
      <c r="D22" s="143">
        <f>VLOOKUP($A22,'Data shares'!$C:$FA,121)*100</f>
        <v>4.3499999999999996</v>
      </c>
      <c r="E22" s="143">
        <f>VLOOKUP($A22,'Data shares'!$C:$FA,124)</f>
        <v>0.39</v>
      </c>
      <c r="F22" s="143">
        <f>VLOOKUP($A22,'Data shares'!$C:$FA,125)</f>
        <v>0.37</v>
      </c>
      <c r="G22" s="143">
        <f>VLOOKUP($A22,'Data shares'!$C:$FA,127)*100</f>
        <v>5.41</v>
      </c>
      <c r="H22" s="103">
        <f>VLOOKUP($A22,'OI(Volume)'!$A$7:$O$427,8)</f>
        <v>3167950</v>
      </c>
      <c r="I22" s="103">
        <f>VLOOKUP($A22,'OI(Volume)'!$A$7:$O$427,9)</f>
        <v>-10625</v>
      </c>
      <c r="J22" s="103">
        <f>VLOOKUP($A22,'OI(Volume)'!$A$7:$O$427,11)</f>
        <v>1507900</v>
      </c>
      <c r="K22" s="103">
        <f>VLOOKUP($A22,'OI(Volume)'!$A$7:$O$427,12)</f>
        <v>30600</v>
      </c>
      <c r="L22" s="103">
        <f>VLOOKUP($A22,'OI(Value)'!$A$7:$O$306,8,0)</f>
        <v>458</v>
      </c>
      <c r="M22" s="103">
        <f>VLOOKUP($A22,'OI(Value)'!$A$7:$O$306,9,0)</f>
        <v>-2</v>
      </c>
      <c r="N22" s="103">
        <f>VLOOKUP($A22,'OI(Value)'!$A$7:$O$306,11,0)</f>
        <v>218</v>
      </c>
      <c r="O22" s="103">
        <f>VLOOKUP($A22,'OI(Value)'!$A$7:$O$306,12,0)</f>
        <v>4</v>
      </c>
      <c r="P22" s="179">
        <f>VLOOKUP(A22,'OI(Value)'!A22:O223,8,0)</f>
        <v>458</v>
      </c>
      <c r="Q22" s="179">
        <f>VLOOKUP(A22,'OI(Value)'!A22:O223,9,0)</f>
        <v>-2</v>
      </c>
      <c r="R22" s="179">
        <f>VLOOKUP(A22,'OI(Value)'!A22:O223,11,0)</f>
        <v>218</v>
      </c>
      <c r="S22" s="179">
        <f>VLOOKUP(A22,'OI(Value)'!A22:O223,11,0)</f>
        <v>218</v>
      </c>
    </row>
    <row r="23" spans="1:19" x14ac:dyDescent="0.25">
      <c r="A23" s="105" t="str">
        <f>'Data shares'!C18</f>
        <v>AUBANK</v>
      </c>
      <c r="B23" s="143">
        <f>VLOOKUP($A23,'Data shares'!$C:$FA,118)</f>
        <v>0.95</v>
      </c>
      <c r="C23" s="143">
        <f>VLOOKUP($A23,'Data shares'!$C:$FA,119)</f>
        <v>1.05</v>
      </c>
      <c r="D23" s="143">
        <f>VLOOKUP($A23,'Data shares'!$C:$FA,121)*100</f>
        <v>-9.5200000000000014</v>
      </c>
      <c r="E23" s="143">
        <f>VLOOKUP($A23,'Data shares'!$C:$FA,124)</f>
        <v>0.56999999999999995</v>
      </c>
      <c r="F23" s="143">
        <f>VLOOKUP($A23,'Data shares'!$C:$FA,125)</f>
        <v>0.61</v>
      </c>
      <c r="G23" s="143">
        <f>VLOOKUP($A23,'Data shares'!$C:$FA,127)*100</f>
        <v>-6.5600000000000005</v>
      </c>
      <c r="H23" s="103">
        <f>VLOOKUP($A23,'OI(Volume)'!$A$7:$O$427,8)</f>
        <v>6634000</v>
      </c>
      <c r="I23" s="103">
        <f>VLOOKUP($A23,'OI(Volume)'!$A$7:$O$427,9)</f>
        <v>555000</v>
      </c>
      <c r="J23" s="103">
        <f>VLOOKUP($A23,'OI(Volume)'!$A$7:$O$427,11)</f>
        <v>6309000</v>
      </c>
      <c r="K23" s="103">
        <f>VLOOKUP($A23,'OI(Volume)'!$A$7:$O$427,12)</f>
        <v>-51000</v>
      </c>
      <c r="L23" s="103">
        <f>VLOOKUP($A23,'OI(Value)'!$A$7:$O$306,8,0)</f>
        <v>530</v>
      </c>
      <c r="M23" s="103">
        <f>VLOOKUP($A23,'OI(Value)'!$A$7:$O$306,9,0)</f>
        <v>44</v>
      </c>
      <c r="N23" s="103">
        <f>VLOOKUP($A23,'OI(Value)'!$A$7:$O$306,11,0)</f>
        <v>504</v>
      </c>
      <c r="O23" s="103">
        <f>VLOOKUP($A23,'OI(Value)'!$A$7:$O$306,12,0)</f>
        <v>-4</v>
      </c>
      <c r="P23" s="179">
        <f>VLOOKUP(A23,'OI(Value)'!A23:O224,8,0)</f>
        <v>530</v>
      </c>
      <c r="Q23" s="179">
        <f>VLOOKUP(A23,'OI(Value)'!A23:O224,9,0)</f>
        <v>44</v>
      </c>
      <c r="R23" s="179">
        <f>VLOOKUP(A23,'OI(Value)'!A23:O224,11,0)</f>
        <v>504</v>
      </c>
      <c r="S23" s="179">
        <f>VLOOKUP(A23,'OI(Value)'!A23:O224,11,0)</f>
        <v>504</v>
      </c>
    </row>
    <row r="24" spans="1:19" x14ac:dyDescent="0.25">
      <c r="A24" s="105" t="str">
        <f>'Data shares'!C19</f>
        <v>AUROPHARMA</v>
      </c>
      <c r="B24" s="143">
        <f>VLOOKUP($A24,'Data shares'!$C:$FA,118)</f>
        <v>0.64</v>
      </c>
      <c r="C24" s="143">
        <f>VLOOKUP($A24,'Data shares'!$C:$FA,119)</f>
        <v>0.64</v>
      </c>
      <c r="D24" s="143">
        <f>VLOOKUP($A24,'Data shares'!$C:$FA,121)*100</f>
        <v>0</v>
      </c>
      <c r="E24" s="143">
        <f>VLOOKUP($A24,'Data shares'!$C:$FA,124)</f>
        <v>0.38</v>
      </c>
      <c r="F24" s="143">
        <f>VLOOKUP($A24,'Data shares'!$C:$FA,125)</f>
        <v>0.61</v>
      </c>
      <c r="G24" s="143">
        <f>VLOOKUP($A24,'Data shares'!$C:$FA,127)*100</f>
        <v>-37.700000000000003</v>
      </c>
      <c r="H24" s="103">
        <f>VLOOKUP($A24,'OI(Volume)'!$A$7:$O$427,8)</f>
        <v>4691500</v>
      </c>
      <c r="I24" s="103">
        <f>VLOOKUP($A24,'OI(Volume)'!$A$7:$O$427,9)</f>
        <v>84700</v>
      </c>
      <c r="J24" s="103">
        <f>VLOOKUP($A24,'OI(Volume)'!$A$7:$O$427,11)</f>
        <v>3005200</v>
      </c>
      <c r="K24" s="103">
        <f>VLOOKUP($A24,'OI(Volume)'!$A$7:$O$427,12)</f>
        <v>70400</v>
      </c>
      <c r="L24" s="103">
        <f>VLOOKUP($A24,'OI(Value)'!$A$7:$O$306,8,0)</f>
        <v>521</v>
      </c>
      <c r="M24" s="103">
        <f>VLOOKUP($A24,'OI(Value)'!$A$7:$O$306,9,0)</f>
        <v>9</v>
      </c>
      <c r="N24" s="103">
        <f>VLOOKUP($A24,'OI(Value)'!$A$7:$O$306,11,0)</f>
        <v>334</v>
      </c>
      <c r="O24" s="103">
        <f>VLOOKUP($A24,'OI(Value)'!$A$7:$O$306,12,0)</f>
        <v>8</v>
      </c>
      <c r="P24" s="179">
        <f>VLOOKUP(A24,'OI(Value)'!A24:O225,8,0)</f>
        <v>521</v>
      </c>
      <c r="Q24" s="179">
        <f>VLOOKUP(A24,'OI(Value)'!A24:O225,9,0)</f>
        <v>9</v>
      </c>
      <c r="R24" s="179">
        <f>VLOOKUP(A24,'OI(Value)'!A24:O225,11,0)</f>
        <v>334</v>
      </c>
      <c r="S24" s="179">
        <f>VLOOKUP(A24,'OI(Value)'!A24:O225,11,0)</f>
        <v>334</v>
      </c>
    </row>
    <row r="25" spans="1:19" x14ac:dyDescent="0.25">
      <c r="A25" s="105" t="str">
        <f>'Data shares'!C20</f>
        <v>AXISBANK</v>
      </c>
      <c r="B25" s="143">
        <f>VLOOKUP($A25,'Data shares'!$C:$FA,118)</f>
        <v>0.57999999999999996</v>
      </c>
      <c r="C25" s="143">
        <f>VLOOKUP($A25,'Data shares'!$C:$FA,119)</f>
        <v>0.61</v>
      </c>
      <c r="D25" s="143">
        <f>VLOOKUP($A25,'Data shares'!$C:$FA,121)*100</f>
        <v>-4.92</v>
      </c>
      <c r="E25" s="143">
        <f>VLOOKUP($A25,'Data shares'!$C:$FA,124)</f>
        <v>0.72</v>
      </c>
      <c r="F25" s="143">
        <f>VLOOKUP($A25,'Data shares'!$C:$FA,125)</f>
        <v>0.75</v>
      </c>
      <c r="G25" s="143">
        <f>VLOOKUP($A25,'Data shares'!$C:$FA,127)*100</f>
        <v>-4</v>
      </c>
      <c r="H25" s="103">
        <f>VLOOKUP($A25,'OI(Volume)'!$A$7:$O$427,8)</f>
        <v>32700000</v>
      </c>
      <c r="I25" s="103">
        <f>VLOOKUP($A25,'OI(Volume)'!$A$7:$O$427,9)</f>
        <v>583750</v>
      </c>
      <c r="J25" s="103">
        <f>VLOOKUP($A25,'OI(Volume)'!$A$7:$O$427,11)</f>
        <v>18995000</v>
      </c>
      <c r="K25" s="103">
        <f>VLOOKUP($A25,'OI(Volume)'!$A$7:$O$427,12)</f>
        <v>-635625</v>
      </c>
      <c r="L25" s="103">
        <f>VLOOKUP($A25,'OI(Value)'!$A$7:$O$306,8,0)</f>
        <v>3916</v>
      </c>
      <c r="M25" s="103">
        <f>VLOOKUP($A25,'OI(Value)'!$A$7:$O$306,9,0)</f>
        <v>70</v>
      </c>
      <c r="N25" s="103">
        <f>VLOOKUP($A25,'OI(Value)'!$A$7:$O$306,11,0)</f>
        <v>2275</v>
      </c>
      <c r="O25" s="103">
        <f>VLOOKUP($A25,'OI(Value)'!$A$7:$O$306,12,0)</f>
        <v>-76</v>
      </c>
      <c r="P25" s="179">
        <f>VLOOKUP(A25,'OI(Value)'!A25:O226,8,0)</f>
        <v>3916</v>
      </c>
      <c r="Q25" s="179">
        <f>VLOOKUP(A25,'OI(Value)'!A25:O226,9,0)</f>
        <v>70</v>
      </c>
      <c r="R25" s="179">
        <f>VLOOKUP(A25,'OI(Value)'!A25:O226,11,0)</f>
        <v>2275</v>
      </c>
      <c r="S25" s="179">
        <f>VLOOKUP(A25,'OI(Value)'!A25:O226,11,0)</f>
        <v>2275</v>
      </c>
    </row>
    <row r="26" spans="1:19" x14ac:dyDescent="0.25">
      <c r="A26" s="105" t="str">
        <f>'Data shares'!C21</f>
        <v>BAJAJ-AUTO</v>
      </c>
      <c r="B26" s="143">
        <f>VLOOKUP($A26,'Data shares'!$C:$FA,118)</f>
        <v>0.67</v>
      </c>
      <c r="C26" s="143">
        <f>VLOOKUP($A26,'Data shares'!$C:$FA,119)</f>
        <v>0.61</v>
      </c>
      <c r="D26" s="143">
        <f>VLOOKUP($A26,'Data shares'!$C:$FA,121)*100</f>
        <v>9.84</v>
      </c>
      <c r="E26" s="143">
        <f>VLOOKUP($A26,'Data shares'!$C:$FA,124)</f>
        <v>0.42</v>
      </c>
      <c r="F26" s="143">
        <f>VLOOKUP($A26,'Data shares'!$C:$FA,125)</f>
        <v>0.57999999999999996</v>
      </c>
      <c r="G26" s="143">
        <f>VLOOKUP($A26,'Data shares'!$C:$FA,127)*100</f>
        <v>-27.589999999999996</v>
      </c>
      <c r="H26" s="103">
        <f>VLOOKUP($A26,'OI(Volume)'!$A$7:$O$427,8)</f>
        <v>1574475</v>
      </c>
      <c r="I26" s="103">
        <f>VLOOKUP($A26,'OI(Volume)'!$A$7:$O$427,9)</f>
        <v>-217725</v>
      </c>
      <c r="J26" s="103">
        <f>VLOOKUP($A26,'OI(Volume)'!$A$7:$O$427,11)</f>
        <v>1057200</v>
      </c>
      <c r="K26" s="103">
        <f>VLOOKUP($A26,'OI(Volume)'!$A$7:$O$427,12)</f>
        <v>-33075</v>
      </c>
      <c r="L26" s="103">
        <f>VLOOKUP($A26,'OI(Value)'!$A$7:$O$306,8,0)</f>
        <v>1442</v>
      </c>
      <c r="M26" s="103">
        <f>VLOOKUP($A26,'OI(Value)'!$A$7:$O$306,9,0)</f>
        <v>-199</v>
      </c>
      <c r="N26" s="103">
        <f>VLOOKUP($A26,'OI(Value)'!$A$7:$O$306,11,0)</f>
        <v>968</v>
      </c>
      <c r="O26" s="103">
        <f>VLOOKUP($A26,'OI(Value)'!$A$7:$O$306,12,0)</f>
        <v>-30</v>
      </c>
      <c r="P26" s="179">
        <f>VLOOKUP(A26,'OI(Value)'!A26:O227,8,0)</f>
        <v>1442</v>
      </c>
      <c r="Q26" s="179">
        <f>VLOOKUP(A26,'OI(Value)'!A26:O227,9,0)</f>
        <v>-199</v>
      </c>
      <c r="R26" s="179">
        <f>VLOOKUP(A26,'OI(Value)'!A26:O227,11,0)</f>
        <v>968</v>
      </c>
      <c r="S26" s="179">
        <f>VLOOKUP(A26,'OI(Value)'!A26:O227,11,0)</f>
        <v>968</v>
      </c>
    </row>
    <row r="27" spans="1:19" x14ac:dyDescent="0.25">
      <c r="A27" s="105" t="str">
        <f>'Data shares'!C22</f>
        <v>BAJAJFINSV</v>
      </c>
      <c r="B27" s="143">
        <f>VLOOKUP($A27,'Data shares'!$C:$FA,118)</f>
        <v>0.76</v>
      </c>
      <c r="C27" s="143">
        <f>VLOOKUP($A27,'Data shares'!$C:$FA,119)</f>
        <v>0.72</v>
      </c>
      <c r="D27" s="143">
        <f>VLOOKUP($A27,'Data shares'!$C:$FA,121)*100</f>
        <v>5.56</v>
      </c>
      <c r="E27" s="143">
        <f>VLOOKUP($A27,'Data shares'!$C:$FA,124)</f>
        <v>0.52</v>
      </c>
      <c r="F27" s="143">
        <f>VLOOKUP($A27,'Data shares'!$C:$FA,125)</f>
        <v>0.43</v>
      </c>
      <c r="G27" s="143">
        <f>VLOOKUP($A27,'Data shares'!$C:$FA,127)*100</f>
        <v>20.93</v>
      </c>
      <c r="H27" s="103">
        <f>VLOOKUP($A27,'OI(Volume)'!$A$7:$O$427,8)</f>
        <v>5899000</v>
      </c>
      <c r="I27" s="103">
        <f>VLOOKUP($A27,'OI(Volume)'!$A$7:$O$427,9)</f>
        <v>102000</v>
      </c>
      <c r="J27" s="103">
        <f>VLOOKUP($A27,'OI(Volume)'!$A$7:$O$427,11)</f>
        <v>4510500</v>
      </c>
      <c r="K27" s="103">
        <f>VLOOKUP($A27,'OI(Volume)'!$A$7:$O$427,12)</f>
        <v>347500</v>
      </c>
      <c r="L27" s="103">
        <f>VLOOKUP($A27,'OI(Value)'!$A$7:$O$306,8,0)</f>
        <v>1238</v>
      </c>
      <c r="M27" s="103">
        <f>VLOOKUP($A27,'OI(Value)'!$A$7:$O$306,9,0)</f>
        <v>21</v>
      </c>
      <c r="N27" s="103">
        <f>VLOOKUP($A27,'OI(Value)'!$A$7:$O$306,11,0)</f>
        <v>946</v>
      </c>
      <c r="O27" s="103">
        <f>VLOOKUP($A27,'OI(Value)'!$A$7:$O$306,12,0)</f>
        <v>73</v>
      </c>
      <c r="P27" s="179">
        <f>VLOOKUP(A27,'OI(Value)'!A27:O228,8,0)</f>
        <v>1238</v>
      </c>
      <c r="Q27" s="179">
        <f>VLOOKUP(A27,'OI(Value)'!A27:O228,9,0)</f>
        <v>21</v>
      </c>
      <c r="R27" s="179">
        <f>VLOOKUP(A27,'OI(Value)'!A27:O228,11,0)</f>
        <v>946</v>
      </c>
      <c r="S27" s="179">
        <f>VLOOKUP(A27,'OI(Value)'!A27:O228,11,0)</f>
        <v>946</v>
      </c>
    </row>
    <row r="28" spans="1:19" x14ac:dyDescent="0.25">
      <c r="A28" s="105" t="str">
        <f>'Data shares'!C23</f>
        <v>BAJFINANCE</v>
      </c>
      <c r="B28" s="143">
        <f>VLOOKUP($A28,'Data shares'!$C:$FA,118)</f>
        <v>0.89</v>
      </c>
      <c r="C28" s="143">
        <f>VLOOKUP($A28,'Data shares'!$C:$FA,119)</f>
        <v>0.86</v>
      </c>
      <c r="D28" s="143">
        <f>VLOOKUP($A28,'Data shares'!$C:$FA,121)*100</f>
        <v>3.49</v>
      </c>
      <c r="E28" s="143">
        <f>VLOOKUP($A28,'Data shares'!$C:$FA,124)</f>
        <v>0.63</v>
      </c>
      <c r="F28" s="143">
        <f>VLOOKUP($A28,'Data shares'!$C:$FA,125)</f>
        <v>0.56000000000000005</v>
      </c>
      <c r="G28" s="143">
        <f>VLOOKUP($A28,'Data shares'!$C:$FA,127)*100</f>
        <v>12.5</v>
      </c>
      <c r="H28" s="103">
        <f>VLOOKUP($A28,'OI(Volume)'!$A$7:$O$427,8)</f>
        <v>19024500</v>
      </c>
      <c r="I28" s="103">
        <f>VLOOKUP($A28,'OI(Volume)'!$A$7:$O$427,9)</f>
        <v>897750</v>
      </c>
      <c r="J28" s="103">
        <f>VLOOKUP($A28,'OI(Volume)'!$A$7:$O$427,11)</f>
        <v>17023500</v>
      </c>
      <c r="K28" s="103">
        <f>VLOOKUP($A28,'OI(Volume)'!$A$7:$O$427,12)</f>
        <v>1432500</v>
      </c>
      <c r="L28" s="103">
        <f>VLOOKUP($A28,'OI(Value)'!$A$7:$O$306,8,0)</f>
        <v>2029</v>
      </c>
      <c r="M28" s="103">
        <f>VLOOKUP($A28,'OI(Value)'!$A$7:$O$306,9,0)</f>
        <v>96</v>
      </c>
      <c r="N28" s="103">
        <f>VLOOKUP($A28,'OI(Value)'!$A$7:$O$306,11,0)</f>
        <v>1815</v>
      </c>
      <c r="O28" s="103">
        <f>VLOOKUP($A28,'OI(Value)'!$A$7:$O$306,12,0)</f>
        <v>153</v>
      </c>
      <c r="P28" s="179">
        <f>VLOOKUP(A28,'OI(Value)'!A28:O229,8,0)</f>
        <v>2029</v>
      </c>
      <c r="Q28" s="179">
        <f>VLOOKUP(A28,'OI(Value)'!A28:O229,9,0)</f>
        <v>96</v>
      </c>
      <c r="R28" s="179">
        <f>VLOOKUP(A28,'OI(Value)'!A28:O229,11,0)</f>
        <v>1815</v>
      </c>
      <c r="S28" s="179">
        <f>VLOOKUP(A28,'OI(Value)'!A28:O229,11,0)</f>
        <v>1815</v>
      </c>
    </row>
    <row r="29" spans="1:19" x14ac:dyDescent="0.25">
      <c r="A29" s="105" t="str">
        <f>'Data shares'!C24</f>
        <v>BANDHANBNK</v>
      </c>
      <c r="B29" s="143">
        <f>VLOOKUP($A29,'Data shares'!$C:$FA,118)</f>
        <v>0.71</v>
      </c>
      <c r="C29" s="143">
        <f>VLOOKUP($A29,'Data shares'!$C:$FA,119)</f>
        <v>0.77</v>
      </c>
      <c r="D29" s="143">
        <f>VLOOKUP($A29,'Data shares'!$C:$FA,121)*100</f>
        <v>-7.79</v>
      </c>
      <c r="E29" s="143">
        <f>VLOOKUP($A29,'Data shares'!$C:$FA,124)</f>
        <v>0.46</v>
      </c>
      <c r="F29" s="143">
        <f>VLOOKUP($A29,'Data shares'!$C:$FA,125)</f>
        <v>0.52</v>
      </c>
      <c r="G29" s="143">
        <f>VLOOKUP($A29,'Data shares'!$C:$FA,127)*100</f>
        <v>-11.540000000000001</v>
      </c>
      <c r="H29" s="103">
        <f>VLOOKUP($A29,'OI(Volume)'!$A$7:$O$427,8)</f>
        <v>48153600</v>
      </c>
      <c r="I29" s="103">
        <f>VLOOKUP($A29,'OI(Volume)'!$A$7:$O$427,9)</f>
        <v>5288400</v>
      </c>
      <c r="J29" s="103">
        <f>VLOOKUP($A29,'OI(Volume)'!$A$7:$O$427,11)</f>
        <v>34092000</v>
      </c>
      <c r="K29" s="103">
        <f>VLOOKUP($A29,'OI(Volume)'!$A$7:$O$427,12)</f>
        <v>1144800</v>
      </c>
      <c r="L29" s="103">
        <f>VLOOKUP($A29,'OI(Value)'!$A$7:$O$306,8,0)</f>
        <v>779</v>
      </c>
      <c r="M29" s="103">
        <f>VLOOKUP($A29,'OI(Value)'!$A$7:$O$306,9,0)</f>
        <v>86</v>
      </c>
      <c r="N29" s="103">
        <f>VLOOKUP($A29,'OI(Value)'!$A$7:$O$306,11,0)</f>
        <v>552</v>
      </c>
      <c r="O29" s="103">
        <f>VLOOKUP($A29,'OI(Value)'!$A$7:$O$306,12,0)</f>
        <v>19</v>
      </c>
      <c r="P29" s="179">
        <f>VLOOKUP(A29,'OI(Value)'!A29:O230,8,0)</f>
        <v>779</v>
      </c>
      <c r="Q29" s="179">
        <f>VLOOKUP(A29,'OI(Value)'!A29:O230,9,0)</f>
        <v>86</v>
      </c>
      <c r="R29" s="179">
        <f>VLOOKUP(A29,'OI(Value)'!A29:O230,11,0)</f>
        <v>552</v>
      </c>
      <c r="S29" s="179">
        <f>VLOOKUP(A29,'OI(Value)'!A29:O230,11,0)</f>
        <v>552</v>
      </c>
    </row>
    <row r="30" spans="1:19" x14ac:dyDescent="0.25">
      <c r="A30" s="105" t="str">
        <f>'Data shares'!C25</f>
        <v>BANKBARODA</v>
      </c>
      <c r="B30" s="143">
        <f>VLOOKUP($A30,'Data shares'!$C:$FA,118)</f>
        <v>0.68</v>
      </c>
      <c r="C30" s="143">
        <f>VLOOKUP($A30,'Data shares'!$C:$FA,119)</f>
        <v>0.72</v>
      </c>
      <c r="D30" s="143">
        <f>VLOOKUP($A30,'Data shares'!$C:$FA,121)*100</f>
        <v>-5.56</v>
      </c>
      <c r="E30" s="143">
        <f>VLOOKUP($A30,'Data shares'!$C:$FA,124)</f>
        <v>0.52</v>
      </c>
      <c r="F30" s="143">
        <f>VLOOKUP($A30,'Data shares'!$C:$FA,125)</f>
        <v>0.6</v>
      </c>
      <c r="G30" s="143">
        <f>VLOOKUP($A30,'Data shares'!$C:$FA,127)*100</f>
        <v>-13.33</v>
      </c>
      <c r="H30" s="103">
        <f>VLOOKUP($A30,'OI(Volume)'!$A$7:$O$427,8)</f>
        <v>47385000</v>
      </c>
      <c r="I30" s="103">
        <f>VLOOKUP($A30,'OI(Volume)'!$A$7:$O$427,9)</f>
        <v>2167425</v>
      </c>
      <c r="J30" s="103">
        <f>VLOOKUP($A30,'OI(Volume)'!$A$7:$O$427,11)</f>
        <v>32215950</v>
      </c>
      <c r="K30" s="103">
        <f>VLOOKUP($A30,'OI(Volume)'!$A$7:$O$427,12)</f>
        <v>-488475</v>
      </c>
      <c r="L30" s="103">
        <f>VLOOKUP($A30,'OI(Value)'!$A$7:$O$306,8,0)</f>
        <v>1264</v>
      </c>
      <c r="M30" s="103">
        <f>VLOOKUP($A30,'OI(Value)'!$A$7:$O$306,9,0)</f>
        <v>58</v>
      </c>
      <c r="N30" s="103">
        <f>VLOOKUP($A30,'OI(Value)'!$A$7:$O$306,11,0)</f>
        <v>860</v>
      </c>
      <c r="O30" s="103">
        <f>VLOOKUP($A30,'OI(Value)'!$A$7:$O$306,12,0)</f>
        <v>-13</v>
      </c>
      <c r="P30" s="179">
        <f>VLOOKUP(A30,'OI(Value)'!A30:O231,8,0)</f>
        <v>1264</v>
      </c>
      <c r="Q30" s="179">
        <f>VLOOKUP(A30,'OI(Value)'!A30:O231,9,0)</f>
        <v>58</v>
      </c>
      <c r="R30" s="179">
        <f>VLOOKUP(A30,'OI(Value)'!A30:O231,11,0)</f>
        <v>860</v>
      </c>
      <c r="S30" s="179">
        <f>VLOOKUP(A30,'OI(Value)'!A30:O231,11,0)</f>
        <v>860</v>
      </c>
    </row>
    <row r="31" spans="1:19" x14ac:dyDescent="0.25">
      <c r="A31" s="105" t="str">
        <f>'Data shares'!C26</f>
        <v>BANKINDIA</v>
      </c>
      <c r="B31" s="143">
        <f>VLOOKUP($A31,'Data shares'!$C:$FA,118)</f>
        <v>0.55000000000000004</v>
      </c>
      <c r="C31" s="143">
        <f>VLOOKUP($A31,'Data shares'!$C:$FA,119)</f>
        <v>0.53</v>
      </c>
      <c r="D31" s="143">
        <f>VLOOKUP($A31,'Data shares'!$C:$FA,121)*100</f>
        <v>3.7699999999999996</v>
      </c>
      <c r="E31" s="143">
        <f>VLOOKUP($A31,'Data shares'!$C:$FA,124)</f>
        <v>0.32</v>
      </c>
      <c r="F31" s="143">
        <f>VLOOKUP($A31,'Data shares'!$C:$FA,125)</f>
        <v>0.28999999999999998</v>
      </c>
      <c r="G31" s="143">
        <f>VLOOKUP($A31,'Data shares'!$C:$FA,127)*100</f>
        <v>10.34</v>
      </c>
      <c r="H31" s="103">
        <f>VLOOKUP($A31,'OI(Volume)'!$A$7:$O$427,8)</f>
        <v>31600400</v>
      </c>
      <c r="I31" s="103">
        <f>VLOOKUP($A31,'OI(Volume)'!$A$7:$O$427,9)</f>
        <v>-36400</v>
      </c>
      <c r="J31" s="103">
        <f>VLOOKUP($A31,'OI(Volume)'!$A$7:$O$427,11)</f>
        <v>17342000</v>
      </c>
      <c r="K31" s="103">
        <f>VLOOKUP($A31,'OI(Volume)'!$A$7:$O$427,12)</f>
        <v>462800</v>
      </c>
      <c r="L31" s="103">
        <f>VLOOKUP($A31,'OI(Value)'!$A$7:$O$306,8,0)</f>
        <v>397</v>
      </c>
      <c r="M31" s="103">
        <f>VLOOKUP($A31,'OI(Value)'!$A$7:$O$306,9,0)</f>
        <v>0</v>
      </c>
      <c r="N31" s="103">
        <f>VLOOKUP($A31,'OI(Value)'!$A$7:$O$306,11,0)</f>
        <v>218</v>
      </c>
      <c r="O31" s="103">
        <f>VLOOKUP($A31,'OI(Value)'!$A$7:$O$306,12,0)</f>
        <v>6</v>
      </c>
      <c r="P31" s="179">
        <f>VLOOKUP(A31,'OI(Value)'!A31:O232,8,0)</f>
        <v>397</v>
      </c>
      <c r="Q31" s="179">
        <f>VLOOKUP(A31,'OI(Value)'!A31:O232,9,0)</f>
        <v>0</v>
      </c>
      <c r="R31" s="179">
        <f>VLOOKUP(A31,'OI(Value)'!A31:O232,11,0)</f>
        <v>218</v>
      </c>
      <c r="S31" s="179">
        <f>VLOOKUP(A31,'OI(Value)'!A31:O232,11,0)</f>
        <v>218</v>
      </c>
    </row>
    <row r="32" spans="1:19" x14ac:dyDescent="0.25">
      <c r="A32" s="105" t="str">
        <f>'Data shares'!C27</f>
        <v>BANKNIFTY</v>
      </c>
      <c r="B32" s="143">
        <f>VLOOKUP($A32,'Data shares'!$C:$FA,118)</f>
        <v>1.18</v>
      </c>
      <c r="C32" s="143">
        <f>VLOOKUP($A32,'Data shares'!$C:$FA,119)</f>
        <v>1.1000000000000001</v>
      </c>
      <c r="D32" s="143">
        <f>VLOOKUP($A32,'Data shares'!$C:$FA,121)*100</f>
        <v>7.2700000000000005</v>
      </c>
      <c r="E32" s="143">
        <f>VLOOKUP($A32,'Data shares'!$C:$FA,124)</f>
        <v>0.87</v>
      </c>
      <c r="F32" s="143">
        <f>VLOOKUP($A32,'Data shares'!$C:$FA,125)</f>
        <v>0.87</v>
      </c>
      <c r="G32" s="143">
        <f>VLOOKUP($A32,'Data shares'!$C:$FA,127)*100</f>
        <v>0</v>
      </c>
      <c r="H32" s="103">
        <f>VLOOKUP($A32,'OI(Volume)'!$A$7:$O$427,8)</f>
        <v>19753045</v>
      </c>
      <c r="I32" s="103">
        <f>VLOOKUP($A32,'OI(Volume)'!$A$7:$O$427,9)</f>
        <v>-311525</v>
      </c>
      <c r="J32" s="103">
        <f>VLOOKUP($A32,'OI(Volume)'!$A$7:$O$427,11)</f>
        <v>23391145</v>
      </c>
      <c r="K32" s="103">
        <f>VLOOKUP($A32,'OI(Volume)'!$A$7:$O$427,12)</f>
        <v>1337235</v>
      </c>
      <c r="L32" s="103">
        <f>VLOOKUP($A32,'OI(Value)'!$A$7:$O$306,8,0)</f>
        <v>113553</v>
      </c>
      <c r="M32" s="103">
        <f>VLOOKUP($A32,'OI(Value)'!$A$7:$O$306,9,0)</f>
        <v>-1791</v>
      </c>
      <c r="N32" s="103">
        <f>VLOOKUP($A32,'OI(Value)'!$A$7:$O$306,11,0)</f>
        <v>134467</v>
      </c>
      <c r="O32" s="103">
        <f>VLOOKUP($A32,'OI(Value)'!$A$7:$O$306,12,0)</f>
        <v>7687</v>
      </c>
      <c r="P32" s="179">
        <f>VLOOKUP(A32,'OI(Value)'!A32:O233,8,0)</f>
        <v>113553</v>
      </c>
      <c r="Q32" s="179">
        <f>VLOOKUP(A32,'OI(Value)'!A32:O233,9,0)</f>
        <v>-1791</v>
      </c>
      <c r="R32" s="179">
        <f>VLOOKUP(A32,'OI(Value)'!A32:O233,11,0)</f>
        <v>134467</v>
      </c>
      <c r="S32" s="179">
        <f>VLOOKUP(A32,'OI(Value)'!A32:O233,11,0)</f>
        <v>134467</v>
      </c>
    </row>
    <row r="33" spans="1:19" x14ac:dyDescent="0.25">
      <c r="A33" s="105" t="str">
        <f>'Data shares'!C28</f>
        <v>BDL</v>
      </c>
      <c r="B33" s="143">
        <f>VLOOKUP($A33,'Data shares'!$C:$FA,118)</f>
        <v>0.57999999999999996</v>
      </c>
      <c r="C33" s="143">
        <f>VLOOKUP($A33,'Data shares'!$C:$FA,119)</f>
        <v>0.56999999999999995</v>
      </c>
      <c r="D33" s="143">
        <f>VLOOKUP($A33,'Data shares'!$C:$FA,121)*100</f>
        <v>1.7500000000000002</v>
      </c>
      <c r="E33" s="143">
        <f>VLOOKUP($A33,'Data shares'!$C:$FA,124)</f>
        <v>0.24</v>
      </c>
      <c r="F33" s="143">
        <f>VLOOKUP($A33,'Data shares'!$C:$FA,125)</f>
        <v>0.33</v>
      </c>
      <c r="G33" s="143">
        <f>VLOOKUP($A33,'Data shares'!$C:$FA,127)*100</f>
        <v>-27.27</v>
      </c>
      <c r="H33" s="103">
        <f>VLOOKUP($A33,'OI(Volume)'!$A$7:$O$427,8)</f>
        <v>3703375</v>
      </c>
      <c r="I33" s="103">
        <f>VLOOKUP($A33,'OI(Volume)'!$A$7:$O$427,9)</f>
        <v>-25350</v>
      </c>
      <c r="J33" s="103">
        <f>VLOOKUP($A33,'OI(Volume)'!$A$7:$O$427,11)</f>
        <v>2152800</v>
      </c>
      <c r="K33" s="103">
        <f>VLOOKUP($A33,'OI(Volume)'!$A$7:$O$427,12)</f>
        <v>44525</v>
      </c>
      <c r="L33" s="103">
        <f>VLOOKUP($A33,'OI(Value)'!$A$7:$O$306,8,0)</f>
        <v>559</v>
      </c>
      <c r="M33" s="103">
        <f>VLOOKUP($A33,'OI(Value)'!$A$7:$O$306,9,0)</f>
        <v>-4</v>
      </c>
      <c r="N33" s="103">
        <f>VLOOKUP($A33,'OI(Value)'!$A$7:$O$306,11,0)</f>
        <v>325</v>
      </c>
      <c r="O33" s="103">
        <f>VLOOKUP($A33,'OI(Value)'!$A$7:$O$306,12,0)</f>
        <v>7</v>
      </c>
      <c r="P33" s="179">
        <f>VLOOKUP(A33,'OI(Value)'!A33:O234,8,0)</f>
        <v>559</v>
      </c>
      <c r="Q33" s="179">
        <f>VLOOKUP(A33,'OI(Value)'!A33:O234,9,0)</f>
        <v>-4</v>
      </c>
      <c r="R33" s="179">
        <f>VLOOKUP(A33,'OI(Value)'!A33:O234,11,0)</f>
        <v>325</v>
      </c>
      <c r="S33" s="179">
        <f>VLOOKUP(A33,'OI(Value)'!A33:O234,11,0)</f>
        <v>325</v>
      </c>
    </row>
    <row r="34" spans="1:19" x14ac:dyDescent="0.25">
      <c r="A34" s="105" t="str">
        <f>'Data shares'!C29</f>
        <v>BEL</v>
      </c>
      <c r="B34" s="143">
        <f>VLOOKUP($A34,'Data shares'!$C:$FA,118)</f>
        <v>0.57999999999999996</v>
      </c>
      <c r="C34" s="143">
        <f>VLOOKUP($A34,'Data shares'!$C:$FA,119)</f>
        <v>0.56000000000000005</v>
      </c>
      <c r="D34" s="143">
        <f>VLOOKUP($A34,'Data shares'!$C:$FA,121)*100</f>
        <v>3.5700000000000003</v>
      </c>
      <c r="E34" s="143">
        <f>VLOOKUP($A34,'Data shares'!$C:$FA,124)</f>
        <v>0.53</v>
      </c>
      <c r="F34" s="143">
        <f>VLOOKUP($A34,'Data shares'!$C:$FA,125)</f>
        <v>0.53</v>
      </c>
      <c r="G34" s="143">
        <f>VLOOKUP($A34,'Data shares'!$C:$FA,127)*100</f>
        <v>0</v>
      </c>
      <c r="H34" s="103">
        <f>VLOOKUP($A34,'OI(Volume)'!$A$7:$O$427,8)</f>
        <v>71971050</v>
      </c>
      <c r="I34" s="103">
        <f>VLOOKUP($A34,'OI(Volume)'!$A$7:$O$427,9)</f>
        <v>-2761650</v>
      </c>
      <c r="J34" s="103">
        <f>VLOOKUP($A34,'OI(Volume)'!$A$7:$O$427,11)</f>
        <v>41838000</v>
      </c>
      <c r="K34" s="103">
        <f>VLOOKUP($A34,'OI(Volume)'!$A$7:$O$427,12)</f>
        <v>-37050</v>
      </c>
      <c r="L34" s="103">
        <f>VLOOKUP($A34,'OI(Value)'!$A$7:$O$306,8,0)</f>
        <v>2976</v>
      </c>
      <c r="M34" s="103">
        <f>VLOOKUP($A34,'OI(Value)'!$A$7:$O$306,9,0)</f>
        <v>-114</v>
      </c>
      <c r="N34" s="103">
        <f>VLOOKUP($A34,'OI(Value)'!$A$7:$O$306,11,0)</f>
        <v>1730</v>
      </c>
      <c r="O34" s="103">
        <f>VLOOKUP($A34,'OI(Value)'!$A$7:$O$306,12,0)</f>
        <v>-2</v>
      </c>
      <c r="P34" s="179">
        <f>VLOOKUP(A34,'OI(Value)'!A34:O235,8,0)</f>
        <v>2976</v>
      </c>
      <c r="Q34" s="179">
        <f>VLOOKUP(A34,'OI(Value)'!A34:O235,9,0)</f>
        <v>-114</v>
      </c>
      <c r="R34" s="179">
        <f>VLOOKUP(A34,'OI(Value)'!A34:O235,11,0)</f>
        <v>1730</v>
      </c>
      <c r="S34" s="179">
        <f>VLOOKUP(A34,'OI(Value)'!A34:O235,11,0)</f>
        <v>1730</v>
      </c>
    </row>
    <row r="35" spans="1:19" x14ac:dyDescent="0.25">
      <c r="A35" s="105" t="str">
        <f>'Data shares'!C30</f>
        <v>BHARATFORG</v>
      </c>
      <c r="B35" s="143">
        <f>VLOOKUP($A35,'Data shares'!$C:$FA,118)</f>
        <v>0.61</v>
      </c>
      <c r="C35" s="143">
        <f>VLOOKUP($A35,'Data shares'!$C:$FA,119)</f>
        <v>0.66</v>
      </c>
      <c r="D35" s="143">
        <f>VLOOKUP($A35,'Data shares'!$C:$FA,121)*100</f>
        <v>-7.580000000000001</v>
      </c>
      <c r="E35" s="143">
        <f>VLOOKUP($A35,'Data shares'!$C:$FA,124)</f>
        <v>0.28000000000000003</v>
      </c>
      <c r="F35" s="143">
        <f>VLOOKUP($A35,'Data shares'!$C:$FA,125)</f>
        <v>0.4</v>
      </c>
      <c r="G35" s="143">
        <f>VLOOKUP($A35,'Data shares'!$C:$FA,127)*100</f>
        <v>-30</v>
      </c>
      <c r="H35" s="103">
        <f>VLOOKUP($A35,'OI(Volume)'!$A$7:$O$427,8)</f>
        <v>4081000</v>
      </c>
      <c r="I35" s="103">
        <f>VLOOKUP($A35,'OI(Volume)'!$A$7:$O$427,9)</f>
        <v>716500</v>
      </c>
      <c r="J35" s="103">
        <f>VLOOKUP($A35,'OI(Volume)'!$A$7:$O$427,11)</f>
        <v>2479000</v>
      </c>
      <c r="K35" s="103">
        <f>VLOOKUP($A35,'OI(Volume)'!$A$7:$O$427,12)</f>
        <v>256000</v>
      </c>
      <c r="L35" s="103">
        <f>VLOOKUP($A35,'OI(Value)'!$A$7:$O$306,8,0)</f>
        <v>518</v>
      </c>
      <c r="M35" s="103">
        <f>VLOOKUP($A35,'OI(Value)'!$A$7:$O$306,9,0)</f>
        <v>91</v>
      </c>
      <c r="N35" s="103">
        <f>VLOOKUP($A35,'OI(Value)'!$A$7:$O$306,11,0)</f>
        <v>315</v>
      </c>
      <c r="O35" s="103">
        <f>VLOOKUP($A35,'OI(Value)'!$A$7:$O$306,12,0)</f>
        <v>33</v>
      </c>
      <c r="P35" s="179">
        <f>VLOOKUP(A35,'OI(Value)'!A35:O236,8,0)</f>
        <v>518</v>
      </c>
      <c r="Q35" s="179">
        <f>VLOOKUP(A35,'OI(Value)'!A35:O236,9,0)</f>
        <v>91</v>
      </c>
      <c r="R35" s="179">
        <f>VLOOKUP(A35,'OI(Value)'!A35:O236,11,0)</f>
        <v>315</v>
      </c>
      <c r="S35" s="179">
        <f>VLOOKUP(A35,'OI(Value)'!A35:O236,11,0)</f>
        <v>315</v>
      </c>
    </row>
    <row r="36" spans="1:19" x14ac:dyDescent="0.25">
      <c r="A36" s="105" t="str">
        <f>'Data shares'!C31</f>
        <v>BHARTIARTL</v>
      </c>
      <c r="B36" s="143">
        <f>VLOOKUP($A36,'Data shares'!$C:$FA,118)</f>
        <v>0.57999999999999996</v>
      </c>
      <c r="C36" s="143">
        <f>VLOOKUP($A36,'Data shares'!$C:$FA,119)</f>
        <v>0.57999999999999996</v>
      </c>
      <c r="D36" s="143">
        <f>VLOOKUP($A36,'Data shares'!$C:$FA,121)*100</f>
        <v>0</v>
      </c>
      <c r="E36" s="143">
        <f>VLOOKUP($A36,'Data shares'!$C:$FA,124)</f>
        <v>0.54</v>
      </c>
      <c r="F36" s="143">
        <f>VLOOKUP($A36,'Data shares'!$C:$FA,125)</f>
        <v>0.53</v>
      </c>
      <c r="G36" s="143">
        <f>VLOOKUP($A36,'Data shares'!$C:$FA,127)*100</f>
        <v>1.8900000000000001</v>
      </c>
      <c r="H36" s="103">
        <f>VLOOKUP($A36,'OI(Volume)'!$A$7:$O$427,8)</f>
        <v>13123775</v>
      </c>
      <c r="I36" s="103">
        <f>VLOOKUP($A36,'OI(Volume)'!$A$7:$O$427,9)</f>
        <v>219925</v>
      </c>
      <c r="J36" s="103">
        <f>VLOOKUP($A36,'OI(Volume)'!$A$7:$O$427,11)</f>
        <v>7549175</v>
      </c>
      <c r="K36" s="103">
        <f>VLOOKUP($A36,'OI(Volume)'!$A$7:$O$427,12)</f>
        <v>105450</v>
      </c>
      <c r="L36" s="103">
        <f>VLOOKUP($A36,'OI(Value)'!$A$7:$O$306,8,0)</f>
        <v>2591</v>
      </c>
      <c r="M36" s="103">
        <f>VLOOKUP($A36,'OI(Value)'!$A$7:$O$306,9,0)</f>
        <v>43</v>
      </c>
      <c r="N36" s="103">
        <f>VLOOKUP($A36,'OI(Value)'!$A$7:$O$306,11,0)</f>
        <v>1490</v>
      </c>
      <c r="O36" s="103">
        <f>VLOOKUP($A36,'OI(Value)'!$A$7:$O$306,12,0)</f>
        <v>21</v>
      </c>
      <c r="P36" s="179">
        <f>VLOOKUP(A36,'OI(Value)'!A36:O237,8,0)</f>
        <v>2591</v>
      </c>
      <c r="Q36" s="179">
        <f>VLOOKUP(A36,'OI(Value)'!A36:O237,9,0)</f>
        <v>43</v>
      </c>
      <c r="R36" s="179">
        <f>VLOOKUP(A36,'OI(Value)'!A36:O237,11,0)</f>
        <v>1490</v>
      </c>
      <c r="S36" s="179">
        <f>VLOOKUP(A36,'OI(Value)'!A36:O237,11,0)</f>
        <v>1490</v>
      </c>
    </row>
    <row r="37" spans="1:19" x14ac:dyDescent="0.25">
      <c r="A37" s="105" t="str">
        <f>'Data shares'!C32</f>
        <v>BHEL</v>
      </c>
      <c r="B37" s="143">
        <f>VLOOKUP($A37,'Data shares'!$C:$FA,118)</f>
        <v>0.57999999999999996</v>
      </c>
      <c r="C37" s="143">
        <f>VLOOKUP($A37,'Data shares'!$C:$FA,119)</f>
        <v>0.61</v>
      </c>
      <c r="D37" s="143">
        <f>VLOOKUP($A37,'Data shares'!$C:$FA,121)*100</f>
        <v>-4.92</v>
      </c>
      <c r="E37" s="143">
        <f>VLOOKUP($A37,'Data shares'!$C:$FA,124)</f>
        <v>0.45</v>
      </c>
      <c r="F37" s="143">
        <f>VLOOKUP($A37,'Data shares'!$C:$FA,125)</f>
        <v>0.54</v>
      </c>
      <c r="G37" s="143">
        <f>VLOOKUP($A37,'Data shares'!$C:$FA,127)*100</f>
        <v>-16.669999999999998</v>
      </c>
      <c r="H37" s="103">
        <f>VLOOKUP($A37,'OI(Volume)'!$A$7:$O$427,8)</f>
        <v>27838125</v>
      </c>
      <c r="I37" s="103">
        <f>VLOOKUP($A37,'OI(Volume)'!$A$7:$O$427,9)</f>
        <v>698250</v>
      </c>
      <c r="J37" s="103">
        <f>VLOOKUP($A37,'OI(Volume)'!$A$7:$O$427,11)</f>
        <v>16149000</v>
      </c>
      <c r="K37" s="103">
        <f>VLOOKUP($A37,'OI(Volume)'!$A$7:$O$427,12)</f>
        <v>-338625</v>
      </c>
      <c r="L37" s="103">
        <f>VLOOKUP($A37,'OI(Value)'!$A$7:$O$306,8,0)</f>
        <v>659</v>
      </c>
      <c r="M37" s="103">
        <f>VLOOKUP($A37,'OI(Value)'!$A$7:$O$306,9,0)</f>
        <v>17</v>
      </c>
      <c r="N37" s="103">
        <f>VLOOKUP($A37,'OI(Value)'!$A$7:$O$306,11,0)</f>
        <v>383</v>
      </c>
      <c r="O37" s="103">
        <f>VLOOKUP($A37,'OI(Value)'!$A$7:$O$306,12,0)</f>
        <v>-8</v>
      </c>
      <c r="P37" s="179">
        <f>VLOOKUP(A37,'OI(Value)'!A37:O238,8,0)</f>
        <v>659</v>
      </c>
      <c r="Q37" s="179">
        <f>VLOOKUP(A37,'OI(Value)'!A37:O238,9,0)</f>
        <v>17</v>
      </c>
      <c r="R37" s="179">
        <f>VLOOKUP(A37,'OI(Value)'!A37:O238,11,0)</f>
        <v>383</v>
      </c>
      <c r="S37" s="179">
        <f>VLOOKUP(A37,'OI(Value)'!A37:O238,11,0)</f>
        <v>383</v>
      </c>
    </row>
    <row r="38" spans="1:19" x14ac:dyDescent="0.25">
      <c r="A38" s="105" t="str">
        <f>'Data shares'!C33</f>
        <v>BIOCON</v>
      </c>
      <c r="B38" s="143">
        <f>VLOOKUP($A38,'Data shares'!$C:$FA,118)</f>
        <v>0.62</v>
      </c>
      <c r="C38" s="143">
        <f>VLOOKUP($A38,'Data shares'!$C:$FA,119)</f>
        <v>0.6</v>
      </c>
      <c r="D38" s="143">
        <f>VLOOKUP($A38,'Data shares'!$C:$FA,121)*100</f>
        <v>3.3300000000000005</v>
      </c>
      <c r="E38" s="143">
        <f>VLOOKUP($A38,'Data shares'!$C:$FA,124)</f>
        <v>0.55000000000000004</v>
      </c>
      <c r="F38" s="143">
        <f>VLOOKUP($A38,'Data shares'!$C:$FA,125)</f>
        <v>0.46</v>
      </c>
      <c r="G38" s="143">
        <f>VLOOKUP($A38,'Data shares'!$C:$FA,127)*100</f>
        <v>19.57</v>
      </c>
      <c r="H38" s="103">
        <f>VLOOKUP($A38,'OI(Volume)'!$A$7:$O$427,8)</f>
        <v>16350000</v>
      </c>
      <c r="I38" s="103">
        <f>VLOOKUP($A38,'OI(Volume)'!$A$7:$O$427,9)</f>
        <v>-167500</v>
      </c>
      <c r="J38" s="103">
        <f>VLOOKUP($A38,'OI(Volume)'!$A$7:$O$427,11)</f>
        <v>10192500</v>
      </c>
      <c r="K38" s="103">
        <f>VLOOKUP($A38,'OI(Volume)'!$A$7:$O$427,12)</f>
        <v>317500</v>
      </c>
      <c r="L38" s="103">
        <f>VLOOKUP($A38,'OI(Value)'!$A$7:$O$306,8,0)</f>
        <v>588</v>
      </c>
      <c r="M38" s="103">
        <f>VLOOKUP($A38,'OI(Value)'!$A$7:$O$306,9,0)</f>
        <v>-6</v>
      </c>
      <c r="N38" s="103">
        <f>VLOOKUP($A38,'OI(Value)'!$A$7:$O$306,11,0)</f>
        <v>367</v>
      </c>
      <c r="O38" s="103">
        <f>VLOOKUP($A38,'OI(Value)'!$A$7:$O$306,12,0)</f>
        <v>11</v>
      </c>
      <c r="P38" s="179">
        <f>VLOOKUP(A38,'OI(Value)'!A38:O239,8,0)</f>
        <v>588</v>
      </c>
      <c r="Q38" s="179">
        <f>VLOOKUP(A38,'OI(Value)'!A38:O239,9,0)</f>
        <v>-6</v>
      </c>
      <c r="R38" s="179">
        <f>VLOOKUP(A38,'OI(Value)'!A38:O239,11,0)</f>
        <v>367</v>
      </c>
      <c r="S38" s="179">
        <f>VLOOKUP(A38,'OI(Value)'!A38:O239,11,0)</f>
        <v>367</v>
      </c>
    </row>
    <row r="39" spans="1:19" x14ac:dyDescent="0.25">
      <c r="A39" s="105" t="str">
        <f>'Data shares'!C34</f>
        <v>BLUESTARCO</v>
      </c>
      <c r="B39" s="143">
        <f>VLOOKUP($A39,'Data shares'!$C:$FA,118)</f>
        <v>0.64</v>
      </c>
      <c r="C39" s="143">
        <f>VLOOKUP($A39,'Data shares'!$C:$FA,119)</f>
        <v>0.59</v>
      </c>
      <c r="D39" s="143">
        <f>VLOOKUP($A39,'Data shares'!$C:$FA,121)*100</f>
        <v>8.4699999999999989</v>
      </c>
      <c r="E39" s="143">
        <f>VLOOKUP($A39,'Data shares'!$C:$FA,124)</f>
        <v>0.38</v>
      </c>
      <c r="F39" s="143">
        <f>VLOOKUP($A39,'Data shares'!$C:$FA,125)</f>
        <v>0.27</v>
      </c>
      <c r="G39" s="143">
        <f>VLOOKUP($A39,'Data shares'!$C:$FA,127)*100</f>
        <v>40.739999999999995</v>
      </c>
      <c r="H39" s="103">
        <f>VLOOKUP($A39,'OI(Volume)'!$A$7:$O$427,8)</f>
        <v>603200</v>
      </c>
      <c r="I39" s="103">
        <f>VLOOKUP($A39,'OI(Volume)'!$A$7:$O$427,9)</f>
        <v>-21125</v>
      </c>
      <c r="J39" s="103">
        <f>VLOOKUP($A39,'OI(Volume)'!$A$7:$O$427,11)</f>
        <v>387400</v>
      </c>
      <c r="K39" s="103">
        <f>VLOOKUP($A39,'OI(Volume)'!$A$7:$O$427,12)</f>
        <v>20800</v>
      </c>
      <c r="L39" s="103">
        <f>VLOOKUP($A39,'OI(Value)'!$A$7:$O$306,8,0)</f>
        <v>119</v>
      </c>
      <c r="M39" s="103">
        <f>VLOOKUP($A39,'OI(Value)'!$A$7:$O$306,9,0)</f>
        <v>-4</v>
      </c>
      <c r="N39" s="103">
        <f>VLOOKUP($A39,'OI(Value)'!$A$7:$O$306,11,0)</f>
        <v>76</v>
      </c>
      <c r="O39" s="103">
        <f>VLOOKUP($A39,'OI(Value)'!$A$7:$O$306,12,0)</f>
        <v>4</v>
      </c>
      <c r="P39" s="179">
        <f>VLOOKUP(A39,'OI(Value)'!A39:O240,8,0)</f>
        <v>119</v>
      </c>
      <c r="Q39" s="179">
        <f>VLOOKUP(A39,'OI(Value)'!A39:O240,9,0)</f>
        <v>-4</v>
      </c>
      <c r="R39" s="179">
        <f>VLOOKUP(A39,'OI(Value)'!A39:O240,11,0)</f>
        <v>76</v>
      </c>
      <c r="S39" s="179">
        <f>VLOOKUP(A39,'OI(Value)'!A39:O240,11,0)</f>
        <v>76</v>
      </c>
    </row>
    <row r="40" spans="1:19" x14ac:dyDescent="0.25">
      <c r="A40" s="105" t="str">
        <f>'Data shares'!C35</f>
        <v>BOSCHLTD</v>
      </c>
      <c r="B40" s="143">
        <f>VLOOKUP($A40,'Data shares'!$C:$FA,118)</f>
        <v>0.57999999999999996</v>
      </c>
      <c r="C40" s="143">
        <f>VLOOKUP($A40,'Data shares'!$C:$FA,119)</f>
        <v>0.56000000000000005</v>
      </c>
      <c r="D40" s="143">
        <f>VLOOKUP($A40,'Data shares'!$C:$FA,121)*100</f>
        <v>3.5700000000000003</v>
      </c>
      <c r="E40" s="143">
        <f>VLOOKUP($A40,'Data shares'!$C:$FA,124)</f>
        <v>0.41</v>
      </c>
      <c r="F40" s="143">
        <f>VLOOKUP($A40,'Data shares'!$C:$FA,125)</f>
        <v>0.48</v>
      </c>
      <c r="G40" s="143">
        <f>VLOOKUP($A40,'Data shares'!$C:$FA,127)*100</f>
        <v>-14.580000000000002</v>
      </c>
      <c r="H40" s="103">
        <f>VLOOKUP($A40,'OI(Volume)'!$A$7:$O$427,8)</f>
        <v>90300</v>
      </c>
      <c r="I40" s="103">
        <f>VLOOKUP($A40,'OI(Volume)'!$A$7:$O$427,9)</f>
        <v>-1325</v>
      </c>
      <c r="J40" s="103">
        <f>VLOOKUP($A40,'OI(Volume)'!$A$7:$O$427,11)</f>
        <v>52250</v>
      </c>
      <c r="K40" s="103">
        <f>VLOOKUP($A40,'OI(Volume)'!$A$7:$O$427,12)</f>
        <v>750</v>
      </c>
      <c r="L40" s="103">
        <f>VLOOKUP($A40,'OI(Value)'!$A$7:$O$306,8,0)</f>
        <v>348</v>
      </c>
      <c r="M40" s="103">
        <f>VLOOKUP($A40,'OI(Value)'!$A$7:$O$306,9,0)</f>
        <v>-5</v>
      </c>
      <c r="N40" s="103">
        <f>VLOOKUP($A40,'OI(Value)'!$A$7:$O$306,11,0)</f>
        <v>202</v>
      </c>
      <c r="O40" s="103">
        <f>VLOOKUP($A40,'OI(Value)'!$A$7:$O$306,12,0)</f>
        <v>3</v>
      </c>
      <c r="P40" s="179">
        <f>VLOOKUP(A40,'OI(Value)'!A40:O241,8,0)</f>
        <v>348</v>
      </c>
      <c r="Q40" s="179">
        <f>VLOOKUP(A40,'OI(Value)'!A40:O241,9,0)</f>
        <v>-5</v>
      </c>
      <c r="R40" s="179">
        <f>VLOOKUP(A40,'OI(Value)'!A40:O241,11,0)</f>
        <v>202</v>
      </c>
      <c r="S40" s="179">
        <f>VLOOKUP(A40,'OI(Value)'!A40:O241,11,0)</f>
        <v>202</v>
      </c>
    </row>
    <row r="41" spans="1:19" x14ac:dyDescent="0.25">
      <c r="A41" s="105" t="str">
        <f>'Data shares'!C36</f>
        <v>BPCL</v>
      </c>
      <c r="B41" s="143">
        <f>VLOOKUP($A41,'Data shares'!$C:$FA,118)</f>
        <v>0.65</v>
      </c>
      <c r="C41" s="143">
        <f>VLOOKUP($A41,'Data shares'!$C:$FA,119)</f>
        <v>0.68</v>
      </c>
      <c r="D41" s="143">
        <f>VLOOKUP($A41,'Data shares'!$C:$FA,121)*100</f>
        <v>-4.41</v>
      </c>
      <c r="E41" s="143">
        <f>VLOOKUP($A41,'Data shares'!$C:$FA,124)</f>
        <v>0.43</v>
      </c>
      <c r="F41" s="143">
        <f>VLOOKUP($A41,'Data shares'!$C:$FA,125)</f>
        <v>0.63</v>
      </c>
      <c r="G41" s="143">
        <f>VLOOKUP($A41,'Data shares'!$C:$FA,127)*100</f>
        <v>-31.75</v>
      </c>
      <c r="H41" s="103">
        <f>VLOOKUP($A41,'OI(Volume)'!$A$7:$O$427,8)</f>
        <v>15602500</v>
      </c>
      <c r="I41" s="103">
        <f>VLOOKUP($A41,'OI(Volume)'!$A$7:$O$427,9)</f>
        <v>1226475</v>
      </c>
      <c r="J41" s="103">
        <f>VLOOKUP($A41,'OI(Volume)'!$A$7:$O$427,11)</f>
        <v>10147550</v>
      </c>
      <c r="K41" s="103">
        <f>VLOOKUP($A41,'OI(Volume)'!$A$7:$O$427,12)</f>
        <v>304150</v>
      </c>
      <c r="L41" s="103">
        <f>VLOOKUP($A41,'OI(Value)'!$A$7:$O$306,8,0)</f>
        <v>526</v>
      </c>
      <c r="M41" s="103">
        <f>VLOOKUP($A41,'OI(Value)'!$A$7:$O$306,9,0)</f>
        <v>41</v>
      </c>
      <c r="N41" s="103">
        <f>VLOOKUP($A41,'OI(Value)'!$A$7:$O$306,11,0)</f>
        <v>342</v>
      </c>
      <c r="O41" s="103">
        <f>VLOOKUP($A41,'OI(Value)'!$A$7:$O$306,12,0)</f>
        <v>10</v>
      </c>
      <c r="P41" s="179">
        <f>VLOOKUP(A41,'OI(Value)'!A41:O242,8,0)</f>
        <v>526</v>
      </c>
      <c r="Q41" s="179">
        <f>VLOOKUP(A41,'OI(Value)'!A41:O242,9,0)</f>
        <v>41</v>
      </c>
      <c r="R41" s="179">
        <f>VLOOKUP(A41,'OI(Value)'!A41:O242,11,0)</f>
        <v>342</v>
      </c>
      <c r="S41" s="179">
        <f>VLOOKUP(A41,'OI(Value)'!A41:O242,11,0)</f>
        <v>342</v>
      </c>
    </row>
    <row r="42" spans="1:19" x14ac:dyDescent="0.25">
      <c r="A42" s="105" t="str">
        <f>'Data shares'!C37</f>
        <v>BRITANNIA</v>
      </c>
      <c r="B42" s="143">
        <f>VLOOKUP($A42,'Data shares'!$C:$FA,118)</f>
        <v>0.56999999999999995</v>
      </c>
      <c r="C42" s="143">
        <f>VLOOKUP($A42,'Data shares'!$C:$FA,119)</f>
        <v>0.45</v>
      </c>
      <c r="D42" s="143">
        <f>VLOOKUP($A42,'Data shares'!$C:$FA,121)*100</f>
        <v>26.669999999999998</v>
      </c>
      <c r="E42" s="143">
        <f>VLOOKUP($A42,'Data shares'!$C:$FA,124)</f>
        <v>0.28000000000000003</v>
      </c>
      <c r="F42" s="143">
        <f>VLOOKUP($A42,'Data shares'!$C:$FA,125)</f>
        <v>0.38</v>
      </c>
      <c r="G42" s="143">
        <f>VLOOKUP($A42,'Data shares'!$C:$FA,127)*100</f>
        <v>-26.32</v>
      </c>
      <c r="H42" s="103">
        <f>VLOOKUP($A42,'OI(Volume)'!$A$7:$O$427,8)</f>
        <v>1071250</v>
      </c>
      <c r="I42" s="103">
        <f>VLOOKUP($A42,'OI(Volume)'!$A$7:$O$427,9)</f>
        <v>-145500</v>
      </c>
      <c r="J42" s="103">
        <f>VLOOKUP($A42,'OI(Volume)'!$A$7:$O$427,11)</f>
        <v>611750</v>
      </c>
      <c r="K42" s="103">
        <f>VLOOKUP($A42,'OI(Volume)'!$A$7:$O$427,12)</f>
        <v>59625</v>
      </c>
      <c r="L42" s="103">
        <f>VLOOKUP($A42,'OI(Value)'!$A$7:$O$306,8,0)</f>
        <v>646</v>
      </c>
      <c r="M42" s="103">
        <f>VLOOKUP($A42,'OI(Value)'!$A$7:$O$306,9,0)</f>
        <v>-88</v>
      </c>
      <c r="N42" s="103">
        <f>VLOOKUP($A42,'OI(Value)'!$A$7:$O$306,11,0)</f>
        <v>369</v>
      </c>
      <c r="O42" s="103">
        <f>VLOOKUP($A42,'OI(Value)'!$A$7:$O$306,12,0)</f>
        <v>36</v>
      </c>
      <c r="P42" s="179">
        <f>VLOOKUP(A42,'OI(Value)'!A42:O243,8,0)</f>
        <v>646</v>
      </c>
      <c r="Q42" s="179">
        <f>VLOOKUP(A42,'OI(Value)'!A42:O243,9,0)</f>
        <v>-88</v>
      </c>
      <c r="R42" s="179">
        <f>VLOOKUP(A42,'OI(Value)'!A42:O243,11,0)</f>
        <v>369</v>
      </c>
      <c r="S42" s="179">
        <f>VLOOKUP(A42,'OI(Value)'!A42:O243,11,0)</f>
        <v>369</v>
      </c>
    </row>
    <row r="43" spans="1:19" x14ac:dyDescent="0.25">
      <c r="A43" s="105" t="str">
        <f>'Data shares'!C38</f>
        <v>BSE</v>
      </c>
      <c r="B43" s="143">
        <f>VLOOKUP($A43,'Data shares'!$C:$FA,118)</f>
        <v>0.93</v>
      </c>
      <c r="C43" s="143">
        <f>VLOOKUP($A43,'Data shares'!$C:$FA,119)</f>
        <v>0.78</v>
      </c>
      <c r="D43" s="143">
        <f>VLOOKUP($A43,'Data shares'!$C:$FA,121)*100</f>
        <v>19.23</v>
      </c>
      <c r="E43" s="143">
        <f>VLOOKUP($A43,'Data shares'!$C:$FA,124)</f>
        <v>0.47</v>
      </c>
      <c r="F43" s="143">
        <f>VLOOKUP($A43,'Data shares'!$C:$FA,125)</f>
        <v>0.62</v>
      </c>
      <c r="G43" s="143">
        <f>VLOOKUP($A43,'Data shares'!$C:$FA,127)*100</f>
        <v>-24.19</v>
      </c>
      <c r="H43" s="103">
        <f>VLOOKUP($A43,'OI(Volume)'!$A$7:$O$427,8)</f>
        <v>9547875</v>
      </c>
      <c r="I43" s="103">
        <f>VLOOKUP($A43,'OI(Volume)'!$A$7:$O$427,9)</f>
        <v>-1152750</v>
      </c>
      <c r="J43" s="103">
        <f>VLOOKUP($A43,'OI(Volume)'!$A$7:$O$427,11)</f>
        <v>8835375</v>
      </c>
      <c r="K43" s="103">
        <f>VLOOKUP($A43,'OI(Volume)'!$A$7:$O$427,12)</f>
        <v>491250</v>
      </c>
      <c r="L43" s="103">
        <f>VLOOKUP($A43,'OI(Value)'!$A$7:$O$306,8,0)</f>
        <v>2406</v>
      </c>
      <c r="M43" s="103">
        <f>VLOOKUP($A43,'OI(Value)'!$A$7:$O$306,9,0)</f>
        <v>-290</v>
      </c>
      <c r="N43" s="103">
        <f>VLOOKUP($A43,'OI(Value)'!$A$7:$O$306,11,0)</f>
        <v>2226</v>
      </c>
      <c r="O43" s="103">
        <f>VLOOKUP($A43,'OI(Value)'!$A$7:$O$306,12,0)</f>
        <v>124</v>
      </c>
      <c r="P43" s="179">
        <f>VLOOKUP(A43,'OI(Value)'!A43:O244,8,0)</f>
        <v>2406</v>
      </c>
      <c r="Q43" s="179">
        <f>VLOOKUP(A43,'OI(Value)'!A43:O244,9,0)</f>
        <v>-290</v>
      </c>
      <c r="R43" s="179">
        <f>VLOOKUP(A43,'OI(Value)'!A43:O244,11,0)</f>
        <v>2226</v>
      </c>
      <c r="S43" s="179">
        <f>VLOOKUP(A43,'OI(Value)'!A43:O244,11,0)</f>
        <v>2226</v>
      </c>
    </row>
    <row r="44" spans="1:19" x14ac:dyDescent="0.25">
      <c r="A44" s="105" t="str">
        <f>'Data shares'!C39</f>
        <v>CAMS</v>
      </c>
      <c r="B44" s="143">
        <f>VLOOKUP($A44,'Data shares'!$C:$FA,118)</f>
        <v>0.64</v>
      </c>
      <c r="C44" s="143">
        <f>VLOOKUP($A44,'Data shares'!$C:$FA,119)</f>
        <v>0.62</v>
      </c>
      <c r="D44" s="143">
        <f>VLOOKUP($A44,'Data shares'!$C:$FA,121)*100</f>
        <v>3.2300000000000004</v>
      </c>
      <c r="E44" s="143">
        <f>VLOOKUP($A44,'Data shares'!$C:$FA,124)</f>
        <v>0.34</v>
      </c>
      <c r="F44" s="143">
        <f>VLOOKUP($A44,'Data shares'!$C:$FA,125)</f>
        <v>0.32</v>
      </c>
      <c r="G44" s="143">
        <f>VLOOKUP($A44,'Data shares'!$C:$FA,127)*100</f>
        <v>6.25</v>
      </c>
      <c r="H44" s="103">
        <f>VLOOKUP($A44,'OI(Volume)'!$A$7:$O$427,8)</f>
        <v>1166850</v>
      </c>
      <c r="I44" s="103">
        <f>VLOOKUP($A44,'OI(Volume)'!$A$7:$O$427,9)</f>
        <v>14100</v>
      </c>
      <c r="J44" s="103">
        <f>VLOOKUP($A44,'OI(Volume)'!$A$7:$O$427,11)</f>
        <v>745350</v>
      </c>
      <c r="K44" s="103">
        <f>VLOOKUP($A44,'OI(Volume)'!$A$7:$O$427,12)</f>
        <v>31950</v>
      </c>
      <c r="L44" s="103">
        <f>VLOOKUP($A44,'OI(Value)'!$A$7:$O$306,8,0)</f>
        <v>447</v>
      </c>
      <c r="M44" s="103">
        <f>VLOOKUP($A44,'OI(Value)'!$A$7:$O$306,9,0)</f>
        <v>5</v>
      </c>
      <c r="N44" s="103">
        <f>VLOOKUP($A44,'OI(Value)'!$A$7:$O$306,11,0)</f>
        <v>286</v>
      </c>
      <c r="O44" s="103">
        <f>VLOOKUP($A44,'OI(Value)'!$A$7:$O$306,12,0)</f>
        <v>12</v>
      </c>
      <c r="P44" s="179">
        <f>VLOOKUP(A44,'OI(Value)'!A44:O245,8,0)</f>
        <v>447</v>
      </c>
      <c r="Q44" s="179">
        <f>VLOOKUP(A44,'OI(Value)'!A44:O245,9,0)</f>
        <v>5</v>
      </c>
      <c r="R44" s="179">
        <f>VLOOKUP(A44,'OI(Value)'!A44:O245,11,0)</f>
        <v>286</v>
      </c>
      <c r="S44" s="179">
        <f>VLOOKUP(A44,'OI(Value)'!A44:O245,11,0)</f>
        <v>286</v>
      </c>
    </row>
    <row r="45" spans="1:19" x14ac:dyDescent="0.25">
      <c r="A45" s="105" t="str">
        <f>'Data shares'!C40</f>
        <v>CANBK</v>
      </c>
      <c r="B45" s="143">
        <f>VLOOKUP($A45,'Data shares'!$C:$FA,118)</f>
        <v>0.83</v>
      </c>
      <c r="C45" s="143">
        <f>VLOOKUP($A45,'Data shares'!$C:$FA,119)</f>
        <v>0.86</v>
      </c>
      <c r="D45" s="143">
        <f>VLOOKUP($A45,'Data shares'!$C:$FA,121)*100</f>
        <v>-3.49</v>
      </c>
      <c r="E45" s="143">
        <f>VLOOKUP($A45,'Data shares'!$C:$FA,124)</f>
        <v>0.6</v>
      </c>
      <c r="F45" s="143">
        <f>VLOOKUP($A45,'Data shares'!$C:$FA,125)</f>
        <v>0.59</v>
      </c>
      <c r="G45" s="143">
        <f>VLOOKUP($A45,'Data shares'!$C:$FA,127)*100</f>
        <v>1.69</v>
      </c>
      <c r="H45" s="103">
        <f>VLOOKUP($A45,'OI(Volume)'!$A$7:$O$427,8)</f>
        <v>100575000</v>
      </c>
      <c r="I45" s="103">
        <f>VLOOKUP($A45,'OI(Volume)'!$A$7:$O$427,9)</f>
        <v>4050000</v>
      </c>
      <c r="J45" s="103">
        <f>VLOOKUP($A45,'OI(Volume)'!$A$7:$O$427,11)</f>
        <v>83821500</v>
      </c>
      <c r="K45" s="103">
        <f>VLOOKUP($A45,'OI(Volume)'!$A$7:$O$427,12)</f>
        <v>1208250</v>
      </c>
      <c r="L45" s="103">
        <f>VLOOKUP($A45,'OI(Value)'!$A$7:$O$306,8,0)</f>
        <v>1283</v>
      </c>
      <c r="M45" s="103">
        <f>VLOOKUP($A45,'OI(Value)'!$A$7:$O$306,9,0)</f>
        <v>52</v>
      </c>
      <c r="N45" s="103">
        <f>VLOOKUP($A45,'OI(Value)'!$A$7:$O$306,11,0)</f>
        <v>1069</v>
      </c>
      <c r="O45" s="103">
        <f>VLOOKUP($A45,'OI(Value)'!$A$7:$O$306,12,0)</f>
        <v>15</v>
      </c>
      <c r="P45" s="179">
        <f>VLOOKUP(A45,'OI(Value)'!A45:O246,8,0)</f>
        <v>1283</v>
      </c>
      <c r="Q45" s="179">
        <f>VLOOKUP(A45,'OI(Value)'!A45:O246,9,0)</f>
        <v>52</v>
      </c>
      <c r="R45" s="179">
        <f>VLOOKUP(A45,'OI(Value)'!A45:O246,11,0)</f>
        <v>1069</v>
      </c>
      <c r="S45" s="179">
        <f>VLOOKUP(A45,'OI(Value)'!A45:O246,11,0)</f>
        <v>1069</v>
      </c>
    </row>
    <row r="46" spans="1:19" x14ac:dyDescent="0.25">
      <c r="A46" s="105" t="str">
        <f>'Data shares'!C41</f>
        <v>CDSL</v>
      </c>
      <c r="B46" s="143">
        <f>VLOOKUP($A46,'Data shares'!$C:$FA,118)</f>
        <v>0.7</v>
      </c>
      <c r="C46" s="143">
        <f>VLOOKUP($A46,'Data shares'!$C:$FA,119)</f>
        <v>0.71</v>
      </c>
      <c r="D46" s="143">
        <f>VLOOKUP($A46,'Data shares'!$C:$FA,121)*100</f>
        <v>-1.41</v>
      </c>
      <c r="E46" s="143">
        <f>VLOOKUP($A46,'Data shares'!$C:$FA,124)</f>
        <v>0.47</v>
      </c>
      <c r="F46" s="143">
        <f>VLOOKUP($A46,'Data shares'!$C:$FA,125)</f>
        <v>0.47</v>
      </c>
      <c r="G46" s="143">
        <f>VLOOKUP($A46,'Data shares'!$C:$FA,127)*100</f>
        <v>0</v>
      </c>
      <c r="H46" s="103">
        <f>VLOOKUP($A46,'OI(Volume)'!$A$7:$O$427,8)</f>
        <v>6148400</v>
      </c>
      <c r="I46" s="103">
        <f>VLOOKUP($A46,'OI(Volume)'!$A$7:$O$427,9)</f>
        <v>156750</v>
      </c>
      <c r="J46" s="103">
        <f>VLOOKUP($A46,'OI(Volume)'!$A$7:$O$427,11)</f>
        <v>4279750</v>
      </c>
      <c r="K46" s="103">
        <f>VLOOKUP($A46,'OI(Volume)'!$A$7:$O$427,12)</f>
        <v>45125</v>
      </c>
      <c r="L46" s="103">
        <f>VLOOKUP($A46,'OI(Value)'!$A$7:$O$306,8,0)</f>
        <v>1000</v>
      </c>
      <c r="M46" s="103">
        <f>VLOOKUP($A46,'OI(Value)'!$A$7:$O$306,9,0)</f>
        <v>25</v>
      </c>
      <c r="N46" s="103">
        <f>VLOOKUP($A46,'OI(Value)'!$A$7:$O$306,11,0)</f>
        <v>696</v>
      </c>
      <c r="O46" s="103">
        <f>VLOOKUP($A46,'OI(Value)'!$A$7:$O$306,12,0)</f>
        <v>7</v>
      </c>
      <c r="P46" s="179">
        <f>VLOOKUP(A46,'OI(Value)'!A46:O247,8,0)</f>
        <v>1000</v>
      </c>
      <c r="Q46" s="179">
        <f>VLOOKUP(A46,'OI(Value)'!A46:O247,9,0)</f>
        <v>25</v>
      </c>
      <c r="R46" s="179">
        <f>VLOOKUP(A46,'OI(Value)'!A46:O247,11,0)</f>
        <v>696</v>
      </c>
      <c r="S46" s="179">
        <f>VLOOKUP(A46,'OI(Value)'!A46:O247,11,0)</f>
        <v>696</v>
      </c>
    </row>
    <row r="47" spans="1:19" x14ac:dyDescent="0.25">
      <c r="A47" s="105" t="str">
        <f>'Data shares'!C42</f>
        <v>CGPOWER</v>
      </c>
      <c r="B47" s="143">
        <f>VLOOKUP($A47,'Data shares'!$C:$FA,118)</f>
        <v>0.6</v>
      </c>
      <c r="C47" s="143">
        <f>VLOOKUP($A47,'Data shares'!$C:$FA,119)</f>
        <v>0.56999999999999995</v>
      </c>
      <c r="D47" s="143">
        <f>VLOOKUP($A47,'Data shares'!$C:$FA,121)*100</f>
        <v>5.26</v>
      </c>
      <c r="E47" s="143">
        <f>VLOOKUP($A47,'Data shares'!$C:$FA,124)</f>
        <v>0.37</v>
      </c>
      <c r="F47" s="143">
        <f>VLOOKUP($A47,'Data shares'!$C:$FA,125)</f>
        <v>0.36</v>
      </c>
      <c r="G47" s="143">
        <f>VLOOKUP($A47,'Data shares'!$C:$FA,127)*100</f>
        <v>2.78</v>
      </c>
      <c r="H47" s="103">
        <f>VLOOKUP($A47,'OI(Volume)'!$A$7:$O$427,8)</f>
        <v>6631700</v>
      </c>
      <c r="I47" s="103">
        <f>VLOOKUP($A47,'OI(Volume)'!$A$7:$O$427,9)</f>
        <v>-215900</v>
      </c>
      <c r="J47" s="103">
        <f>VLOOKUP($A47,'OI(Volume)'!$A$7:$O$427,11)</f>
        <v>3990750</v>
      </c>
      <c r="K47" s="103">
        <f>VLOOKUP($A47,'OI(Volume)'!$A$7:$O$427,12)</f>
        <v>79900</v>
      </c>
      <c r="L47" s="103">
        <f>VLOOKUP($A47,'OI(Value)'!$A$7:$O$306,8,0)</f>
        <v>506</v>
      </c>
      <c r="M47" s="103">
        <f>VLOOKUP($A47,'OI(Value)'!$A$7:$O$306,9,0)</f>
        <v>-16</v>
      </c>
      <c r="N47" s="103">
        <f>VLOOKUP($A47,'OI(Value)'!$A$7:$O$306,11,0)</f>
        <v>305</v>
      </c>
      <c r="O47" s="103">
        <f>VLOOKUP($A47,'OI(Value)'!$A$7:$O$306,12,0)</f>
        <v>6</v>
      </c>
      <c r="P47" s="179">
        <f>VLOOKUP(A47,'OI(Value)'!A47:O248,8,0)</f>
        <v>506</v>
      </c>
      <c r="Q47" s="179">
        <f>VLOOKUP(A47,'OI(Value)'!A47:O248,9,0)</f>
        <v>-16</v>
      </c>
      <c r="R47" s="179">
        <f>VLOOKUP(A47,'OI(Value)'!A47:O248,11,0)</f>
        <v>305</v>
      </c>
      <c r="S47" s="179">
        <f>VLOOKUP(A47,'OI(Value)'!A47:O248,11,0)</f>
        <v>305</v>
      </c>
    </row>
    <row r="48" spans="1:19" x14ac:dyDescent="0.25">
      <c r="A48" s="105" t="str">
        <f>'Data shares'!C43</f>
        <v>CHOLAFIN</v>
      </c>
      <c r="B48" s="143">
        <f>VLOOKUP($A48,'Data shares'!$C:$FA,118)</f>
        <v>0.6</v>
      </c>
      <c r="C48" s="143">
        <f>VLOOKUP($A48,'Data shares'!$C:$FA,119)</f>
        <v>0.75</v>
      </c>
      <c r="D48" s="143">
        <f>VLOOKUP($A48,'Data shares'!$C:$FA,121)*100</f>
        <v>-20</v>
      </c>
      <c r="E48" s="143">
        <f>VLOOKUP($A48,'Data shares'!$C:$FA,124)</f>
        <v>0.36</v>
      </c>
      <c r="F48" s="143">
        <f>VLOOKUP($A48,'Data shares'!$C:$FA,125)</f>
        <v>0.33</v>
      </c>
      <c r="G48" s="143">
        <f>VLOOKUP($A48,'Data shares'!$C:$FA,127)*100</f>
        <v>9.09</v>
      </c>
      <c r="H48" s="103">
        <f>VLOOKUP($A48,'OI(Volume)'!$A$7:$O$427,8)</f>
        <v>3974375</v>
      </c>
      <c r="I48" s="103">
        <f>VLOOKUP($A48,'OI(Volume)'!$A$7:$O$427,9)</f>
        <v>830000</v>
      </c>
      <c r="J48" s="103">
        <f>VLOOKUP($A48,'OI(Volume)'!$A$7:$O$427,11)</f>
        <v>2400625</v>
      </c>
      <c r="K48" s="103">
        <f>VLOOKUP($A48,'OI(Volume)'!$A$7:$O$427,12)</f>
        <v>27500</v>
      </c>
      <c r="L48" s="103">
        <f>VLOOKUP($A48,'OI(Value)'!$A$7:$O$306,8,0)</f>
        <v>661</v>
      </c>
      <c r="M48" s="103">
        <f>VLOOKUP($A48,'OI(Value)'!$A$7:$O$306,9,0)</f>
        <v>138</v>
      </c>
      <c r="N48" s="103">
        <f>VLOOKUP($A48,'OI(Value)'!$A$7:$O$306,11,0)</f>
        <v>399</v>
      </c>
      <c r="O48" s="103">
        <f>VLOOKUP($A48,'OI(Value)'!$A$7:$O$306,12,0)</f>
        <v>5</v>
      </c>
      <c r="P48" s="179">
        <f>VLOOKUP(A48,'OI(Value)'!A48:O249,8,0)</f>
        <v>661</v>
      </c>
      <c r="Q48" s="179">
        <f>VLOOKUP(A48,'OI(Value)'!A48:O249,9,0)</f>
        <v>138</v>
      </c>
      <c r="R48" s="179">
        <f>VLOOKUP(A48,'OI(Value)'!A48:O249,11,0)</f>
        <v>399</v>
      </c>
      <c r="S48" s="179">
        <f>VLOOKUP(A48,'OI(Value)'!A48:O249,11,0)</f>
        <v>399</v>
      </c>
    </row>
    <row r="49" spans="1:19" x14ac:dyDescent="0.25">
      <c r="A49" s="105" t="str">
        <f>'Data shares'!C44</f>
        <v>CIPLA</v>
      </c>
      <c r="B49" s="143">
        <f>VLOOKUP($A49,'Data shares'!$C:$FA,118)</f>
        <v>0.41</v>
      </c>
      <c r="C49" s="143">
        <f>VLOOKUP($A49,'Data shares'!$C:$FA,119)</f>
        <v>0.44</v>
      </c>
      <c r="D49" s="143">
        <f>VLOOKUP($A49,'Data shares'!$C:$FA,121)*100</f>
        <v>-6.8199999999999994</v>
      </c>
      <c r="E49" s="143">
        <f>VLOOKUP($A49,'Data shares'!$C:$FA,124)</f>
        <v>0.24</v>
      </c>
      <c r="F49" s="143">
        <f>VLOOKUP($A49,'Data shares'!$C:$FA,125)</f>
        <v>0.26</v>
      </c>
      <c r="G49" s="143">
        <f>VLOOKUP($A49,'Data shares'!$C:$FA,127)*100</f>
        <v>-7.6899999999999995</v>
      </c>
      <c r="H49" s="103">
        <f>VLOOKUP($A49,'OI(Volume)'!$A$7:$O$427,8)</f>
        <v>7926750</v>
      </c>
      <c r="I49" s="103">
        <f>VLOOKUP($A49,'OI(Volume)'!$A$7:$O$427,9)</f>
        <v>612375</v>
      </c>
      <c r="J49" s="103">
        <f>VLOOKUP($A49,'OI(Volume)'!$A$7:$O$427,11)</f>
        <v>3231750</v>
      </c>
      <c r="K49" s="103">
        <f>VLOOKUP($A49,'OI(Volume)'!$A$7:$O$427,12)</f>
        <v>42375</v>
      </c>
      <c r="L49" s="103">
        <f>VLOOKUP($A49,'OI(Value)'!$A$7:$O$306,8,0)</f>
        <v>1246</v>
      </c>
      <c r="M49" s="103">
        <f>VLOOKUP($A49,'OI(Value)'!$A$7:$O$306,9,0)</f>
        <v>96</v>
      </c>
      <c r="N49" s="103">
        <f>VLOOKUP($A49,'OI(Value)'!$A$7:$O$306,11,0)</f>
        <v>508</v>
      </c>
      <c r="O49" s="103">
        <f>VLOOKUP($A49,'OI(Value)'!$A$7:$O$306,12,0)</f>
        <v>7</v>
      </c>
      <c r="P49" s="179">
        <f>VLOOKUP(A49,'OI(Value)'!A49:O250,8,0)</f>
        <v>1246</v>
      </c>
      <c r="Q49" s="179">
        <f>VLOOKUP(A49,'OI(Value)'!A49:O250,9,0)</f>
        <v>96</v>
      </c>
      <c r="R49" s="179">
        <f>VLOOKUP(A49,'OI(Value)'!A49:O250,11,0)</f>
        <v>508</v>
      </c>
      <c r="S49" s="179">
        <f>VLOOKUP(A49,'OI(Value)'!A49:O250,11,0)</f>
        <v>508</v>
      </c>
    </row>
    <row r="50" spans="1:19" x14ac:dyDescent="0.25">
      <c r="A50" s="105" t="str">
        <f>'Data shares'!C45</f>
        <v>COALINDIA</v>
      </c>
      <c r="B50" s="143">
        <f>VLOOKUP($A50,'Data shares'!$C:$FA,118)</f>
        <v>0.68</v>
      </c>
      <c r="C50" s="143">
        <f>VLOOKUP($A50,'Data shares'!$C:$FA,119)</f>
        <v>0.69</v>
      </c>
      <c r="D50" s="143">
        <f>VLOOKUP($A50,'Data shares'!$C:$FA,121)*100</f>
        <v>-1.4500000000000002</v>
      </c>
      <c r="E50" s="143">
        <f>VLOOKUP($A50,'Data shares'!$C:$FA,124)</f>
        <v>0.71</v>
      </c>
      <c r="F50" s="143">
        <f>VLOOKUP($A50,'Data shares'!$C:$FA,125)</f>
        <v>0.7</v>
      </c>
      <c r="G50" s="143">
        <f>VLOOKUP($A50,'Data shares'!$C:$FA,127)*100</f>
        <v>1.43</v>
      </c>
      <c r="H50" s="103">
        <f>VLOOKUP($A50,'OI(Volume)'!$A$7:$O$427,8)</f>
        <v>29853900</v>
      </c>
      <c r="I50" s="103">
        <f>VLOOKUP($A50,'OI(Volume)'!$A$7:$O$427,9)</f>
        <v>135000</v>
      </c>
      <c r="J50" s="103">
        <f>VLOOKUP($A50,'OI(Volume)'!$A$7:$O$427,11)</f>
        <v>20198700</v>
      </c>
      <c r="K50" s="103">
        <f>VLOOKUP($A50,'OI(Volume)'!$A$7:$O$427,12)</f>
        <v>-287550</v>
      </c>
      <c r="L50" s="103">
        <f>VLOOKUP($A50,'OI(Value)'!$A$7:$O$306,8,0)</f>
        <v>1161</v>
      </c>
      <c r="M50" s="103">
        <f>VLOOKUP($A50,'OI(Value)'!$A$7:$O$306,9,0)</f>
        <v>5</v>
      </c>
      <c r="N50" s="103">
        <f>VLOOKUP($A50,'OI(Value)'!$A$7:$O$306,11,0)</f>
        <v>785</v>
      </c>
      <c r="O50" s="103">
        <f>VLOOKUP($A50,'OI(Value)'!$A$7:$O$306,12,0)</f>
        <v>-11</v>
      </c>
      <c r="P50" s="179">
        <f>VLOOKUP(A50,'OI(Value)'!A50:O251,8,0)</f>
        <v>1161</v>
      </c>
      <c r="Q50" s="179">
        <f>VLOOKUP(A50,'OI(Value)'!A50:O251,9,0)</f>
        <v>5</v>
      </c>
      <c r="R50" s="179">
        <f>VLOOKUP(A50,'OI(Value)'!A50:O251,11,0)</f>
        <v>785</v>
      </c>
      <c r="S50" s="179">
        <f>VLOOKUP(A50,'OI(Value)'!A50:O251,11,0)</f>
        <v>785</v>
      </c>
    </row>
    <row r="51" spans="1:19" x14ac:dyDescent="0.25">
      <c r="A51" s="105" t="str">
        <f>'Data shares'!C46</f>
        <v>COFORGE</v>
      </c>
      <c r="B51" s="143">
        <f>VLOOKUP($A51,'Data shares'!$C:$FA,118)</f>
        <v>0.71</v>
      </c>
      <c r="C51" s="143">
        <f>VLOOKUP($A51,'Data shares'!$C:$FA,119)</f>
        <v>0.68</v>
      </c>
      <c r="D51" s="143">
        <f>VLOOKUP($A51,'Data shares'!$C:$FA,121)*100</f>
        <v>4.41</v>
      </c>
      <c r="E51" s="143">
        <f>VLOOKUP($A51,'Data shares'!$C:$FA,124)</f>
        <v>0.46</v>
      </c>
      <c r="F51" s="143">
        <f>VLOOKUP($A51,'Data shares'!$C:$FA,125)</f>
        <v>0.25</v>
      </c>
      <c r="G51" s="143">
        <f>VLOOKUP($A51,'Data shares'!$C:$FA,127)*100</f>
        <v>84</v>
      </c>
      <c r="H51" s="103">
        <f>VLOOKUP($A51,'OI(Volume)'!$A$7:$O$427,8)</f>
        <v>4655250</v>
      </c>
      <c r="I51" s="103">
        <f>VLOOKUP($A51,'OI(Volume)'!$A$7:$O$427,9)</f>
        <v>-20625</v>
      </c>
      <c r="J51" s="103">
        <f>VLOOKUP($A51,'OI(Volume)'!$A$7:$O$427,11)</f>
        <v>3298125</v>
      </c>
      <c r="K51" s="103">
        <f>VLOOKUP($A51,'OI(Volume)'!$A$7:$O$427,12)</f>
        <v>121125</v>
      </c>
      <c r="L51" s="103">
        <f>VLOOKUP($A51,'OI(Value)'!$A$7:$O$306,8,0)</f>
        <v>822</v>
      </c>
      <c r="M51" s="103">
        <f>VLOOKUP($A51,'OI(Value)'!$A$7:$O$306,9,0)</f>
        <v>-4</v>
      </c>
      <c r="N51" s="103">
        <f>VLOOKUP($A51,'OI(Value)'!$A$7:$O$306,11,0)</f>
        <v>582</v>
      </c>
      <c r="O51" s="103">
        <f>VLOOKUP($A51,'OI(Value)'!$A$7:$O$306,12,0)</f>
        <v>21</v>
      </c>
      <c r="P51" s="179">
        <f>VLOOKUP(A51,'OI(Value)'!A51:O252,8,0)</f>
        <v>822</v>
      </c>
      <c r="Q51" s="179">
        <f>VLOOKUP(A51,'OI(Value)'!A51:O252,9,0)</f>
        <v>-4</v>
      </c>
      <c r="R51" s="179">
        <f>VLOOKUP(A51,'OI(Value)'!A51:O252,11,0)</f>
        <v>582</v>
      </c>
      <c r="S51" s="179">
        <f>VLOOKUP(A51,'OI(Value)'!A51:O252,11,0)</f>
        <v>582</v>
      </c>
    </row>
    <row r="52" spans="1:19" x14ac:dyDescent="0.25">
      <c r="A52" s="105" t="str">
        <f>'Data shares'!C47</f>
        <v>COLPAL</v>
      </c>
      <c r="B52" s="143">
        <f>VLOOKUP($A52,'Data shares'!$C:$FA,118)</f>
        <v>0.75</v>
      </c>
      <c r="C52" s="143">
        <f>VLOOKUP($A52,'Data shares'!$C:$FA,119)</f>
        <v>0.71</v>
      </c>
      <c r="D52" s="143">
        <f>VLOOKUP($A52,'Data shares'!$C:$FA,121)*100</f>
        <v>5.63</v>
      </c>
      <c r="E52" s="143">
        <f>VLOOKUP($A52,'Data shares'!$C:$FA,124)</f>
        <v>0.31</v>
      </c>
      <c r="F52" s="143">
        <f>VLOOKUP($A52,'Data shares'!$C:$FA,125)</f>
        <v>0.36</v>
      </c>
      <c r="G52" s="143">
        <f>VLOOKUP($A52,'Data shares'!$C:$FA,127)*100</f>
        <v>-13.889999999999999</v>
      </c>
      <c r="H52" s="103">
        <f>VLOOKUP($A52,'OI(Volume)'!$A$7:$O$427,8)</f>
        <v>1778175</v>
      </c>
      <c r="I52" s="103">
        <f>VLOOKUP($A52,'OI(Volume)'!$A$7:$O$427,9)</f>
        <v>-256050</v>
      </c>
      <c r="J52" s="103">
        <f>VLOOKUP($A52,'OI(Volume)'!$A$7:$O$427,11)</f>
        <v>1330425</v>
      </c>
      <c r="K52" s="103">
        <f>VLOOKUP($A52,'OI(Volume)'!$A$7:$O$427,12)</f>
        <v>-112950</v>
      </c>
      <c r="L52" s="103">
        <f>VLOOKUP($A52,'OI(Value)'!$A$7:$O$306,8,0)</f>
        <v>408</v>
      </c>
      <c r="M52" s="103">
        <f>VLOOKUP($A52,'OI(Value)'!$A$7:$O$306,9,0)</f>
        <v>-59</v>
      </c>
      <c r="N52" s="103">
        <f>VLOOKUP($A52,'OI(Value)'!$A$7:$O$306,11,0)</f>
        <v>305</v>
      </c>
      <c r="O52" s="103">
        <f>VLOOKUP($A52,'OI(Value)'!$A$7:$O$306,12,0)</f>
        <v>-26</v>
      </c>
      <c r="P52" s="179">
        <f>VLOOKUP(A52,'OI(Value)'!A52:O253,8,0)</f>
        <v>408</v>
      </c>
      <c r="Q52" s="179">
        <f>VLOOKUP(A52,'OI(Value)'!A52:O253,9,0)</f>
        <v>-59</v>
      </c>
      <c r="R52" s="179">
        <f>VLOOKUP(A52,'OI(Value)'!A52:O253,11,0)</f>
        <v>305</v>
      </c>
      <c r="S52" s="179">
        <f>VLOOKUP(A52,'OI(Value)'!A52:O253,11,0)</f>
        <v>305</v>
      </c>
    </row>
    <row r="53" spans="1:19" x14ac:dyDescent="0.25">
      <c r="A53" s="105" t="str">
        <f>'Data shares'!C48</f>
        <v>CONCOR</v>
      </c>
      <c r="B53" s="143">
        <f>VLOOKUP($A53,'Data shares'!$C:$FA,118)</f>
        <v>0.7</v>
      </c>
      <c r="C53" s="143">
        <f>VLOOKUP($A53,'Data shares'!$C:$FA,119)</f>
        <v>0.68</v>
      </c>
      <c r="D53" s="143">
        <f>VLOOKUP($A53,'Data shares'!$C:$FA,121)*100</f>
        <v>2.94</v>
      </c>
      <c r="E53" s="143">
        <f>VLOOKUP($A53,'Data shares'!$C:$FA,124)</f>
        <v>0.36</v>
      </c>
      <c r="F53" s="143">
        <f>VLOOKUP($A53,'Data shares'!$C:$FA,125)</f>
        <v>0.32</v>
      </c>
      <c r="G53" s="143">
        <f>VLOOKUP($A53,'Data shares'!$C:$FA,127)*100</f>
        <v>12.5</v>
      </c>
      <c r="H53" s="103">
        <f>VLOOKUP($A53,'OI(Volume)'!$A$7:$O$427,8)</f>
        <v>11216250</v>
      </c>
      <c r="I53" s="103">
        <f>VLOOKUP($A53,'OI(Volume)'!$A$7:$O$427,9)</f>
        <v>-577500</v>
      </c>
      <c r="J53" s="103">
        <f>VLOOKUP($A53,'OI(Volume)'!$A$7:$O$427,11)</f>
        <v>7891250</v>
      </c>
      <c r="K53" s="103">
        <f>VLOOKUP($A53,'OI(Volume)'!$A$7:$O$427,12)</f>
        <v>-135000</v>
      </c>
      <c r="L53" s="103">
        <f>VLOOKUP($A53,'OI(Value)'!$A$7:$O$306,8,0)</f>
        <v>601</v>
      </c>
      <c r="M53" s="103">
        <f>VLOOKUP($A53,'OI(Value)'!$A$7:$O$306,9,0)</f>
        <v>-31</v>
      </c>
      <c r="N53" s="103">
        <f>VLOOKUP($A53,'OI(Value)'!$A$7:$O$306,11,0)</f>
        <v>423</v>
      </c>
      <c r="O53" s="103">
        <f>VLOOKUP($A53,'OI(Value)'!$A$7:$O$306,12,0)</f>
        <v>-7</v>
      </c>
      <c r="P53" s="179">
        <f>VLOOKUP(A53,'OI(Value)'!A53:O254,8,0)</f>
        <v>601</v>
      </c>
      <c r="Q53" s="179">
        <f>VLOOKUP(A53,'OI(Value)'!A53:O254,9,0)</f>
        <v>-31</v>
      </c>
      <c r="R53" s="179">
        <f>VLOOKUP(A53,'OI(Value)'!A53:O254,11,0)</f>
        <v>423</v>
      </c>
      <c r="S53" s="179">
        <f>VLOOKUP(A53,'OI(Value)'!A53:O254,11,0)</f>
        <v>423</v>
      </c>
    </row>
    <row r="54" spans="1:19" x14ac:dyDescent="0.25">
      <c r="A54" s="105" t="str">
        <f>'Data shares'!C49</f>
        <v>CROMPTON</v>
      </c>
      <c r="B54" s="143">
        <f>VLOOKUP($A54,'Data shares'!$C:$FA,118)</f>
        <v>0.54</v>
      </c>
      <c r="C54" s="143">
        <f>VLOOKUP($A54,'Data shares'!$C:$FA,119)</f>
        <v>0.54</v>
      </c>
      <c r="D54" s="143">
        <f>VLOOKUP($A54,'Data shares'!$C:$FA,121)*100</f>
        <v>0</v>
      </c>
      <c r="E54" s="143">
        <f>VLOOKUP($A54,'Data shares'!$C:$FA,124)</f>
        <v>0.27</v>
      </c>
      <c r="F54" s="143">
        <f>VLOOKUP($A54,'Data shares'!$C:$FA,125)</f>
        <v>0.28999999999999998</v>
      </c>
      <c r="G54" s="143">
        <f>VLOOKUP($A54,'Data shares'!$C:$FA,127)*100</f>
        <v>-6.9</v>
      </c>
      <c r="H54" s="103">
        <f>VLOOKUP($A54,'OI(Volume)'!$A$7:$O$427,8)</f>
        <v>20017800</v>
      </c>
      <c r="I54" s="103">
        <f>VLOOKUP($A54,'OI(Volume)'!$A$7:$O$427,9)</f>
        <v>-45000</v>
      </c>
      <c r="J54" s="103">
        <f>VLOOKUP($A54,'OI(Volume)'!$A$7:$O$427,11)</f>
        <v>10863000</v>
      </c>
      <c r="K54" s="103">
        <f>VLOOKUP($A54,'OI(Volume)'!$A$7:$O$427,12)</f>
        <v>99000</v>
      </c>
      <c r="L54" s="103">
        <f>VLOOKUP($A54,'OI(Value)'!$A$7:$O$306,8,0)</f>
        <v>580</v>
      </c>
      <c r="M54" s="103">
        <f>VLOOKUP($A54,'OI(Value)'!$A$7:$O$306,9,0)</f>
        <v>-1</v>
      </c>
      <c r="N54" s="103">
        <f>VLOOKUP($A54,'OI(Value)'!$A$7:$O$306,11,0)</f>
        <v>315</v>
      </c>
      <c r="O54" s="103">
        <f>VLOOKUP($A54,'OI(Value)'!$A$7:$O$306,12,0)</f>
        <v>3</v>
      </c>
      <c r="P54" s="179">
        <f>VLOOKUP(A54,'OI(Value)'!A54:O255,8,0)</f>
        <v>580</v>
      </c>
      <c r="Q54" s="179">
        <f>VLOOKUP(A54,'OI(Value)'!A54:O255,9,0)</f>
        <v>-1</v>
      </c>
      <c r="R54" s="179">
        <f>VLOOKUP(A54,'OI(Value)'!A54:O255,11,0)</f>
        <v>315</v>
      </c>
      <c r="S54" s="179">
        <f>VLOOKUP(A54,'OI(Value)'!A54:O255,11,0)</f>
        <v>315</v>
      </c>
    </row>
    <row r="55" spans="1:19" x14ac:dyDescent="0.25">
      <c r="A55" s="105" t="str">
        <f>'Data shares'!C50</f>
        <v>CUMMINSIND</v>
      </c>
      <c r="B55" s="143">
        <f>VLOOKUP($A55,'Data shares'!$C:$FA,118)</f>
        <v>0.63</v>
      </c>
      <c r="C55" s="143">
        <f>VLOOKUP($A55,'Data shares'!$C:$FA,119)</f>
        <v>0.7</v>
      </c>
      <c r="D55" s="143">
        <f>VLOOKUP($A55,'Data shares'!$C:$FA,121)*100</f>
        <v>-10</v>
      </c>
      <c r="E55" s="143">
        <f>VLOOKUP($A55,'Data shares'!$C:$FA,124)</f>
        <v>0.26</v>
      </c>
      <c r="F55" s="143">
        <f>VLOOKUP($A55,'Data shares'!$C:$FA,125)</f>
        <v>0.34</v>
      </c>
      <c r="G55" s="143">
        <f>VLOOKUP($A55,'Data shares'!$C:$FA,127)*100</f>
        <v>-23.53</v>
      </c>
      <c r="H55" s="103">
        <f>VLOOKUP($A55,'OI(Volume)'!$A$7:$O$427,8)</f>
        <v>934200</v>
      </c>
      <c r="I55" s="103">
        <f>VLOOKUP($A55,'OI(Volume)'!$A$7:$O$427,9)</f>
        <v>139200</v>
      </c>
      <c r="J55" s="103">
        <f>VLOOKUP($A55,'OI(Volume)'!$A$7:$O$427,11)</f>
        <v>592000</v>
      </c>
      <c r="K55" s="103">
        <f>VLOOKUP($A55,'OI(Volume)'!$A$7:$O$427,12)</f>
        <v>35200</v>
      </c>
      <c r="L55" s="103">
        <f>VLOOKUP($A55,'OI(Value)'!$A$7:$O$306,8,0)</f>
        <v>369</v>
      </c>
      <c r="M55" s="103">
        <f>VLOOKUP($A55,'OI(Value)'!$A$7:$O$306,9,0)</f>
        <v>55</v>
      </c>
      <c r="N55" s="103">
        <f>VLOOKUP($A55,'OI(Value)'!$A$7:$O$306,11,0)</f>
        <v>234</v>
      </c>
      <c r="O55" s="103">
        <f>VLOOKUP($A55,'OI(Value)'!$A$7:$O$306,12,0)</f>
        <v>14</v>
      </c>
      <c r="P55" s="179">
        <f>VLOOKUP(A55,'OI(Value)'!A55:O256,8,0)</f>
        <v>369</v>
      </c>
      <c r="Q55" s="179">
        <f>VLOOKUP(A55,'OI(Value)'!A55:O256,9,0)</f>
        <v>55</v>
      </c>
      <c r="R55" s="179">
        <f>VLOOKUP(A55,'OI(Value)'!A55:O256,11,0)</f>
        <v>234</v>
      </c>
      <c r="S55" s="179">
        <f>VLOOKUP(A55,'OI(Value)'!A55:O256,11,0)</f>
        <v>234</v>
      </c>
    </row>
    <row r="56" spans="1:19" x14ac:dyDescent="0.25">
      <c r="A56" s="105" t="str">
        <f>'Data shares'!C51</f>
        <v>CYIENT</v>
      </c>
      <c r="B56" s="143">
        <f>VLOOKUP($A56,'Data shares'!$C:$FA,118)</f>
        <v>0.69</v>
      </c>
      <c r="C56" s="143">
        <f>VLOOKUP($A56,'Data shares'!$C:$FA,119)</f>
        <v>0.53</v>
      </c>
      <c r="D56" s="143">
        <f>VLOOKUP($A56,'Data shares'!$C:$FA,121)*100</f>
        <v>30.19</v>
      </c>
      <c r="E56" s="143">
        <f>VLOOKUP($A56,'Data shares'!$C:$FA,124)</f>
        <v>0.6</v>
      </c>
      <c r="F56" s="143">
        <f>VLOOKUP($A56,'Data shares'!$C:$FA,125)</f>
        <v>0.86</v>
      </c>
      <c r="G56" s="143">
        <f>VLOOKUP($A56,'Data shares'!$C:$FA,127)*100</f>
        <v>-30.23</v>
      </c>
      <c r="H56" s="103">
        <f>VLOOKUP($A56,'OI(Volume)'!$A$7:$O$427,8)</f>
        <v>3945700</v>
      </c>
      <c r="I56" s="103">
        <f>VLOOKUP($A56,'OI(Volume)'!$A$7:$O$427,9)</f>
        <v>995775</v>
      </c>
      <c r="J56" s="103">
        <f>VLOOKUP($A56,'OI(Volume)'!$A$7:$O$427,11)</f>
        <v>2708100</v>
      </c>
      <c r="K56" s="103">
        <f>VLOOKUP($A56,'OI(Volume)'!$A$7:$O$427,12)</f>
        <v>1154725</v>
      </c>
      <c r="L56" s="103">
        <f>VLOOKUP($A56,'OI(Value)'!$A$7:$O$306,8,0)</f>
        <v>463</v>
      </c>
      <c r="M56" s="103">
        <f>VLOOKUP($A56,'OI(Value)'!$A$7:$O$306,9,0)</f>
        <v>117</v>
      </c>
      <c r="N56" s="103">
        <f>VLOOKUP($A56,'OI(Value)'!$A$7:$O$306,11,0)</f>
        <v>317</v>
      </c>
      <c r="O56" s="103">
        <f>VLOOKUP($A56,'OI(Value)'!$A$7:$O$306,12,0)</f>
        <v>135</v>
      </c>
      <c r="P56" s="179">
        <f>VLOOKUP(A56,'OI(Value)'!A56:O257,8,0)</f>
        <v>463</v>
      </c>
      <c r="Q56" s="179">
        <f>VLOOKUP(A56,'OI(Value)'!A56:O257,9,0)</f>
        <v>117</v>
      </c>
      <c r="R56" s="179">
        <f>VLOOKUP(A56,'OI(Value)'!A56:O257,11,0)</f>
        <v>317</v>
      </c>
      <c r="S56" s="179">
        <f>VLOOKUP(A56,'OI(Value)'!A56:O257,11,0)</f>
        <v>317</v>
      </c>
    </row>
    <row r="57" spans="1:19" x14ac:dyDescent="0.25">
      <c r="A57" s="105" t="str">
        <f>'Data shares'!C52</f>
        <v>DABUR</v>
      </c>
      <c r="B57" s="143">
        <f>VLOOKUP($A57,'Data shares'!$C:$FA,118)</f>
        <v>0.53</v>
      </c>
      <c r="C57" s="143">
        <f>VLOOKUP($A57,'Data shares'!$C:$FA,119)</f>
        <v>0.49</v>
      </c>
      <c r="D57" s="143">
        <f>VLOOKUP($A57,'Data shares'!$C:$FA,121)*100</f>
        <v>8.16</v>
      </c>
      <c r="E57" s="143">
        <f>VLOOKUP($A57,'Data shares'!$C:$FA,124)</f>
        <v>0.45</v>
      </c>
      <c r="F57" s="143">
        <f>VLOOKUP($A57,'Data shares'!$C:$FA,125)</f>
        <v>0.43</v>
      </c>
      <c r="G57" s="143">
        <f>VLOOKUP($A57,'Data shares'!$C:$FA,127)*100</f>
        <v>4.6500000000000004</v>
      </c>
      <c r="H57" s="103">
        <f>VLOOKUP($A57,'OI(Volume)'!$A$7:$O$427,8)</f>
        <v>14881250</v>
      </c>
      <c r="I57" s="103">
        <f>VLOOKUP($A57,'OI(Volume)'!$A$7:$O$427,9)</f>
        <v>-2408750</v>
      </c>
      <c r="J57" s="103">
        <f>VLOOKUP($A57,'OI(Volume)'!$A$7:$O$427,11)</f>
        <v>7878750</v>
      </c>
      <c r="K57" s="103">
        <f>VLOOKUP($A57,'OI(Volume)'!$A$7:$O$427,12)</f>
        <v>-608750</v>
      </c>
      <c r="L57" s="103">
        <f>VLOOKUP($A57,'OI(Value)'!$A$7:$O$306,8,0)</f>
        <v>746</v>
      </c>
      <c r="M57" s="103">
        <f>VLOOKUP($A57,'OI(Value)'!$A$7:$O$306,9,0)</f>
        <v>-121</v>
      </c>
      <c r="N57" s="103">
        <f>VLOOKUP($A57,'OI(Value)'!$A$7:$O$306,11,0)</f>
        <v>395</v>
      </c>
      <c r="O57" s="103">
        <f>VLOOKUP($A57,'OI(Value)'!$A$7:$O$306,12,0)</f>
        <v>-31</v>
      </c>
      <c r="P57" s="179">
        <f>VLOOKUP(A57,'OI(Value)'!A57:O258,8,0)</f>
        <v>746</v>
      </c>
      <c r="Q57" s="179">
        <f>VLOOKUP(A57,'OI(Value)'!A57:O258,9,0)</f>
        <v>-121</v>
      </c>
      <c r="R57" s="179">
        <f>VLOOKUP(A57,'OI(Value)'!A57:O258,11,0)</f>
        <v>395</v>
      </c>
      <c r="S57" s="179">
        <f>VLOOKUP(A57,'OI(Value)'!A57:O258,11,0)</f>
        <v>395</v>
      </c>
    </row>
    <row r="58" spans="1:19" x14ac:dyDescent="0.25">
      <c r="A58" s="105" t="str">
        <f>'Data shares'!C53</f>
        <v>DALBHARAT</v>
      </c>
      <c r="B58" s="143">
        <f>VLOOKUP($A58,'Data shares'!$C:$FA,118)</f>
        <v>0.5</v>
      </c>
      <c r="C58" s="143">
        <f>VLOOKUP($A58,'Data shares'!$C:$FA,119)</f>
        <v>0.55000000000000004</v>
      </c>
      <c r="D58" s="143">
        <f>VLOOKUP($A58,'Data shares'!$C:$FA,121)*100</f>
        <v>-9.09</v>
      </c>
      <c r="E58" s="143">
        <f>VLOOKUP($A58,'Data shares'!$C:$FA,124)</f>
        <v>0.43</v>
      </c>
      <c r="F58" s="143">
        <f>VLOOKUP($A58,'Data shares'!$C:$FA,125)</f>
        <v>0.71</v>
      </c>
      <c r="G58" s="143">
        <f>VLOOKUP($A58,'Data shares'!$C:$FA,127)*100</f>
        <v>-39.44</v>
      </c>
      <c r="H58" s="103">
        <f>VLOOKUP($A58,'OI(Volume)'!$A$7:$O$427,8)</f>
        <v>609700</v>
      </c>
      <c r="I58" s="103">
        <f>VLOOKUP($A58,'OI(Volume)'!$A$7:$O$427,9)</f>
        <v>20800</v>
      </c>
      <c r="J58" s="103">
        <f>VLOOKUP($A58,'OI(Volume)'!$A$7:$O$427,11)</f>
        <v>304850</v>
      </c>
      <c r="K58" s="103">
        <f>VLOOKUP($A58,'OI(Volume)'!$A$7:$O$427,12)</f>
        <v>-16250</v>
      </c>
      <c r="L58" s="103">
        <f>VLOOKUP($A58,'OI(Value)'!$A$7:$O$306,8,0)</f>
        <v>136</v>
      </c>
      <c r="M58" s="103">
        <f>VLOOKUP($A58,'OI(Value)'!$A$7:$O$306,9,0)</f>
        <v>5</v>
      </c>
      <c r="N58" s="103">
        <f>VLOOKUP($A58,'OI(Value)'!$A$7:$O$306,11,0)</f>
        <v>68</v>
      </c>
      <c r="O58" s="103">
        <f>VLOOKUP($A58,'OI(Value)'!$A$7:$O$306,12,0)</f>
        <v>-4</v>
      </c>
      <c r="P58" s="179">
        <f>VLOOKUP(A58,'OI(Value)'!A58:O259,8,0)</f>
        <v>136</v>
      </c>
      <c r="Q58" s="179">
        <f>VLOOKUP(A58,'OI(Value)'!A58:O259,9,0)</f>
        <v>5</v>
      </c>
      <c r="R58" s="179">
        <f>VLOOKUP(A58,'OI(Value)'!A58:O259,11,0)</f>
        <v>68</v>
      </c>
      <c r="S58" s="179">
        <f>VLOOKUP(A58,'OI(Value)'!A58:O259,11,0)</f>
        <v>68</v>
      </c>
    </row>
    <row r="59" spans="1:19" x14ac:dyDescent="0.25">
      <c r="A59" s="105" t="str">
        <f>'Data shares'!C54</f>
        <v>DELHIVERY</v>
      </c>
      <c r="B59" s="143">
        <f>VLOOKUP($A59,'Data shares'!$C:$FA,118)</f>
        <v>0.43</v>
      </c>
      <c r="C59" s="143">
        <f>VLOOKUP($A59,'Data shares'!$C:$FA,119)</f>
        <v>0.55000000000000004</v>
      </c>
      <c r="D59" s="143">
        <f>VLOOKUP($A59,'Data shares'!$C:$FA,121)*100</f>
        <v>-21.82</v>
      </c>
      <c r="E59" s="143">
        <f>VLOOKUP($A59,'Data shares'!$C:$FA,124)</f>
        <v>0.42</v>
      </c>
      <c r="F59" s="143">
        <f>VLOOKUP($A59,'Data shares'!$C:$FA,125)</f>
        <v>0.55000000000000004</v>
      </c>
      <c r="G59" s="143">
        <f>VLOOKUP($A59,'Data shares'!$C:$FA,127)*100</f>
        <v>-23.64</v>
      </c>
      <c r="H59" s="103">
        <f>VLOOKUP($A59,'OI(Volume)'!$A$7:$O$427,8)</f>
        <v>13288300</v>
      </c>
      <c r="I59" s="103">
        <f>VLOOKUP($A59,'OI(Volume)'!$A$7:$O$427,9)</f>
        <v>2730700</v>
      </c>
      <c r="J59" s="103">
        <f>VLOOKUP($A59,'OI(Volume)'!$A$7:$O$427,11)</f>
        <v>5753975</v>
      </c>
      <c r="K59" s="103">
        <f>VLOOKUP($A59,'OI(Volume)'!$A$7:$O$427,12)</f>
        <v>-2075</v>
      </c>
      <c r="L59" s="103">
        <f>VLOOKUP($A59,'OI(Value)'!$A$7:$O$306,8,0)</f>
        <v>596</v>
      </c>
      <c r="M59" s="103">
        <f>VLOOKUP($A59,'OI(Value)'!$A$7:$O$306,9,0)</f>
        <v>122</v>
      </c>
      <c r="N59" s="103">
        <f>VLOOKUP($A59,'OI(Value)'!$A$7:$O$306,11,0)</f>
        <v>258</v>
      </c>
      <c r="O59" s="103">
        <f>VLOOKUP($A59,'OI(Value)'!$A$7:$O$306,12,0)</f>
        <v>0</v>
      </c>
      <c r="P59" s="179">
        <f>VLOOKUP(A59,'OI(Value)'!A59:O260,8,0)</f>
        <v>596</v>
      </c>
      <c r="Q59" s="179">
        <f>VLOOKUP(A59,'OI(Value)'!A59:O260,9,0)</f>
        <v>122</v>
      </c>
      <c r="R59" s="179">
        <f>VLOOKUP(A59,'OI(Value)'!A59:O260,11,0)</f>
        <v>258</v>
      </c>
      <c r="S59" s="179">
        <f>VLOOKUP(A59,'OI(Value)'!A59:O260,11,0)</f>
        <v>258</v>
      </c>
    </row>
    <row r="60" spans="1:19" x14ac:dyDescent="0.25">
      <c r="A60" s="105" t="str">
        <f>'Data shares'!C55</f>
        <v>DIVISLAB</v>
      </c>
      <c r="B60" s="143">
        <f>VLOOKUP($A60,'Data shares'!$C:$FA,118)</f>
        <v>0.99</v>
      </c>
      <c r="C60" s="143">
        <f>VLOOKUP($A60,'Data shares'!$C:$FA,119)</f>
        <v>1.05</v>
      </c>
      <c r="D60" s="143">
        <f>VLOOKUP($A60,'Data shares'!$C:$FA,121)*100</f>
        <v>-5.71</v>
      </c>
      <c r="E60" s="143">
        <f>VLOOKUP($A60,'Data shares'!$C:$FA,124)</f>
        <v>0.59</v>
      </c>
      <c r="F60" s="143">
        <f>VLOOKUP($A60,'Data shares'!$C:$FA,125)</f>
        <v>0.7</v>
      </c>
      <c r="G60" s="143">
        <f>VLOOKUP($A60,'Data shares'!$C:$FA,127)*100</f>
        <v>-15.709999999999999</v>
      </c>
      <c r="H60" s="103">
        <f>VLOOKUP($A60,'OI(Volume)'!$A$7:$O$427,8)</f>
        <v>1751600</v>
      </c>
      <c r="I60" s="103">
        <f>VLOOKUP($A60,'OI(Volume)'!$A$7:$O$427,9)</f>
        <v>88300</v>
      </c>
      <c r="J60" s="103">
        <f>VLOOKUP($A60,'OI(Volume)'!$A$7:$O$427,11)</f>
        <v>1731200</v>
      </c>
      <c r="K60" s="103">
        <f>VLOOKUP($A60,'OI(Volume)'!$A$7:$O$427,12)</f>
        <v>-19700</v>
      </c>
      <c r="L60" s="103">
        <f>VLOOKUP($A60,'OI(Value)'!$A$7:$O$306,8,0)</f>
        <v>1159</v>
      </c>
      <c r="M60" s="103">
        <f>VLOOKUP($A60,'OI(Value)'!$A$7:$O$306,9,0)</f>
        <v>58</v>
      </c>
      <c r="N60" s="103">
        <f>VLOOKUP($A60,'OI(Value)'!$A$7:$O$306,11,0)</f>
        <v>1145</v>
      </c>
      <c r="O60" s="103">
        <f>VLOOKUP($A60,'OI(Value)'!$A$7:$O$306,12,0)</f>
        <v>-13</v>
      </c>
      <c r="P60" s="179">
        <f>VLOOKUP(A60,'OI(Value)'!A60:O261,8,0)</f>
        <v>1159</v>
      </c>
      <c r="Q60" s="179">
        <f>VLOOKUP(A60,'OI(Value)'!A60:O261,9,0)</f>
        <v>58</v>
      </c>
      <c r="R60" s="179">
        <f>VLOOKUP(A60,'OI(Value)'!A60:O261,11,0)</f>
        <v>1145</v>
      </c>
      <c r="S60" s="179">
        <f>VLOOKUP(A60,'OI(Value)'!A60:O261,11,0)</f>
        <v>1145</v>
      </c>
    </row>
    <row r="61" spans="1:19" x14ac:dyDescent="0.25">
      <c r="A61" s="105" t="str">
        <f>'Data shares'!C56</f>
        <v>DIXON</v>
      </c>
      <c r="B61" s="143">
        <f>VLOOKUP($A61,'Data shares'!$C:$FA,118)</f>
        <v>0.66</v>
      </c>
      <c r="C61" s="143">
        <f>VLOOKUP($A61,'Data shares'!$C:$FA,119)</f>
        <v>0.64</v>
      </c>
      <c r="D61" s="143">
        <f>VLOOKUP($A61,'Data shares'!$C:$FA,121)*100</f>
        <v>3.1300000000000003</v>
      </c>
      <c r="E61" s="143">
        <f>VLOOKUP($A61,'Data shares'!$C:$FA,124)</f>
        <v>0.55000000000000004</v>
      </c>
      <c r="F61" s="143">
        <f>VLOOKUP($A61,'Data shares'!$C:$FA,125)</f>
        <v>0.53</v>
      </c>
      <c r="G61" s="143">
        <f>VLOOKUP($A61,'Data shares'!$C:$FA,127)*100</f>
        <v>3.7699999999999996</v>
      </c>
      <c r="H61" s="103">
        <f>VLOOKUP($A61,'OI(Volume)'!$A$7:$O$427,8)</f>
        <v>1236750</v>
      </c>
      <c r="I61" s="103">
        <f>VLOOKUP($A61,'OI(Volume)'!$A$7:$O$427,9)</f>
        <v>-2800</v>
      </c>
      <c r="J61" s="103">
        <f>VLOOKUP($A61,'OI(Volume)'!$A$7:$O$427,11)</f>
        <v>813350</v>
      </c>
      <c r="K61" s="103">
        <f>VLOOKUP($A61,'OI(Volume)'!$A$7:$O$427,12)</f>
        <v>22100</v>
      </c>
      <c r="L61" s="103">
        <f>VLOOKUP($A61,'OI(Value)'!$A$7:$O$306,8,0)</f>
        <v>2091</v>
      </c>
      <c r="M61" s="103">
        <f>VLOOKUP($A61,'OI(Value)'!$A$7:$O$306,9,0)</f>
        <v>-5</v>
      </c>
      <c r="N61" s="103">
        <f>VLOOKUP($A61,'OI(Value)'!$A$7:$O$306,11,0)</f>
        <v>1375</v>
      </c>
      <c r="O61" s="103">
        <f>VLOOKUP($A61,'OI(Value)'!$A$7:$O$306,12,0)</f>
        <v>37</v>
      </c>
      <c r="P61" s="179">
        <f>VLOOKUP(A61,'OI(Value)'!A61:O262,8,0)</f>
        <v>2091</v>
      </c>
      <c r="Q61" s="179">
        <f>VLOOKUP(A61,'OI(Value)'!A61:O262,9,0)</f>
        <v>-5</v>
      </c>
      <c r="R61" s="179">
        <f>VLOOKUP(A61,'OI(Value)'!A61:O262,11,0)</f>
        <v>1375</v>
      </c>
      <c r="S61" s="179">
        <f>VLOOKUP(A61,'OI(Value)'!A61:O262,11,0)</f>
        <v>1375</v>
      </c>
    </row>
    <row r="62" spans="1:19" x14ac:dyDescent="0.25">
      <c r="A62" s="105" t="str">
        <f>'Data shares'!C57</f>
        <v>DLF</v>
      </c>
      <c r="B62" s="143">
        <f>VLOOKUP($A62,'Data shares'!$C:$FA,118)</f>
        <v>0.7</v>
      </c>
      <c r="C62" s="143">
        <f>VLOOKUP($A62,'Data shares'!$C:$FA,119)</f>
        <v>0.69</v>
      </c>
      <c r="D62" s="143">
        <f>VLOOKUP($A62,'Data shares'!$C:$FA,121)*100</f>
        <v>1.4500000000000002</v>
      </c>
      <c r="E62" s="143">
        <f>VLOOKUP($A62,'Data shares'!$C:$FA,124)</f>
        <v>0.41</v>
      </c>
      <c r="F62" s="143">
        <f>VLOOKUP($A62,'Data shares'!$C:$FA,125)</f>
        <v>0.45</v>
      </c>
      <c r="G62" s="143">
        <f>VLOOKUP($A62,'Data shares'!$C:$FA,127)*100</f>
        <v>-8.89</v>
      </c>
      <c r="H62" s="103">
        <f>VLOOKUP($A62,'OI(Volume)'!$A$7:$O$427,8)</f>
        <v>14650350</v>
      </c>
      <c r="I62" s="103">
        <f>VLOOKUP($A62,'OI(Volume)'!$A$7:$O$427,9)</f>
        <v>-260700</v>
      </c>
      <c r="J62" s="103">
        <f>VLOOKUP($A62,'OI(Volume)'!$A$7:$O$427,11)</f>
        <v>10277850</v>
      </c>
      <c r="K62" s="103">
        <f>VLOOKUP($A62,'OI(Volume)'!$A$7:$O$427,12)</f>
        <v>14025</v>
      </c>
      <c r="L62" s="103">
        <f>VLOOKUP($A62,'OI(Value)'!$A$7:$O$306,8,0)</f>
        <v>1129</v>
      </c>
      <c r="M62" s="103">
        <f>VLOOKUP($A62,'OI(Value)'!$A$7:$O$306,9,0)</f>
        <v>-20</v>
      </c>
      <c r="N62" s="103">
        <f>VLOOKUP($A62,'OI(Value)'!$A$7:$O$306,11,0)</f>
        <v>792</v>
      </c>
      <c r="O62" s="103">
        <f>VLOOKUP($A62,'OI(Value)'!$A$7:$O$306,12,0)</f>
        <v>1</v>
      </c>
      <c r="P62" s="179">
        <f>VLOOKUP(A62,'OI(Value)'!A62:O263,8,0)</f>
        <v>1129</v>
      </c>
      <c r="Q62" s="179">
        <f>VLOOKUP(A62,'OI(Value)'!A62:O263,9,0)</f>
        <v>-20</v>
      </c>
      <c r="R62" s="179">
        <f>VLOOKUP(A62,'OI(Value)'!A62:O263,11,0)</f>
        <v>792</v>
      </c>
      <c r="S62" s="179">
        <f>VLOOKUP(A62,'OI(Value)'!A62:O263,11,0)</f>
        <v>792</v>
      </c>
    </row>
    <row r="63" spans="1:19" x14ac:dyDescent="0.25">
      <c r="A63" s="105" t="str">
        <f>'Data shares'!C58</f>
        <v>DMART</v>
      </c>
      <c r="B63" s="143">
        <f>VLOOKUP($A63,'Data shares'!$C:$FA,118)</f>
        <v>0.43</v>
      </c>
      <c r="C63" s="143">
        <f>VLOOKUP($A63,'Data shares'!$C:$FA,119)</f>
        <v>0.39</v>
      </c>
      <c r="D63" s="143">
        <f>VLOOKUP($A63,'Data shares'!$C:$FA,121)*100</f>
        <v>10.26</v>
      </c>
      <c r="E63" s="143">
        <f>VLOOKUP($A63,'Data shares'!$C:$FA,124)</f>
        <v>0.35</v>
      </c>
      <c r="F63" s="143">
        <f>VLOOKUP($A63,'Data shares'!$C:$FA,125)</f>
        <v>0.34</v>
      </c>
      <c r="G63" s="143">
        <f>VLOOKUP($A63,'Data shares'!$C:$FA,127)*100</f>
        <v>2.94</v>
      </c>
      <c r="H63" s="103">
        <f>VLOOKUP($A63,'OI(Volume)'!$A$7:$O$427,8)</f>
        <v>3187200</v>
      </c>
      <c r="I63" s="103">
        <f>VLOOKUP($A63,'OI(Volume)'!$A$7:$O$427,9)</f>
        <v>-537150</v>
      </c>
      <c r="J63" s="103">
        <f>VLOOKUP($A63,'OI(Volume)'!$A$7:$O$427,11)</f>
        <v>1356450</v>
      </c>
      <c r="K63" s="103">
        <f>VLOOKUP($A63,'OI(Volume)'!$A$7:$O$427,12)</f>
        <v>-87150</v>
      </c>
      <c r="L63" s="103">
        <f>VLOOKUP($A63,'OI(Value)'!$A$7:$O$306,8,0)</f>
        <v>1377</v>
      </c>
      <c r="M63" s="103">
        <f>VLOOKUP($A63,'OI(Value)'!$A$7:$O$306,9,0)</f>
        <v>-232</v>
      </c>
      <c r="N63" s="103">
        <f>VLOOKUP($A63,'OI(Value)'!$A$7:$O$306,11,0)</f>
        <v>586</v>
      </c>
      <c r="O63" s="103">
        <f>VLOOKUP($A63,'OI(Value)'!$A$7:$O$306,12,0)</f>
        <v>-38</v>
      </c>
      <c r="P63" s="179">
        <f>VLOOKUP(A63,'OI(Value)'!A63:O264,8,0)</f>
        <v>1377</v>
      </c>
      <c r="Q63" s="179">
        <f>VLOOKUP(A63,'OI(Value)'!A63:O264,9,0)</f>
        <v>-232</v>
      </c>
      <c r="R63" s="179">
        <f>VLOOKUP(A63,'OI(Value)'!A63:O264,11,0)</f>
        <v>586</v>
      </c>
      <c r="S63" s="179">
        <f>VLOOKUP(A63,'OI(Value)'!A63:O264,11,0)</f>
        <v>586</v>
      </c>
    </row>
    <row r="64" spans="1:19" x14ac:dyDescent="0.25">
      <c r="A64" s="105" t="str">
        <f>'Data shares'!C59</f>
        <v>DRREDDY</v>
      </c>
      <c r="B64" s="143">
        <f>VLOOKUP($A64,'Data shares'!$C:$FA,118)</f>
        <v>0.49</v>
      </c>
      <c r="C64" s="143">
        <f>VLOOKUP($A64,'Data shares'!$C:$FA,119)</f>
        <v>0.49</v>
      </c>
      <c r="D64" s="143">
        <f>VLOOKUP($A64,'Data shares'!$C:$FA,121)*100</f>
        <v>0</v>
      </c>
      <c r="E64" s="143">
        <f>VLOOKUP($A64,'Data shares'!$C:$FA,124)</f>
        <v>0.43</v>
      </c>
      <c r="F64" s="143">
        <f>VLOOKUP($A64,'Data shares'!$C:$FA,125)</f>
        <v>0.55000000000000004</v>
      </c>
      <c r="G64" s="143">
        <f>VLOOKUP($A64,'Data shares'!$C:$FA,127)*100</f>
        <v>-21.82</v>
      </c>
      <c r="H64" s="103">
        <f>VLOOKUP($A64,'OI(Volume)'!$A$7:$O$427,8)</f>
        <v>6705000</v>
      </c>
      <c r="I64" s="103">
        <f>VLOOKUP($A64,'OI(Volume)'!$A$7:$O$427,9)</f>
        <v>90625</v>
      </c>
      <c r="J64" s="103">
        <f>VLOOKUP($A64,'OI(Volume)'!$A$7:$O$427,11)</f>
        <v>3267500</v>
      </c>
      <c r="K64" s="103">
        <f>VLOOKUP($A64,'OI(Volume)'!$A$7:$O$427,12)</f>
        <v>21875</v>
      </c>
      <c r="L64" s="103">
        <f>VLOOKUP($A64,'OI(Value)'!$A$7:$O$306,8,0)</f>
        <v>835</v>
      </c>
      <c r="M64" s="103">
        <f>VLOOKUP($A64,'OI(Value)'!$A$7:$O$306,9,0)</f>
        <v>11</v>
      </c>
      <c r="N64" s="103">
        <f>VLOOKUP($A64,'OI(Value)'!$A$7:$O$306,11,0)</f>
        <v>407</v>
      </c>
      <c r="O64" s="103">
        <f>VLOOKUP($A64,'OI(Value)'!$A$7:$O$306,12,0)</f>
        <v>3</v>
      </c>
      <c r="P64" s="179">
        <f>VLOOKUP(A64,'OI(Value)'!A64:O265,8,0)</f>
        <v>835</v>
      </c>
      <c r="Q64" s="179">
        <f>VLOOKUP(A64,'OI(Value)'!A64:O265,9,0)</f>
        <v>11</v>
      </c>
      <c r="R64" s="179">
        <f>VLOOKUP(A64,'OI(Value)'!A64:O265,11,0)</f>
        <v>407</v>
      </c>
      <c r="S64" s="179">
        <f>VLOOKUP(A64,'OI(Value)'!A64:O265,11,0)</f>
        <v>407</v>
      </c>
    </row>
    <row r="65" spans="1:19" x14ac:dyDescent="0.25">
      <c r="A65" s="105" t="str">
        <f>'Data shares'!C60</f>
        <v>EICHERMOT</v>
      </c>
      <c r="B65" s="143">
        <f>VLOOKUP($A65,'Data shares'!$C:$FA,118)</f>
        <v>0.75</v>
      </c>
      <c r="C65" s="143">
        <f>VLOOKUP($A65,'Data shares'!$C:$FA,119)</f>
        <v>0.69</v>
      </c>
      <c r="D65" s="143">
        <f>VLOOKUP($A65,'Data shares'!$C:$FA,121)*100</f>
        <v>8.6999999999999993</v>
      </c>
      <c r="E65" s="143">
        <f>VLOOKUP($A65,'Data shares'!$C:$FA,124)</f>
        <v>0.37</v>
      </c>
      <c r="F65" s="143">
        <f>VLOOKUP($A65,'Data shares'!$C:$FA,125)</f>
        <v>0.51</v>
      </c>
      <c r="G65" s="143">
        <f>VLOOKUP($A65,'Data shares'!$C:$FA,127)*100</f>
        <v>-27.450000000000003</v>
      </c>
      <c r="H65" s="103">
        <f>VLOOKUP($A65,'OI(Volume)'!$A$7:$O$427,8)</f>
        <v>2074100</v>
      </c>
      <c r="I65" s="103">
        <f>VLOOKUP($A65,'OI(Volume)'!$A$7:$O$427,9)</f>
        <v>-175000</v>
      </c>
      <c r="J65" s="103">
        <f>VLOOKUP($A65,'OI(Volume)'!$A$7:$O$427,11)</f>
        <v>1563975</v>
      </c>
      <c r="K65" s="103">
        <f>VLOOKUP($A65,'OI(Volume)'!$A$7:$O$427,12)</f>
        <v>18375</v>
      </c>
      <c r="L65" s="103">
        <f>VLOOKUP($A65,'OI(Value)'!$A$7:$O$306,8,0)</f>
        <v>1455</v>
      </c>
      <c r="M65" s="103">
        <f>VLOOKUP($A65,'OI(Value)'!$A$7:$O$306,9,0)</f>
        <v>-123</v>
      </c>
      <c r="N65" s="103">
        <f>VLOOKUP($A65,'OI(Value)'!$A$7:$O$306,11,0)</f>
        <v>1097</v>
      </c>
      <c r="O65" s="103">
        <f>VLOOKUP($A65,'OI(Value)'!$A$7:$O$306,12,0)</f>
        <v>13</v>
      </c>
      <c r="P65" s="179">
        <f>VLOOKUP(A65,'OI(Value)'!A65:O266,8,0)</f>
        <v>1455</v>
      </c>
      <c r="Q65" s="179">
        <f>VLOOKUP(A65,'OI(Value)'!A65:O266,9,0)</f>
        <v>-123</v>
      </c>
      <c r="R65" s="179">
        <f>VLOOKUP(A65,'OI(Value)'!A65:O266,11,0)</f>
        <v>1097</v>
      </c>
      <c r="S65" s="179">
        <f>VLOOKUP(A65,'OI(Value)'!A65:O266,11,0)</f>
        <v>1097</v>
      </c>
    </row>
    <row r="66" spans="1:19" x14ac:dyDescent="0.25">
      <c r="A66" s="105" t="str">
        <f>'Data shares'!C61</f>
        <v>ETERNAL</v>
      </c>
      <c r="B66" s="143">
        <f>VLOOKUP($A66,'Data shares'!$C:$FA,118)</f>
        <v>0.62</v>
      </c>
      <c r="C66" s="143">
        <f>VLOOKUP($A66,'Data shares'!$C:$FA,119)</f>
        <v>0.71</v>
      </c>
      <c r="D66" s="143">
        <f>VLOOKUP($A66,'Data shares'!$C:$FA,121)*100</f>
        <v>-12.68</v>
      </c>
      <c r="E66" s="143">
        <f>VLOOKUP($A66,'Data shares'!$C:$FA,124)</f>
        <v>0.61</v>
      </c>
      <c r="F66" s="143">
        <f>VLOOKUP($A66,'Data shares'!$C:$FA,125)</f>
        <v>0.44</v>
      </c>
      <c r="G66" s="143">
        <f>VLOOKUP($A66,'Data shares'!$C:$FA,127)*100</f>
        <v>38.64</v>
      </c>
      <c r="H66" s="103">
        <f>VLOOKUP($A66,'OI(Volume)'!$A$7:$O$427,8)</f>
        <v>90360350</v>
      </c>
      <c r="I66" s="103">
        <f>VLOOKUP($A66,'OI(Volume)'!$A$7:$O$427,9)</f>
        <v>29859025</v>
      </c>
      <c r="J66" s="103">
        <f>VLOOKUP($A66,'OI(Volume)'!$A$7:$O$427,11)</f>
        <v>56284250</v>
      </c>
      <c r="K66" s="103">
        <f>VLOOKUP($A66,'OI(Volume)'!$A$7:$O$427,12)</f>
        <v>13575150</v>
      </c>
      <c r="L66" s="103">
        <f>VLOOKUP($A66,'OI(Value)'!$A$7:$O$306,8,0)</f>
        <v>3147</v>
      </c>
      <c r="M66" s="103">
        <f>VLOOKUP($A66,'OI(Value)'!$A$7:$O$306,9,0)</f>
        <v>1040</v>
      </c>
      <c r="N66" s="103">
        <f>VLOOKUP($A66,'OI(Value)'!$A$7:$O$306,11,0)</f>
        <v>1960</v>
      </c>
      <c r="O66" s="103">
        <f>VLOOKUP($A66,'OI(Value)'!$A$7:$O$306,12,0)</f>
        <v>473</v>
      </c>
      <c r="P66" s="179">
        <f>VLOOKUP(A66,'OI(Value)'!A66:O267,8,0)</f>
        <v>3147</v>
      </c>
      <c r="Q66" s="179">
        <f>VLOOKUP(A66,'OI(Value)'!A66:O267,9,0)</f>
        <v>1040</v>
      </c>
      <c r="R66" s="179">
        <f>VLOOKUP(A66,'OI(Value)'!A66:O267,11,0)</f>
        <v>1960</v>
      </c>
      <c r="S66" s="179">
        <f>VLOOKUP(A66,'OI(Value)'!A66:O267,11,0)</f>
        <v>1960</v>
      </c>
    </row>
    <row r="67" spans="1:19" x14ac:dyDescent="0.25">
      <c r="A67" s="105" t="str">
        <f>'Data shares'!C62</f>
        <v>EXIDEIND</v>
      </c>
      <c r="B67" s="143">
        <f>VLOOKUP($A67,'Data shares'!$C:$FA,118)</f>
        <v>0.67</v>
      </c>
      <c r="C67" s="143">
        <f>VLOOKUP($A67,'Data shares'!$C:$FA,119)</f>
        <v>0.64</v>
      </c>
      <c r="D67" s="143">
        <f>VLOOKUP($A67,'Data shares'!$C:$FA,121)*100</f>
        <v>4.6899999999999995</v>
      </c>
      <c r="E67" s="143">
        <f>VLOOKUP($A67,'Data shares'!$C:$FA,124)</f>
        <v>0.53</v>
      </c>
      <c r="F67" s="143">
        <f>VLOOKUP($A67,'Data shares'!$C:$FA,125)</f>
        <v>0.64</v>
      </c>
      <c r="G67" s="143">
        <f>VLOOKUP($A67,'Data shares'!$C:$FA,127)*100</f>
        <v>-17.190000000000001</v>
      </c>
      <c r="H67" s="103">
        <f>VLOOKUP($A67,'OI(Volume)'!$A$7:$O$427,8)</f>
        <v>13030200</v>
      </c>
      <c r="I67" s="103">
        <f>VLOOKUP($A67,'OI(Volume)'!$A$7:$O$427,9)</f>
        <v>-378000</v>
      </c>
      <c r="J67" s="103">
        <f>VLOOKUP($A67,'OI(Volume)'!$A$7:$O$427,11)</f>
        <v>8758800</v>
      </c>
      <c r="K67" s="103">
        <f>VLOOKUP($A67,'OI(Volume)'!$A$7:$O$427,12)</f>
        <v>203400</v>
      </c>
      <c r="L67" s="103">
        <f>VLOOKUP($A67,'OI(Value)'!$A$7:$O$306,8,0)</f>
        <v>520</v>
      </c>
      <c r="M67" s="103">
        <f>VLOOKUP($A67,'OI(Value)'!$A$7:$O$306,9,0)</f>
        <v>-15</v>
      </c>
      <c r="N67" s="103">
        <f>VLOOKUP($A67,'OI(Value)'!$A$7:$O$306,11,0)</f>
        <v>349</v>
      </c>
      <c r="O67" s="103">
        <f>VLOOKUP($A67,'OI(Value)'!$A$7:$O$306,12,0)</f>
        <v>8</v>
      </c>
      <c r="P67" s="179">
        <f>VLOOKUP(A67,'OI(Value)'!A67:O268,8,0)</f>
        <v>520</v>
      </c>
      <c r="Q67" s="179">
        <f>VLOOKUP(A67,'OI(Value)'!A67:O268,9,0)</f>
        <v>-15</v>
      </c>
      <c r="R67" s="179">
        <f>VLOOKUP(A67,'OI(Value)'!A67:O268,11,0)</f>
        <v>349</v>
      </c>
      <c r="S67" s="179">
        <f>VLOOKUP(A67,'OI(Value)'!A67:O268,11,0)</f>
        <v>349</v>
      </c>
    </row>
    <row r="68" spans="1:19" x14ac:dyDescent="0.25">
      <c r="A68" s="105" t="str">
        <f>'Data shares'!C63</f>
        <v>FEDERALBNK</v>
      </c>
      <c r="B68" s="143">
        <f>VLOOKUP($A68,'Data shares'!$C:$FA,118)</f>
        <v>0.66</v>
      </c>
      <c r="C68" s="143">
        <f>VLOOKUP($A68,'Data shares'!$C:$FA,119)</f>
        <v>0.65</v>
      </c>
      <c r="D68" s="143">
        <f>VLOOKUP($A68,'Data shares'!$C:$FA,121)*100</f>
        <v>1.54</v>
      </c>
      <c r="E68" s="143">
        <f>VLOOKUP($A68,'Data shares'!$C:$FA,124)</f>
        <v>0.45</v>
      </c>
      <c r="F68" s="143">
        <f>VLOOKUP($A68,'Data shares'!$C:$FA,125)</f>
        <v>0.47</v>
      </c>
      <c r="G68" s="143">
        <f>VLOOKUP($A68,'Data shares'!$C:$FA,127)*100</f>
        <v>-4.26</v>
      </c>
      <c r="H68" s="103">
        <f>VLOOKUP($A68,'OI(Volume)'!$A$7:$O$427,8)</f>
        <v>68715000</v>
      </c>
      <c r="I68" s="103">
        <f>VLOOKUP($A68,'OI(Volume)'!$A$7:$O$427,9)</f>
        <v>285000</v>
      </c>
      <c r="J68" s="103">
        <f>VLOOKUP($A68,'OI(Volume)'!$A$7:$O$427,11)</f>
        <v>45025000</v>
      </c>
      <c r="K68" s="103">
        <f>VLOOKUP($A68,'OI(Volume)'!$A$7:$O$427,12)</f>
        <v>415000</v>
      </c>
      <c r="L68" s="103">
        <f>VLOOKUP($A68,'OI(Value)'!$A$7:$O$306,8,0)</f>
        <v>1479</v>
      </c>
      <c r="M68" s="103">
        <f>VLOOKUP($A68,'OI(Value)'!$A$7:$O$306,9,0)</f>
        <v>6</v>
      </c>
      <c r="N68" s="103">
        <f>VLOOKUP($A68,'OI(Value)'!$A$7:$O$306,11,0)</f>
        <v>969</v>
      </c>
      <c r="O68" s="103">
        <f>VLOOKUP($A68,'OI(Value)'!$A$7:$O$306,12,0)</f>
        <v>9</v>
      </c>
      <c r="P68" s="179">
        <f>VLOOKUP(A68,'OI(Value)'!A68:O269,8,0)</f>
        <v>1479</v>
      </c>
      <c r="Q68" s="179">
        <f>VLOOKUP(A68,'OI(Value)'!A68:O269,9,0)</f>
        <v>6</v>
      </c>
      <c r="R68" s="179">
        <f>VLOOKUP(A68,'OI(Value)'!A68:O269,11,0)</f>
        <v>969</v>
      </c>
      <c r="S68" s="179">
        <f>VLOOKUP(A68,'OI(Value)'!A68:O269,11,0)</f>
        <v>969</v>
      </c>
    </row>
    <row r="69" spans="1:19" x14ac:dyDescent="0.25">
      <c r="A69" s="105" t="str">
        <f>'Data shares'!C64</f>
        <v>FINNIFTY</v>
      </c>
      <c r="B69" s="143">
        <f>VLOOKUP($A69,'Data shares'!$C:$FA,118)</f>
        <v>0.94</v>
      </c>
      <c r="C69" s="143">
        <f>VLOOKUP($A69,'Data shares'!$C:$FA,119)</f>
        <v>0.8</v>
      </c>
      <c r="D69" s="143">
        <f>VLOOKUP($A69,'Data shares'!$C:$FA,121)*100</f>
        <v>17.5</v>
      </c>
      <c r="E69" s="143">
        <f>VLOOKUP($A69,'Data shares'!$C:$FA,124)</f>
        <v>0.6</v>
      </c>
      <c r="F69" s="143">
        <f>VLOOKUP($A69,'Data shares'!$C:$FA,125)</f>
        <v>0.75</v>
      </c>
      <c r="G69" s="143">
        <f>VLOOKUP($A69,'Data shares'!$C:$FA,127)*100</f>
        <v>-20</v>
      </c>
      <c r="H69" s="103">
        <f>VLOOKUP($A69,'OI(Volume)'!$A$7:$O$427,8)</f>
        <v>1034280</v>
      </c>
      <c r="I69" s="103">
        <f>VLOOKUP($A69,'OI(Volume)'!$A$7:$O$427,9)</f>
        <v>-106080</v>
      </c>
      <c r="J69" s="103">
        <f>VLOOKUP($A69,'OI(Volume)'!$A$7:$O$427,11)</f>
        <v>971555</v>
      </c>
      <c r="K69" s="103">
        <f>VLOOKUP($A69,'OI(Volume)'!$A$7:$O$427,12)</f>
        <v>57330</v>
      </c>
      <c r="L69" s="103">
        <f>VLOOKUP($A69,'OI(Value)'!$A$7:$O$306,8,0)</f>
        <v>2835</v>
      </c>
      <c r="M69" s="103">
        <f>VLOOKUP($A69,'OI(Value)'!$A$7:$O$306,9,0)</f>
        <v>-291</v>
      </c>
      <c r="N69" s="103">
        <f>VLOOKUP($A69,'OI(Value)'!$A$7:$O$306,11,0)</f>
        <v>2663</v>
      </c>
      <c r="O69" s="103">
        <f>VLOOKUP($A69,'OI(Value)'!$A$7:$O$306,12,0)</f>
        <v>157</v>
      </c>
      <c r="P69" s="179">
        <f>VLOOKUP(A69,'OI(Value)'!A69:O270,8,0)</f>
        <v>2835</v>
      </c>
      <c r="Q69" s="179">
        <f>VLOOKUP(A69,'OI(Value)'!A69:O270,9,0)</f>
        <v>-291</v>
      </c>
      <c r="R69" s="179">
        <f>VLOOKUP(A69,'OI(Value)'!A69:O270,11,0)</f>
        <v>2663</v>
      </c>
      <c r="S69" s="179">
        <f>VLOOKUP(A69,'OI(Value)'!A69:O270,11,0)</f>
        <v>2663</v>
      </c>
    </row>
    <row r="70" spans="1:19" x14ac:dyDescent="0.25">
      <c r="A70" s="105" t="str">
        <f>'Data shares'!C65</f>
        <v>FORTIS</v>
      </c>
      <c r="B70" s="143">
        <f>VLOOKUP($A70,'Data shares'!$C:$FA,118)</f>
        <v>0.83</v>
      </c>
      <c r="C70" s="143">
        <f>VLOOKUP($A70,'Data shares'!$C:$FA,119)</f>
        <v>0.79</v>
      </c>
      <c r="D70" s="143">
        <f>VLOOKUP($A70,'Data shares'!$C:$FA,121)*100</f>
        <v>5.0599999999999996</v>
      </c>
      <c r="E70" s="143">
        <f>VLOOKUP($A70,'Data shares'!$C:$FA,124)</f>
        <v>0.49</v>
      </c>
      <c r="F70" s="143">
        <f>VLOOKUP($A70,'Data shares'!$C:$FA,125)</f>
        <v>0.59</v>
      </c>
      <c r="G70" s="143">
        <f>VLOOKUP($A70,'Data shares'!$C:$FA,127)*100</f>
        <v>-16.950000000000003</v>
      </c>
      <c r="H70" s="103">
        <f>VLOOKUP($A70,'OI(Volume)'!$A$7:$O$427,8)</f>
        <v>4061000</v>
      </c>
      <c r="I70" s="103">
        <f>VLOOKUP($A70,'OI(Volume)'!$A$7:$O$427,9)</f>
        <v>-220875</v>
      </c>
      <c r="J70" s="103">
        <f>VLOOKUP($A70,'OI(Volume)'!$A$7:$O$427,11)</f>
        <v>3372800</v>
      </c>
      <c r="K70" s="103">
        <f>VLOOKUP($A70,'OI(Volume)'!$A$7:$O$427,12)</f>
        <v>-21700</v>
      </c>
      <c r="L70" s="103">
        <f>VLOOKUP($A70,'OI(Value)'!$A$7:$O$306,8,0)</f>
        <v>446</v>
      </c>
      <c r="M70" s="103">
        <f>VLOOKUP($A70,'OI(Value)'!$A$7:$O$306,9,0)</f>
        <v>-24</v>
      </c>
      <c r="N70" s="103">
        <f>VLOOKUP($A70,'OI(Value)'!$A$7:$O$306,11,0)</f>
        <v>371</v>
      </c>
      <c r="O70" s="103">
        <f>VLOOKUP($A70,'OI(Value)'!$A$7:$O$306,12,0)</f>
        <v>-2</v>
      </c>
      <c r="P70" s="179">
        <f>VLOOKUP(A70,'OI(Value)'!A70:O271,8,0)</f>
        <v>446</v>
      </c>
      <c r="Q70" s="179">
        <f>VLOOKUP(A70,'OI(Value)'!A70:O271,9,0)</f>
        <v>-24</v>
      </c>
      <c r="R70" s="179">
        <f>VLOOKUP(A70,'OI(Value)'!A70:O271,11,0)</f>
        <v>371</v>
      </c>
      <c r="S70" s="179">
        <f>VLOOKUP(A70,'OI(Value)'!A70:O271,11,0)</f>
        <v>371</v>
      </c>
    </row>
    <row r="71" spans="1:19" x14ac:dyDescent="0.25">
      <c r="A71" s="105" t="str">
        <f>'Data shares'!C66</f>
        <v>GAIL</v>
      </c>
      <c r="B71" s="143">
        <f>VLOOKUP($A71,'Data shares'!$C:$FA,118)</f>
        <v>0.61</v>
      </c>
      <c r="C71" s="143">
        <f>VLOOKUP($A71,'Data shares'!$C:$FA,119)</f>
        <v>0.59</v>
      </c>
      <c r="D71" s="143">
        <f>VLOOKUP($A71,'Data shares'!$C:$FA,121)*100</f>
        <v>3.39</v>
      </c>
      <c r="E71" s="143">
        <f>VLOOKUP($A71,'Data shares'!$C:$FA,124)</f>
        <v>0.55000000000000004</v>
      </c>
      <c r="F71" s="143">
        <f>VLOOKUP($A71,'Data shares'!$C:$FA,125)</f>
        <v>0.47</v>
      </c>
      <c r="G71" s="143">
        <f>VLOOKUP($A71,'Data shares'!$C:$FA,127)*100</f>
        <v>17.02</v>
      </c>
      <c r="H71" s="103">
        <f>VLOOKUP($A71,'OI(Volume)'!$A$7:$O$427,8)</f>
        <v>41085450</v>
      </c>
      <c r="I71" s="103">
        <f>VLOOKUP($A71,'OI(Volume)'!$A$7:$O$427,9)</f>
        <v>-2075850</v>
      </c>
      <c r="J71" s="103">
        <f>VLOOKUP($A71,'OI(Volume)'!$A$7:$O$427,11)</f>
        <v>25007850</v>
      </c>
      <c r="K71" s="103">
        <f>VLOOKUP($A71,'OI(Volume)'!$A$7:$O$427,12)</f>
        <v>-418950</v>
      </c>
      <c r="L71" s="103">
        <f>VLOOKUP($A71,'OI(Value)'!$A$7:$O$306,8,0)</f>
        <v>737</v>
      </c>
      <c r="M71" s="103">
        <f>VLOOKUP($A71,'OI(Value)'!$A$7:$O$306,9,0)</f>
        <v>-37</v>
      </c>
      <c r="N71" s="103">
        <f>VLOOKUP($A71,'OI(Value)'!$A$7:$O$306,11,0)</f>
        <v>449</v>
      </c>
      <c r="O71" s="103">
        <f>VLOOKUP($A71,'OI(Value)'!$A$7:$O$306,12,0)</f>
        <v>-8</v>
      </c>
      <c r="P71" s="179">
        <f>VLOOKUP(A71,'OI(Value)'!A71:O272,8,0)</f>
        <v>737</v>
      </c>
      <c r="Q71" s="179">
        <f>VLOOKUP(A71,'OI(Value)'!A71:O272,9,0)</f>
        <v>-37</v>
      </c>
      <c r="R71" s="179">
        <f>VLOOKUP(A71,'OI(Value)'!A71:O272,11,0)</f>
        <v>449</v>
      </c>
      <c r="S71" s="179">
        <f>VLOOKUP(A71,'OI(Value)'!A71:O272,11,0)</f>
        <v>449</v>
      </c>
    </row>
    <row r="72" spans="1:19" x14ac:dyDescent="0.25">
      <c r="A72" s="105" t="str">
        <f>'Data shares'!C67</f>
        <v>GLENMARK</v>
      </c>
      <c r="B72" s="143">
        <f>VLOOKUP($A72,'Data shares'!$C:$FA,118)</f>
        <v>0.47</v>
      </c>
      <c r="C72" s="143">
        <f>VLOOKUP($A72,'Data shares'!$C:$FA,119)</f>
        <v>0.53</v>
      </c>
      <c r="D72" s="143">
        <f>VLOOKUP($A72,'Data shares'!$C:$FA,121)*100</f>
        <v>-11.32</v>
      </c>
      <c r="E72" s="143">
        <f>VLOOKUP($A72,'Data shares'!$C:$FA,124)</f>
        <v>0.45</v>
      </c>
      <c r="F72" s="143">
        <f>VLOOKUP($A72,'Data shares'!$C:$FA,125)</f>
        <v>0.47</v>
      </c>
      <c r="G72" s="143">
        <f>VLOOKUP($A72,'Data shares'!$C:$FA,127)*100</f>
        <v>-4.26</v>
      </c>
      <c r="H72" s="103">
        <f>VLOOKUP($A72,'OI(Volume)'!$A$7:$O$427,8)</f>
        <v>2598000</v>
      </c>
      <c r="I72" s="103">
        <f>VLOOKUP($A72,'OI(Volume)'!$A$7:$O$427,9)</f>
        <v>216750</v>
      </c>
      <c r="J72" s="103">
        <f>VLOOKUP($A72,'OI(Volume)'!$A$7:$O$427,11)</f>
        <v>1231875</v>
      </c>
      <c r="K72" s="103">
        <f>VLOOKUP($A72,'OI(Volume)'!$A$7:$O$427,12)</f>
        <v>-31500</v>
      </c>
      <c r="L72" s="103">
        <f>VLOOKUP($A72,'OI(Value)'!$A$7:$O$306,8,0)</f>
        <v>487</v>
      </c>
      <c r="M72" s="103">
        <f>VLOOKUP($A72,'OI(Value)'!$A$7:$O$306,9,0)</f>
        <v>41</v>
      </c>
      <c r="N72" s="103">
        <f>VLOOKUP($A72,'OI(Value)'!$A$7:$O$306,11,0)</f>
        <v>231</v>
      </c>
      <c r="O72" s="103">
        <f>VLOOKUP($A72,'OI(Value)'!$A$7:$O$306,12,0)</f>
        <v>-6</v>
      </c>
      <c r="P72" s="179">
        <f>VLOOKUP(A72,'OI(Value)'!A72:O273,8,0)</f>
        <v>487</v>
      </c>
      <c r="Q72" s="179">
        <f>VLOOKUP(A72,'OI(Value)'!A72:O273,9,0)</f>
        <v>41</v>
      </c>
      <c r="R72" s="179">
        <f>VLOOKUP(A72,'OI(Value)'!A72:O273,11,0)</f>
        <v>231</v>
      </c>
      <c r="S72" s="179">
        <f>VLOOKUP(A72,'OI(Value)'!A72:O273,11,0)</f>
        <v>231</v>
      </c>
    </row>
    <row r="73" spans="1:19" x14ac:dyDescent="0.25">
      <c r="A73" s="105" t="str">
        <f>'Data shares'!C68</f>
        <v>GMRAIRPORT</v>
      </c>
      <c r="B73" s="143">
        <f>VLOOKUP($A73,'Data shares'!$C:$FA,118)</f>
        <v>0.5</v>
      </c>
      <c r="C73" s="143">
        <f>VLOOKUP($A73,'Data shares'!$C:$FA,119)</f>
        <v>0.48</v>
      </c>
      <c r="D73" s="143">
        <f>VLOOKUP($A73,'Data shares'!$C:$FA,121)*100</f>
        <v>4.17</v>
      </c>
      <c r="E73" s="143">
        <f>VLOOKUP($A73,'Data shares'!$C:$FA,124)</f>
        <v>0.53</v>
      </c>
      <c r="F73" s="143">
        <f>VLOOKUP($A73,'Data shares'!$C:$FA,125)</f>
        <v>0.38</v>
      </c>
      <c r="G73" s="143">
        <f>VLOOKUP($A73,'Data shares'!$C:$FA,127)*100</f>
        <v>39.47</v>
      </c>
      <c r="H73" s="103">
        <f>VLOOKUP($A73,'OI(Volume)'!$A$7:$O$427,8)</f>
        <v>79487100</v>
      </c>
      <c r="I73" s="103">
        <f>VLOOKUP($A73,'OI(Volume)'!$A$7:$O$427,9)</f>
        <v>2008800</v>
      </c>
      <c r="J73" s="103">
        <f>VLOOKUP($A73,'OI(Volume)'!$A$7:$O$427,11)</f>
        <v>39394800</v>
      </c>
      <c r="K73" s="103">
        <f>VLOOKUP($A73,'OI(Volume)'!$A$7:$O$427,12)</f>
        <v>2441250</v>
      </c>
      <c r="L73" s="103">
        <f>VLOOKUP($A73,'OI(Value)'!$A$7:$O$306,8,0)</f>
        <v>723</v>
      </c>
      <c r="M73" s="103">
        <f>VLOOKUP($A73,'OI(Value)'!$A$7:$O$306,9,0)</f>
        <v>18</v>
      </c>
      <c r="N73" s="103">
        <f>VLOOKUP($A73,'OI(Value)'!$A$7:$O$306,11,0)</f>
        <v>358</v>
      </c>
      <c r="O73" s="103">
        <f>VLOOKUP($A73,'OI(Value)'!$A$7:$O$306,12,0)</f>
        <v>22</v>
      </c>
      <c r="P73" s="179">
        <f>VLOOKUP(A73,'OI(Value)'!A73:O274,8,0)</f>
        <v>723</v>
      </c>
      <c r="Q73" s="179">
        <f>VLOOKUP(A73,'OI(Value)'!A73:O274,9,0)</f>
        <v>18</v>
      </c>
      <c r="R73" s="179">
        <f>VLOOKUP(A73,'OI(Value)'!A73:O274,11,0)</f>
        <v>358</v>
      </c>
      <c r="S73" s="179">
        <f>VLOOKUP(A73,'OI(Value)'!A73:O274,11,0)</f>
        <v>358</v>
      </c>
    </row>
    <row r="74" spans="1:19" x14ac:dyDescent="0.25">
      <c r="A74" s="105" t="str">
        <f>'Data shares'!C69</f>
        <v>GODREJCP</v>
      </c>
      <c r="B74" s="143">
        <f>VLOOKUP($A74,'Data shares'!$C:$FA,118)</f>
        <v>0.45</v>
      </c>
      <c r="C74" s="143">
        <f>VLOOKUP($A74,'Data shares'!$C:$FA,119)</f>
        <v>0.5</v>
      </c>
      <c r="D74" s="143">
        <f>VLOOKUP($A74,'Data shares'!$C:$FA,121)*100</f>
        <v>-10</v>
      </c>
      <c r="E74" s="143">
        <f>VLOOKUP($A74,'Data shares'!$C:$FA,124)</f>
        <v>0.2</v>
      </c>
      <c r="F74" s="143">
        <f>VLOOKUP($A74,'Data shares'!$C:$FA,125)</f>
        <v>0.36</v>
      </c>
      <c r="G74" s="143">
        <f>VLOOKUP($A74,'Data shares'!$C:$FA,127)*100</f>
        <v>-44.440000000000005</v>
      </c>
      <c r="H74" s="103">
        <f>VLOOKUP($A74,'OI(Volume)'!$A$7:$O$427,8)</f>
        <v>4730500</v>
      </c>
      <c r="I74" s="103">
        <f>VLOOKUP($A74,'OI(Volume)'!$A$7:$O$427,9)</f>
        <v>489000</v>
      </c>
      <c r="J74" s="103">
        <f>VLOOKUP($A74,'OI(Volume)'!$A$7:$O$427,11)</f>
        <v>2134500</v>
      </c>
      <c r="K74" s="103">
        <f>VLOOKUP($A74,'OI(Volume)'!$A$7:$O$427,12)</f>
        <v>-2000</v>
      </c>
      <c r="L74" s="103">
        <f>VLOOKUP($A74,'OI(Value)'!$A$7:$O$306,8,0)</f>
        <v>531</v>
      </c>
      <c r="M74" s="103">
        <f>VLOOKUP($A74,'OI(Value)'!$A$7:$O$306,9,0)</f>
        <v>55</v>
      </c>
      <c r="N74" s="103">
        <f>VLOOKUP($A74,'OI(Value)'!$A$7:$O$306,11,0)</f>
        <v>240</v>
      </c>
      <c r="O74" s="103">
        <f>VLOOKUP($A74,'OI(Value)'!$A$7:$O$306,12,0)</f>
        <v>0</v>
      </c>
      <c r="P74" s="179">
        <f>VLOOKUP(A74,'OI(Value)'!A74:O275,8,0)</f>
        <v>531</v>
      </c>
      <c r="Q74" s="179">
        <f>VLOOKUP(A74,'OI(Value)'!A74:O275,9,0)</f>
        <v>55</v>
      </c>
      <c r="R74" s="179">
        <f>VLOOKUP(A74,'OI(Value)'!A74:O275,11,0)</f>
        <v>240</v>
      </c>
      <c r="S74" s="179">
        <f>VLOOKUP(A74,'OI(Value)'!A74:O275,11,0)</f>
        <v>240</v>
      </c>
    </row>
    <row r="75" spans="1:19" x14ac:dyDescent="0.25">
      <c r="A75" s="105" t="str">
        <f>'Data shares'!C70</f>
        <v>GODREJPROP</v>
      </c>
      <c r="B75" s="143">
        <f>VLOOKUP($A75,'Data shares'!$C:$FA,118)</f>
        <v>0.74</v>
      </c>
      <c r="C75" s="143">
        <f>VLOOKUP($A75,'Data shares'!$C:$FA,119)</f>
        <v>0.65</v>
      </c>
      <c r="D75" s="143">
        <f>VLOOKUP($A75,'Data shares'!$C:$FA,121)*100</f>
        <v>13.850000000000001</v>
      </c>
      <c r="E75" s="143">
        <f>VLOOKUP($A75,'Data shares'!$C:$FA,124)</f>
        <v>0.47</v>
      </c>
      <c r="F75" s="143">
        <f>VLOOKUP($A75,'Data shares'!$C:$FA,125)</f>
        <v>0.38</v>
      </c>
      <c r="G75" s="143">
        <f>VLOOKUP($A75,'Data shares'!$C:$FA,127)*100</f>
        <v>23.68</v>
      </c>
      <c r="H75" s="103">
        <f>VLOOKUP($A75,'OI(Volume)'!$A$7:$O$427,8)</f>
        <v>2986225</v>
      </c>
      <c r="I75" s="103">
        <f>VLOOKUP($A75,'OI(Volume)'!$A$7:$O$427,9)</f>
        <v>-74525</v>
      </c>
      <c r="J75" s="103">
        <f>VLOOKUP($A75,'OI(Volume)'!$A$7:$O$427,11)</f>
        <v>2208525</v>
      </c>
      <c r="K75" s="103">
        <f>VLOOKUP($A75,'OI(Volume)'!$A$7:$O$427,12)</f>
        <v>218350</v>
      </c>
      <c r="L75" s="103">
        <f>VLOOKUP($A75,'OI(Value)'!$A$7:$O$306,8,0)</f>
        <v>659</v>
      </c>
      <c r="M75" s="103">
        <f>VLOOKUP($A75,'OI(Value)'!$A$7:$O$306,9,0)</f>
        <v>-16</v>
      </c>
      <c r="N75" s="103">
        <f>VLOOKUP($A75,'OI(Value)'!$A$7:$O$306,11,0)</f>
        <v>488</v>
      </c>
      <c r="O75" s="103">
        <f>VLOOKUP($A75,'OI(Value)'!$A$7:$O$306,12,0)</f>
        <v>48</v>
      </c>
      <c r="P75" s="179">
        <f>VLOOKUP(A75,'OI(Value)'!A75:O276,8,0)</f>
        <v>659</v>
      </c>
      <c r="Q75" s="179">
        <f>VLOOKUP(A75,'OI(Value)'!A75:O276,9,0)</f>
        <v>-16</v>
      </c>
      <c r="R75" s="179">
        <f>VLOOKUP(A75,'OI(Value)'!A75:O276,11,0)</f>
        <v>488</v>
      </c>
      <c r="S75" s="179">
        <f>VLOOKUP(A75,'OI(Value)'!A75:O276,11,0)</f>
        <v>488</v>
      </c>
    </row>
    <row r="76" spans="1:19" x14ac:dyDescent="0.25">
      <c r="A76" s="105" t="str">
        <f>'Data shares'!C71</f>
        <v>GRASIM</v>
      </c>
      <c r="B76" s="143">
        <f>VLOOKUP($A76,'Data shares'!$C:$FA,118)</f>
        <v>0.69</v>
      </c>
      <c r="C76" s="143">
        <f>VLOOKUP($A76,'Data shares'!$C:$FA,119)</f>
        <v>0.64</v>
      </c>
      <c r="D76" s="143">
        <f>VLOOKUP($A76,'Data shares'!$C:$FA,121)*100</f>
        <v>7.8100000000000005</v>
      </c>
      <c r="E76" s="143">
        <f>VLOOKUP($A76,'Data shares'!$C:$FA,124)</f>
        <v>0.47</v>
      </c>
      <c r="F76" s="143">
        <f>VLOOKUP($A76,'Data shares'!$C:$FA,125)</f>
        <v>0.44</v>
      </c>
      <c r="G76" s="143">
        <f>VLOOKUP($A76,'Data shares'!$C:$FA,127)*100</f>
        <v>6.8199999999999994</v>
      </c>
      <c r="H76" s="103">
        <f>VLOOKUP($A76,'OI(Volume)'!$A$7:$O$427,8)</f>
        <v>1547750</v>
      </c>
      <c r="I76" s="103">
        <f>VLOOKUP($A76,'OI(Volume)'!$A$7:$O$427,9)</f>
        <v>-117500</v>
      </c>
      <c r="J76" s="103">
        <f>VLOOKUP($A76,'OI(Volume)'!$A$7:$O$427,11)</f>
        <v>1068250</v>
      </c>
      <c r="K76" s="103">
        <f>VLOOKUP($A76,'OI(Volume)'!$A$7:$O$427,12)</f>
        <v>10250</v>
      </c>
      <c r="L76" s="103">
        <f>VLOOKUP($A76,'OI(Value)'!$A$7:$O$306,8,0)</f>
        <v>444</v>
      </c>
      <c r="M76" s="103">
        <f>VLOOKUP($A76,'OI(Value)'!$A$7:$O$306,9,0)</f>
        <v>-34</v>
      </c>
      <c r="N76" s="103">
        <f>VLOOKUP($A76,'OI(Value)'!$A$7:$O$306,11,0)</f>
        <v>306</v>
      </c>
      <c r="O76" s="103">
        <f>VLOOKUP($A76,'OI(Value)'!$A$7:$O$306,12,0)</f>
        <v>3</v>
      </c>
      <c r="P76" s="179">
        <f>VLOOKUP(A76,'OI(Value)'!A76:O277,8,0)</f>
        <v>444</v>
      </c>
      <c r="Q76" s="179">
        <f>VLOOKUP(A76,'OI(Value)'!A76:O277,9,0)</f>
        <v>-34</v>
      </c>
      <c r="R76" s="179">
        <f>VLOOKUP(A76,'OI(Value)'!A76:O277,11,0)</f>
        <v>306</v>
      </c>
      <c r="S76" s="179">
        <f>VLOOKUP(A76,'OI(Value)'!A76:O277,11,0)</f>
        <v>306</v>
      </c>
    </row>
    <row r="77" spans="1:19" x14ac:dyDescent="0.25">
      <c r="A77" s="105" t="str">
        <f>'Data shares'!C72</f>
        <v>HAL</v>
      </c>
      <c r="B77" s="143">
        <f>VLOOKUP($A77,'Data shares'!$C:$FA,118)</f>
        <v>0.57999999999999996</v>
      </c>
      <c r="C77" s="143">
        <f>VLOOKUP($A77,'Data shares'!$C:$FA,119)</f>
        <v>0.6</v>
      </c>
      <c r="D77" s="143">
        <f>VLOOKUP($A77,'Data shares'!$C:$FA,121)*100</f>
        <v>-3.3300000000000005</v>
      </c>
      <c r="E77" s="143">
        <f>VLOOKUP($A77,'Data shares'!$C:$FA,124)</f>
        <v>0.43</v>
      </c>
      <c r="F77" s="143">
        <f>VLOOKUP($A77,'Data shares'!$C:$FA,125)</f>
        <v>0.43</v>
      </c>
      <c r="G77" s="143">
        <f>VLOOKUP($A77,'Data shares'!$C:$FA,127)*100</f>
        <v>0</v>
      </c>
      <c r="H77" s="103">
        <f>VLOOKUP($A77,'OI(Volume)'!$A$7:$O$427,8)</f>
        <v>4639500</v>
      </c>
      <c r="I77" s="103">
        <f>VLOOKUP($A77,'OI(Volume)'!$A$7:$O$427,9)</f>
        <v>105450</v>
      </c>
      <c r="J77" s="103">
        <f>VLOOKUP($A77,'OI(Volume)'!$A$7:$O$427,11)</f>
        <v>2678400</v>
      </c>
      <c r="K77" s="103">
        <f>VLOOKUP($A77,'OI(Volume)'!$A$7:$O$427,12)</f>
        <v>-34050</v>
      </c>
      <c r="L77" s="103">
        <f>VLOOKUP($A77,'OI(Value)'!$A$7:$O$306,8,0)</f>
        <v>2264</v>
      </c>
      <c r="M77" s="103">
        <f>VLOOKUP($A77,'OI(Value)'!$A$7:$O$306,9,0)</f>
        <v>51</v>
      </c>
      <c r="N77" s="103">
        <f>VLOOKUP($A77,'OI(Value)'!$A$7:$O$306,11,0)</f>
        <v>1307</v>
      </c>
      <c r="O77" s="103">
        <f>VLOOKUP($A77,'OI(Value)'!$A$7:$O$306,12,0)</f>
        <v>-17</v>
      </c>
      <c r="P77" s="179">
        <f>VLOOKUP(A77,'OI(Value)'!A77:O278,8,0)</f>
        <v>2264</v>
      </c>
      <c r="Q77" s="179">
        <f>VLOOKUP(A77,'OI(Value)'!A77:O278,9,0)</f>
        <v>51</v>
      </c>
      <c r="R77" s="179">
        <f>VLOOKUP(A77,'OI(Value)'!A77:O278,11,0)</f>
        <v>1307</v>
      </c>
      <c r="S77" s="179">
        <f>VLOOKUP(A77,'OI(Value)'!A77:O278,11,0)</f>
        <v>1307</v>
      </c>
    </row>
    <row r="78" spans="1:19" x14ac:dyDescent="0.25">
      <c r="A78" s="105" t="str">
        <f>'Data shares'!C73</f>
        <v>HAVELLS</v>
      </c>
      <c r="B78" s="143">
        <f>VLOOKUP($A78,'Data shares'!$C:$FA,118)</f>
        <v>0.59</v>
      </c>
      <c r="C78" s="143">
        <f>VLOOKUP($A78,'Data shares'!$C:$FA,119)</f>
        <v>0.56000000000000005</v>
      </c>
      <c r="D78" s="143">
        <f>VLOOKUP($A78,'Data shares'!$C:$FA,121)*100</f>
        <v>5.36</v>
      </c>
      <c r="E78" s="143">
        <f>VLOOKUP($A78,'Data shares'!$C:$FA,124)</f>
        <v>0.34</v>
      </c>
      <c r="F78" s="143">
        <f>VLOOKUP($A78,'Data shares'!$C:$FA,125)</f>
        <v>0.39</v>
      </c>
      <c r="G78" s="143">
        <f>VLOOKUP($A78,'Data shares'!$C:$FA,127)*100</f>
        <v>-12.82</v>
      </c>
      <c r="H78" s="103">
        <f>VLOOKUP($A78,'OI(Volume)'!$A$7:$O$427,8)</f>
        <v>3632000</v>
      </c>
      <c r="I78" s="103">
        <f>VLOOKUP($A78,'OI(Volume)'!$A$7:$O$427,9)</f>
        <v>-136000</v>
      </c>
      <c r="J78" s="103">
        <f>VLOOKUP($A78,'OI(Volume)'!$A$7:$O$427,11)</f>
        <v>2129000</v>
      </c>
      <c r="K78" s="103">
        <f>VLOOKUP($A78,'OI(Volume)'!$A$7:$O$427,12)</f>
        <v>36500</v>
      </c>
      <c r="L78" s="103">
        <f>VLOOKUP($A78,'OI(Value)'!$A$7:$O$306,8,0)</f>
        <v>538</v>
      </c>
      <c r="M78" s="103">
        <f>VLOOKUP($A78,'OI(Value)'!$A$7:$O$306,9,0)</f>
        <v>-20</v>
      </c>
      <c r="N78" s="103">
        <f>VLOOKUP($A78,'OI(Value)'!$A$7:$O$306,11,0)</f>
        <v>315</v>
      </c>
      <c r="O78" s="103">
        <f>VLOOKUP($A78,'OI(Value)'!$A$7:$O$306,12,0)</f>
        <v>5</v>
      </c>
      <c r="P78" s="179">
        <f>VLOOKUP(A78,'OI(Value)'!A78:O279,8,0)</f>
        <v>538</v>
      </c>
      <c r="Q78" s="179">
        <f>VLOOKUP(A78,'OI(Value)'!A78:O279,9,0)</f>
        <v>-20</v>
      </c>
      <c r="R78" s="179">
        <f>VLOOKUP(A78,'OI(Value)'!A78:O279,11,0)</f>
        <v>315</v>
      </c>
      <c r="S78" s="179">
        <f>VLOOKUP(A78,'OI(Value)'!A78:O279,11,0)</f>
        <v>315</v>
      </c>
    </row>
    <row r="79" spans="1:19" x14ac:dyDescent="0.25">
      <c r="A79" s="105" t="str">
        <f>'Data shares'!C74</f>
        <v>HCLTECH</v>
      </c>
      <c r="B79" s="143">
        <f>VLOOKUP($A79,'Data shares'!$C:$FA,118)</f>
        <v>0.59</v>
      </c>
      <c r="C79" s="143">
        <f>VLOOKUP($A79,'Data shares'!$C:$FA,119)</f>
        <v>0.53</v>
      </c>
      <c r="D79" s="143">
        <f>VLOOKUP($A79,'Data shares'!$C:$FA,121)*100</f>
        <v>11.32</v>
      </c>
      <c r="E79" s="143">
        <f>VLOOKUP($A79,'Data shares'!$C:$FA,124)</f>
        <v>0.56999999999999995</v>
      </c>
      <c r="F79" s="143">
        <f>VLOOKUP($A79,'Data shares'!$C:$FA,125)</f>
        <v>0.53</v>
      </c>
      <c r="G79" s="143">
        <f>VLOOKUP($A79,'Data shares'!$C:$FA,127)*100</f>
        <v>7.55</v>
      </c>
      <c r="H79" s="103">
        <f>VLOOKUP($A79,'OI(Volume)'!$A$7:$O$427,8)</f>
        <v>9817150</v>
      </c>
      <c r="I79" s="103">
        <f>VLOOKUP($A79,'OI(Volume)'!$A$7:$O$427,9)</f>
        <v>-3043600</v>
      </c>
      <c r="J79" s="103">
        <f>VLOOKUP($A79,'OI(Volume)'!$A$7:$O$427,11)</f>
        <v>5832750</v>
      </c>
      <c r="K79" s="103">
        <f>VLOOKUP($A79,'OI(Volume)'!$A$7:$O$427,12)</f>
        <v>-941150</v>
      </c>
      <c r="L79" s="103">
        <f>VLOOKUP($A79,'OI(Value)'!$A$7:$O$306,8,0)</f>
        <v>1477</v>
      </c>
      <c r="M79" s="103">
        <f>VLOOKUP($A79,'OI(Value)'!$A$7:$O$306,9,0)</f>
        <v>-458</v>
      </c>
      <c r="N79" s="103">
        <f>VLOOKUP($A79,'OI(Value)'!$A$7:$O$306,11,0)</f>
        <v>878</v>
      </c>
      <c r="O79" s="103">
        <f>VLOOKUP($A79,'OI(Value)'!$A$7:$O$306,12,0)</f>
        <v>-142</v>
      </c>
      <c r="P79" s="179">
        <f>VLOOKUP(A79,'OI(Value)'!A79:O280,8,0)</f>
        <v>1477</v>
      </c>
      <c r="Q79" s="179">
        <f>VLOOKUP(A79,'OI(Value)'!A79:O280,9,0)</f>
        <v>-458</v>
      </c>
      <c r="R79" s="179">
        <f>VLOOKUP(A79,'OI(Value)'!A79:O280,11,0)</f>
        <v>878</v>
      </c>
      <c r="S79" s="179">
        <f>VLOOKUP(A79,'OI(Value)'!A79:O280,11,0)</f>
        <v>878</v>
      </c>
    </row>
    <row r="80" spans="1:19" x14ac:dyDescent="0.25">
      <c r="A80" s="105" t="str">
        <f>'Data shares'!C75</f>
        <v>HDFCAMC</v>
      </c>
      <c r="B80" s="143">
        <f>VLOOKUP($A80,'Data shares'!$C:$FA,118)</f>
        <v>0.54</v>
      </c>
      <c r="C80" s="143">
        <f>VLOOKUP($A80,'Data shares'!$C:$FA,119)</f>
        <v>0.47</v>
      </c>
      <c r="D80" s="143">
        <f>VLOOKUP($A80,'Data shares'!$C:$FA,121)*100</f>
        <v>14.89</v>
      </c>
      <c r="E80" s="143">
        <f>VLOOKUP($A80,'Data shares'!$C:$FA,124)</f>
        <v>0.4</v>
      </c>
      <c r="F80" s="143">
        <f>VLOOKUP($A80,'Data shares'!$C:$FA,125)</f>
        <v>0.3</v>
      </c>
      <c r="G80" s="143">
        <f>VLOOKUP($A80,'Data shares'!$C:$FA,127)*100</f>
        <v>33.33</v>
      </c>
      <c r="H80" s="103">
        <f>VLOOKUP($A80,'OI(Volume)'!$A$7:$O$427,8)</f>
        <v>2392650</v>
      </c>
      <c r="I80" s="103">
        <f>VLOOKUP($A80,'OI(Volume)'!$A$7:$O$427,9)</f>
        <v>31350</v>
      </c>
      <c r="J80" s="103">
        <f>VLOOKUP($A80,'OI(Volume)'!$A$7:$O$427,11)</f>
        <v>1301400</v>
      </c>
      <c r="K80" s="103">
        <f>VLOOKUP($A80,'OI(Volume)'!$A$7:$O$427,12)</f>
        <v>185700</v>
      </c>
      <c r="L80" s="103">
        <f>VLOOKUP($A80,'OI(Value)'!$A$7:$O$306,8,0)</f>
        <v>1391</v>
      </c>
      <c r="M80" s="103">
        <f>VLOOKUP($A80,'OI(Value)'!$A$7:$O$306,9,0)</f>
        <v>18</v>
      </c>
      <c r="N80" s="103">
        <f>VLOOKUP($A80,'OI(Value)'!$A$7:$O$306,11,0)</f>
        <v>757</v>
      </c>
      <c r="O80" s="103">
        <f>VLOOKUP($A80,'OI(Value)'!$A$7:$O$306,12,0)</f>
        <v>108</v>
      </c>
      <c r="P80" s="179">
        <f>VLOOKUP(A80,'OI(Value)'!A80:O281,8,0)</f>
        <v>1391</v>
      </c>
      <c r="Q80" s="179">
        <f>VLOOKUP(A80,'OI(Value)'!A80:O281,9,0)</f>
        <v>18</v>
      </c>
      <c r="R80" s="179">
        <f>VLOOKUP(A80,'OI(Value)'!A80:O281,11,0)</f>
        <v>757</v>
      </c>
      <c r="S80" s="179">
        <f>VLOOKUP(A80,'OI(Value)'!A80:O281,11,0)</f>
        <v>757</v>
      </c>
    </row>
    <row r="81" spans="1:19" x14ac:dyDescent="0.25">
      <c r="A81" s="105" t="str">
        <f>'Data shares'!C76</f>
        <v>HDFCBANK</v>
      </c>
      <c r="B81" s="143">
        <f>VLOOKUP($A81,'Data shares'!$C:$FA,118)</f>
        <v>0.86</v>
      </c>
      <c r="C81" s="143">
        <f>VLOOKUP($A81,'Data shares'!$C:$FA,119)</f>
        <v>0.74</v>
      </c>
      <c r="D81" s="143">
        <f>VLOOKUP($A81,'Data shares'!$C:$FA,121)*100</f>
        <v>16.220000000000002</v>
      </c>
      <c r="E81" s="143">
        <f>VLOOKUP($A81,'Data shares'!$C:$FA,124)</f>
        <v>0.63</v>
      </c>
      <c r="F81" s="143">
        <f>VLOOKUP($A81,'Data shares'!$C:$FA,125)</f>
        <v>0.56000000000000005</v>
      </c>
      <c r="G81" s="143">
        <f>VLOOKUP($A81,'Data shares'!$C:$FA,127)*100</f>
        <v>12.5</v>
      </c>
      <c r="H81" s="103">
        <f>VLOOKUP($A81,'OI(Volume)'!$A$7:$O$427,8)</f>
        <v>32360900</v>
      </c>
      <c r="I81" s="103">
        <f>VLOOKUP($A81,'OI(Volume)'!$A$7:$O$427,9)</f>
        <v>-3122900</v>
      </c>
      <c r="J81" s="103">
        <f>VLOOKUP($A81,'OI(Volume)'!$A$7:$O$427,11)</f>
        <v>27814600</v>
      </c>
      <c r="K81" s="103">
        <f>VLOOKUP($A81,'OI(Volume)'!$A$7:$O$427,12)</f>
        <v>1497100</v>
      </c>
      <c r="L81" s="103">
        <f>VLOOKUP($A81,'OI(Value)'!$A$7:$O$306,8,0)</f>
        <v>3222</v>
      </c>
      <c r="M81" s="103">
        <f>VLOOKUP($A81,'OI(Value)'!$A$7:$O$306,9,0)</f>
        <v>-311</v>
      </c>
      <c r="N81" s="103">
        <f>VLOOKUP($A81,'OI(Value)'!$A$7:$O$306,11,0)</f>
        <v>2769</v>
      </c>
      <c r="O81" s="103">
        <f>VLOOKUP($A81,'OI(Value)'!$A$7:$O$306,12,0)</f>
        <v>149</v>
      </c>
      <c r="P81" s="179">
        <f>VLOOKUP(A81,'OI(Value)'!A81:O282,8,0)</f>
        <v>3222</v>
      </c>
      <c r="Q81" s="179">
        <f>VLOOKUP(A81,'OI(Value)'!A81:O282,9,0)</f>
        <v>-311</v>
      </c>
      <c r="R81" s="179">
        <f>VLOOKUP(A81,'OI(Value)'!A81:O282,11,0)</f>
        <v>2769</v>
      </c>
      <c r="S81" s="179">
        <f>VLOOKUP(A81,'OI(Value)'!A81:O282,11,0)</f>
        <v>2769</v>
      </c>
    </row>
    <row r="82" spans="1:19" x14ac:dyDescent="0.25">
      <c r="A82" s="105" t="str">
        <f>'Data shares'!C77</f>
        <v>HDFCLIFE</v>
      </c>
      <c r="B82" s="143">
        <f>VLOOKUP($A82,'Data shares'!$C:$FA,118)</f>
        <v>0.46</v>
      </c>
      <c r="C82" s="143">
        <f>VLOOKUP($A82,'Data shares'!$C:$FA,119)</f>
        <v>0.54</v>
      </c>
      <c r="D82" s="143">
        <f>VLOOKUP($A82,'Data shares'!$C:$FA,121)*100</f>
        <v>-14.81</v>
      </c>
      <c r="E82" s="143">
        <f>VLOOKUP($A82,'Data shares'!$C:$FA,124)</f>
        <v>0.43</v>
      </c>
      <c r="F82" s="143">
        <f>VLOOKUP($A82,'Data shares'!$C:$FA,125)</f>
        <v>0.39</v>
      </c>
      <c r="G82" s="143">
        <f>VLOOKUP($A82,'Data shares'!$C:$FA,127)*100</f>
        <v>10.26</v>
      </c>
      <c r="H82" s="103">
        <f>VLOOKUP($A82,'OI(Volume)'!$A$7:$O$427,8)</f>
        <v>16976300</v>
      </c>
      <c r="I82" s="103">
        <f>VLOOKUP($A82,'OI(Volume)'!$A$7:$O$427,9)</f>
        <v>4143700</v>
      </c>
      <c r="J82" s="103">
        <f>VLOOKUP($A82,'OI(Volume)'!$A$7:$O$427,11)</f>
        <v>7793500</v>
      </c>
      <c r="K82" s="103">
        <f>VLOOKUP($A82,'OI(Volume)'!$A$7:$O$427,12)</f>
        <v>904200</v>
      </c>
      <c r="L82" s="103">
        <f>VLOOKUP($A82,'OI(Value)'!$A$7:$O$306,8,0)</f>
        <v>1262</v>
      </c>
      <c r="M82" s="103">
        <f>VLOOKUP($A82,'OI(Value)'!$A$7:$O$306,9,0)</f>
        <v>308</v>
      </c>
      <c r="N82" s="103">
        <f>VLOOKUP($A82,'OI(Value)'!$A$7:$O$306,11,0)</f>
        <v>579</v>
      </c>
      <c r="O82" s="103">
        <f>VLOOKUP($A82,'OI(Value)'!$A$7:$O$306,12,0)</f>
        <v>67</v>
      </c>
      <c r="P82" s="179">
        <f>VLOOKUP(A82,'OI(Value)'!A82:O283,8,0)</f>
        <v>1262</v>
      </c>
      <c r="Q82" s="179">
        <f>VLOOKUP(A82,'OI(Value)'!A82:O283,9,0)</f>
        <v>308</v>
      </c>
      <c r="R82" s="179">
        <f>VLOOKUP(A82,'OI(Value)'!A82:O283,11,0)</f>
        <v>579</v>
      </c>
      <c r="S82" s="179">
        <f>VLOOKUP(A82,'OI(Value)'!A82:O283,11,0)</f>
        <v>579</v>
      </c>
    </row>
    <row r="83" spans="1:19" x14ac:dyDescent="0.25">
      <c r="A83" s="105" t="str">
        <f>'Data shares'!C78</f>
        <v>HEROMOTOCO</v>
      </c>
      <c r="B83" s="143">
        <f>VLOOKUP($A83,'Data shares'!$C:$FA,118)</f>
        <v>0.67</v>
      </c>
      <c r="C83" s="143">
        <f>VLOOKUP($A83,'Data shares'!$C:$FA,119)</f>
        <v>0.63</v>
      </c>
      <c r="D83" s="143">
        <f>VLOOKUP($A83,'Data shares'!$C:$FA,121)*100</f>
        <v>6.35</v>
      </c>
      <c r="E83" s="143">
        <f>VLOOKUP($A83,'Data shares'!$C:$FA,124)</f>
        <v>0.56000000000000005</v>
      </c>
      <c r="F83" s="143">
        <f>VLOOKUP($A83,'Data shares'!$C:$FA,125)</f>
        <v>0.66</v>
      </c>
      <c r="G83" s="143">
        <f>VLOOKUP($A83,'Data shares'!$C:$FA,127)*100</f>
        <v>-15.15</v>
      </c>
      <c r="H83" s="103">
        <f>VLOOKUP($A83,'OI(Volume)'!$A$7:$O$427,8)</f>
        <v>2518050</v>
      </c>
      <c r="I83" s="103">
        <f>VLOOKUP($A83,'OI(Volume)'!$A$7:$O$427,9)</f>
        <v>-169050</v>
      </c>
      <c r="J83" s="103">
        <f>VLOOKUP($A83,'OI(Volume)'!$A$7:$O$427,11)</f>
        <v>1677600</v>
      </c>
      <c r="K83" s="103">
        <f>VLOOKUP($A83,'OI(Volume)'!$A$7:$O$427,12)</f>
        <v>-10350</v>
      </c>
      <c r="L83" s="103">
        <f>VLOOKUP($A83,'OI(Value)'!$A$7:$O$306,8,0)</f>
        <v>1408</v>
      </c>
      <c r="M83" s="103">
        <f>VLOOKUP($A83,'OI(Value)'!$A$7:$O$306,9,0)</f>
        <v>-95</v>
      </c>
      <c r="N83" s="103">
        <f>VLOOKUP($A83,'OI(Value)'!$A$7:$O$306,11,0)</f>
        <v>938</v>
      </c>
      <c r="O83" s="103">
        <f>VLOOKUP($A83,'OI(Value)'!$A$7:$O$306,12,0)</f>
        <v>-6</v>
      </c>
      <c r="P83" s="179">
        <f>VLOOKUP(A83,'OI(Value)'!A83:O284,8,0)</f>
        <v>1408</v>
      </c>
      <c r="Q83" s="179">
        <f>VLOOKUP(A83,'OI(Value)'!A83:O284,9,0)</f>
        <v>-95</v>
      </c>
      <c r="R83" s="179">
        <f>VLOOKUP(A83,'OI(Value)'!A83:O284,11,0)</f>
        <v>938</v>
      </c>
      <c r="S83" s="179">
        <f>VLOOKUP(A83,'OI(Value)'!A83:O284,11,0)</f>
        <v>938</v>
      </c>
    </row>
    <row r="84" spans="1:19" x14ac:dyDescent="0.25">
      <c r="A84" s="105" t="str">
        <f>'Data shares'!C79</f>
        <v>HFCL</v>
      </c>
      <c r="B84" s="143">
        <f>VLOOKUP($A84,'Data shares'!$C:$FA,118)</f>
        <v>0.51</v>
      </c>
      <c r="C84" s="143">
        <f>VLOOKUP($A84,'Data shares'!$C:$FA,119)</f>
        <v>0.52</v>
      </c>
      <c r="D84" s="143">
        <f>VLOOKUP($A84,'Data shares'!$C:$FA,121)*100</f>
        <v>-1.92</v>
      </c>
      <c r="E84" s="143">
        <f>VLOOKUP($A84,'Data shares'!$C:$FA,124)</f>
        <v>0.44</v>
      </c>
      <c r="F84" s="143">
        <f>VLOOKUP($A84,'Data shares'!$C:$FA,125)</f>
        <v>0.31</v>
      </c>
      <c r="G84" s="143">
        <f>VLOOKUP($A84,'Data shares'!$C:$FA,127)*100</f>
        <v>41.94</v>
      </c>
      <c r="H84" s="103">
        <f>VLOOKUP($A84,'OI(Volume)'!$A$7:$O$427,8)</f>
        <v>47214000</v>
      </c>
      <c r="I84" s="103">
        <f>VLOOKUP($A84,'OI(Volume)'!$A$7:$O$427,9)</f>
        <v>1728600</v>
      </c>
      <c r="J84" s="103">
        <f>VLOOKUP($A84,'OI(Volume)'!$A$7:$O$427,11)</f>
        <v>24226200</v>
      </c>
      <c r="K84" s="103">
        <f>VLOOKUP($A84,'OI(Volume)'!$A$7:$O$427,12)</f>
        <v>619200</v>
      </c>
      <c r="L84" s="103">
        <f>VLOOKUP($A84,'OI(Value)'!$A$7:$O$306,8,0)</f>
        <v>366</v>
      </c>
      <c r="M84" s="103">
        <f>VLOOKUP($A84,'OI(Value)'!$A$7:$O$306,9,0)</f>
        <v>13</v>
      </c>
      <c r="N84" s="103">
        <f>VLOOKUP($A84,'OI(Value)'!$A$7:$O$306,11,0)</f>
        <v>188</v>
      </c>
      <c r="O84" s="103">
        <f>VLOOKUP($A84,'OI(Value)'!$A$7:$O$306,12,0)</f>
        <v>5</v>
      </c>
      <c r="P84" s="179">
        <f>VLOOKUP(A84,'OI(Value)'!A84:O285,8,0)</f>
        <v>366</v>
      </c>
      <c r="Q84" s="179">
        <f>VLOOKUP(A84,'OI(Value)'!A84:O285,9,0)</f>
        <v>13</v>
      </c>
      <c r="R84" s="179">
        <f>VLOOKUP(A84,'OI(Value)'!A84:O285,11,0)</f>
        <v>188</v>
      </c>
      <c r="S84" s="179">
        <f>VLOOKUP(A84,'OI(Value)'!A84:O285,11,0)</f>
        <v>188</v>
      </c>
    </row>
    <row r="85" spans="1:19" x14ac:dyDescent="0.25">
      <c r="A85" s="105" t="str">
        <f>'Data shares'!C80</f>
        <v>HINDALCO</v>
      </c>
      <c r="B85" s="143">
        <f>VLOOKUP($A85,'Data shares'!$C:$FA,118)</f>
        <v>0.72</v>
      </c>
      <c r="C85" s="143">
        <f>VLOOKUP($A85,'Data shares'!$C:$FA,119)</f>
        <v>0.64</v>
      </c>
      <c r="D85" s="143">
        <f>VLOOKUP($A85,'Data shares'!$C:$FA,121)*100</f>
        <v>12.5</v>
      </c>
      <c r="E85" s="143">
        <f>VLOOKUP($A85,'Data shares'!$C:$FA,124)</f>
        <v>0.59</v>
      </c>
      <c r="F85" s="143">
        <f>VLOOKUP($A85,'Data shares'!$C:$FA,125)</f>
        <v>0.57999999999999996</v>
      </c>
      <c r="G85" s="143">
        <f>VLOOKUP($A85,'Data shares'!$C:$FA,127)*100</f>
        <v>1.72</v>
      </c>
      <c r="H85" s="103">
        <f>VLOOKUP($A85,'OI(Volume)'!$A$7:$O$427,8)</f>
        <v>17774400</v>
      </c>
      <c r="I85" s="103">
        <f>VLOOKUP($A85,'OI(Volume)'!$A$7:$O$427,9)</f>
        <v>-1730400</v>
      </c>
      <c r="J85" s="103">
        <f>VLOOKUP($A85,'OI(Volume)'!$A$7:$O$427,11)</f>
        <v>12849200</v>
      </c>
      <c r="K85" s="103">
        <f>VLOOKUP($A85,'OI(Volume)'!$A$7:$O$427,12)</f>
        <v>427000</v>
      </c>
      <c r="L85" s="103">
        <f>VLOOKUP($A85,'OI(Value)'!$A$7:$O$306,8,0)</f>
        <v>1389</v>
      </c>
      <c r="M85" s="103">
        <f>VLOOKUP($A85,'OI(Value)'!$A$7:$O$306,9,0)</f>
        <v>-135</v>
      </c>
      <c r="N85" s="103">
        <f>VLOOKUP($A85,'OI(Value)'!$A$7:$O$306,11,0)</f>
        <v>1004</v>
      </c>
      <c r="O85" s="103">
        <f>VLOOKUP($A85,'OI(Value)'!$A$7:$O$306,12,0)</f>
        <v>33</v>
      </c>
      <c r="P85" s="179">
        <f>VLOOKUP(A85,'OI(Value)'!A85:O286,8,0)</f>
        <v>1389</v>
      </c>
      <c r="Q85" s="179">
        <f>VLOOKUP(A85,'OI(Value)'!A85:O286,9,0)</f>
        <v>-135</v>
      </c>
      <c r="R85" s="179">
        <f>VLOOKUP(A85,'OI(Value)'!A85:O286,11,0)</f>
        <v>1004</v>
      </c>
      <c r="S85" s="179">
        <f>VLOOKUP(A85,'OI(Value)'!A85:O286,11,0)</f>
        <v>1004</v>
      </c>
    </row>
    <row r="86" spans="1:19" x14ac:dyDescent="0.25">
      <c r="A86" s="105" t="str">
        <f>'Data shares'!C81</f>
        <v>HINDPETRO</v>
      </c>
      <c r="B86" s="143">
        <f>VLOOKUP($A86,'Data shares'!$C:$FA,118)</f>
        <v>0.55000000000000004</v>
      </c>
      <c r="C86" s="143">
        <f>VLOOKUP($A86,'Data shares'!$C:$FA,119)</f>
        <v>0.53</v>
      </c>
      <c r="D86" s="143">
        <f>VLOOKUP($A86,'Data shares'!$C:$FA,121)*100</f>
        <v>3.7699999999999996</v>
      </c>
      <c r="E86" s="143">
        <f>VLOOKUP($A86,'Data shares'!$C:$FA,124)</f>
        <v>0.53</v>
      </c>
      <c r="F86" s="143">
        <f>VLOOKUP($A86,'Data shares'!$C:$FA,125)</f>
        <v>0.38</v>
      </c>
      <c r="G86" s="143">
        <f>VLOOKUP($A86,'Data shares'!$C:$FA,127)*100</f>
        <v>39.47</v>
      </c>
      <c r="H86" s="103">
        <f>VLOOKUP($A86,'OI(Volume)'!$A$7:$O$427,8)</f>
        <v>20420100</v>
      </c>
      <c r="I86" s="103">
        <f>VLOOKUP($A86,'OI(Volume)'!$A$7:$O$427,9)</f>
        <v>-803925</v>
      </c>
      <c r="J86" s="103">
        <f>VLOOKUP($A86,'OI(Volume)'!$A$7:$O$427,11)</f>
        <v>11263050</v>
      </c>
      <c r="K86" s="103">
        <f>VLOOKUP($A86,'OI(Volume)'!$A$7:$O$427,12)</f>
        <v>-89100</v>
      </c>
      <c r="L86" s="103">
        <f>VLOOKUP($A86,'OI(Value)'!$A$7:$O$306,8,0)</f>
        <v>924</v>
      </c>
      <c r="M86" s="103">
        <f>VLOOKUP($A86,'OI(Value)'!$A$7:$O$306,9,0)</f>
        <v>-36</v>
      </c>
      <c r="N86" s="103">
        <f>VLOOKUP($A86,'OI(Value)'!$A$7:$O$306,11,0)</f>
        <v>510</v>
      </c>
      <c r="O86" s="103">
        <f>VLOOKUP($A86,'OI(Value)'!$A$7:$O$306,12,0)</f>
        <v>-4</v>
      </c>
      <c r="P86" s="179">
        <f>VLOOKUP(A86,'OI(Value)'!A86:O287,8,0)</f>
        <v>924</v>
      </c>
      <c r="Q86" s="179">
        <f>VLOOKUP(A86,'OI(Value)'!A86:O287,9,0)</f>
        <v>-36</v>
      </c>
      <c r="R86" s="179">
        <f>VLOOKUP(A86,'OI(Value)'!A86:O287,11,0)</f>
        <v>510</v>
      </c>
      <c r="S86" s="179">
        <f>VLOOKUP(A86,'OI(Value)'!A86:O287,11,0)</f>
        <v>510</v>
      </c>
    </row>
    <row r="87" spans="1:19" x14ac:dyDescent="0.25">
      <c r="A87" s="105" t="str">
        <f>'Data shares'!C82</f>
        <v>HINDUNILVR</v>
      </c>
      <c r="B87" s="143">
        <f>VLOOKUP($A87,'Data shares'!$C:$FA,118)</f>
        <v>0.65</v>
      </c>
      <c r="C87" s="143">
        <f>VLOOKUP($A87,'Data shares'!$C:$FA,119)</f>
        <v>0.59</v>
      </c>
      <c r="D87" s="143">
        <f>VLOOKUP($A87,'Data shares'!$C:$FA,121)*100</f>
        <v>10.17</v>
      </c>
      <c r="E87" s="143">
        <f>VLOOKUP($A87,'Data shares'!$C:$FA,124)</f>
        <v>0.52</v>
      </c>
      <c r="F87" s="143">
        <f>VLOOKUP($A87,'Data shares'!$C:$FA,125)</f>
        <v>0.53</v>
      </c>
      <c r="G87" s="143">
        <f>VLOOKUP($A87,'Data shares'!$C:$FA,127)*100</f>
        <v>-1.8900000000000001</v>
      </c>
      <c r="H87" s="103">
        <f>VLOOKUP($A87,'OI(Volume)'!$A$7:$O$427,8)</f>
        <v>5169000</v>
      </c>
      <c r="I87" s="103">
        <f>VLOOKUP($A87,'OI(Volume)'!$A$7:$O$427,9)</f>
        <v>-218400</v>
      </c>
      <c r="J87" s="103">
        <f>VLOOKUP($A87,'OI(Volume)'!$A$7:$O$427,11)</f>
        <v>3366300</v>
      </c>
      <c r="K87" s="103">
        <f>VLOOKUP($A87,'OI(Volume)'!$A$7:$O$427,12)</f>
        <v>162000</v>
      </c>
      <c r="L87" s="103">
        <f>VLOOKUP($A87,'OI(Value)'!$A$7:$O$306,8,0)</f>
        <v>1324</v>
      </c>
      <c r="M87" s="103">
        <f>VLOOKUP($A87,'OI(Value)'!$A$7:$O$306,9,0)</f>
        <v>-56</v>
      </c>
      <c r="N87" s="103">
        <f>VLOOKUP($A87,'OI(Value)'!$A$7:$O$306,11,0)</f>
        <v>863</v>
      </c>
      <c r="O87" s="103">
        <f>VLOOKUP($A87,'OI(Value)'!$A$7:$O$306,12,0)</f>
        <v>42</v>
      </c>
      <c r="P87" s="179">
        <f>VLOOKUP(A87,'OI(Value)'!A87:O288,8,0)</f>
        <v>1324</v>
      </c>
      <c r="Q87" s="179">
        <f>VLOOKUP(A87,'OI(Value)'!A87:O288,9,0)</f>
        <v>-56</v>
      </c>
      <c r="R87" s="179">
        <f>VLOOKUP(A87,'OI(Value)'!A87:O288,11,0)</f>
        <v>863</v>
      </c>
      <c r="S87" s="179">
        <f>VLOOKUP(A87,'OI(Value)'!A87:O288,11,0)</f>
        <v>863</v>
      </c>
    </row>
    <row r="88" spans="1:19" x14ac:dyDescent="0.25">
      <c r="A88" s="105" t="str">
        <f>'Data shares'!C83</f>
        <v>HINDZINC</v>
      </c>
      <c r="B88" s="143">
        <f>VLOOKUP($A88,'Data shares'!$C:$FA,118)</f>
        <v>0.55000000000000004</v>
      </c>
      <c r="C88" s="143">
        <f>VLOOKUP($A88,'Data shares'!$C:$FA,119)</f>
        <v>0.56000000000000005</v>
      </c>
      <c r="D88" s="143">
        <f>VLOOKUP($A88,'Data shares'!$C:$FA,121)*100</f>
        <v>-1.79</v>
      </c>
      <c r="E88" s="143">
        <f>VLOOKUP($A88,'Data shares'!$C:$FA,124)</f>
        <v>0.34</v>
      </c>
      <c r="F88" s="143">
        <f>VLOOKUP($A88,'Data shares'!$C:$FA,125)</f>
        <v>0.3</v>
      </c>
      <c r="G88" s="143">
        <f>VLOOKUP($A88,'Data shares'!$C:$FA,127)*100</f>
        <v>13.33</v>
      </c>
      <c r="H88" s="103">
        <f>VLOOKUP($A88,'OI(Volume)'!$A$7:$O$427,8)</f>
        <v>24133725</v>
      </c>
      <c r="I88" s="103">
        <f>VLOOKUP($A88,'OI(Volume)'!$A$7:$O$427,9)</f>
        <v>655375</v>
      </c>
      <c r="J88" s="103">
        <f>VLOOKUP($A88,'OI(Volume)'!$A$7:$O$427,11)</f>
        <v>13319425</v>
      </c>
      <c r="K88" s="103">
        <f>VLOOKUP($A88,'OI(Volume)'!$A$7:$O$427,12)</f>
        <v>138425</v>
      </c>
      <c r="L88" s="103">
        <f>VLOOKUP($A88,'OI(Value)'!$A$7:$O$306,8,0)</f>
        <v>1226</v>
      </c>
      <c r="M88" s="103">
        <f>VLOOKUP($A88,'OI(Value)'!$A$7:$O$306,9,0)</f>
        <v>33</v>
      </c>
      <c r="N88" s="103">
        <f>VLOOKUP($A88,'OI(Value)'!$A$7:$O$306,11,0)</f>
        <v>677</v>
      </c>
      <c r="O88" s="103">
        <f>VLOOKUP($A88,'OI(Value)'!$A$7:$O$306,12,0)</f>
        <v>7</v>
      </c>
      <c r="P88" s="179">
        <f>VLOOKUP(A88,'OI(Value)'!A88:O289,8,0)</f>
        <v>1226</v>
      </c>
      <c r="Q88" s="179">
        <f>VLOOKUP(A88,'OI(Value)'!A88:O289,9,0)</f>
        <v>33</v>
      </c>
      <c r="R88" s="179">
        <f>VLOOKUP(A88,'OI(Value)'!A88:O289,11,0)</f>
        <v>677</v>
      </c>
      <c r="S88" s="179">
        <f>VLOOKUP(A88,'OI(Value)'!A88:O289,11,0)</f>
        <v>677</v>
      </c>
    </row>
    <row r="89" spans="1:19" x14ac:dyDescent="0.25">
      <c r="A89" s="105" t="str">
        <f>'Data shares'!C84</f>
        <v>HUDCO</v>
      </c>
      <c r="B89" s="143">
        <f>VLOOKUP($A89,'Data shares'!$C:$FA,118)</f>
        <v>0.49</v>
      </c>
      <c r="C89" s="143">
        <f>VLOOKUP($A89,'Data shares'!$C:$FA,119)</f>
        <v>0.52</v>
      </c>
      <c r="D89" s="143">
        <f>VLOOKUP($A89,'Data shares'!$C:$FA,121)*100</f>
        <v>-5.7700000000000005</v>
      </c>
      <c r="E89" s="143">
        <f>VLOOKUP($A89,'Data shares'!$C:$FA,124)</f>
        <v>0.33</v>
      </c>
      <c r="F89" s="143">
        <f>VLOOKUP($A89,'Data shares'!$C:$FA,125)</f>
        <v>0.44</v>
      </c>
      <c r="G89" s="143">
        <f>VLOOKUP($A89,'Data shares'!$C:$FA,127)*100</f>
        <v>-25</v>
      </c>
      <c r="H89" s="103">
        <f>VLOOKUP($A89,'OI(Volume)'!$A$7:$O$427,8)</f>
        <v>17787750</v>
      </c>
      <c r="I89" s="103">
        <f>VLOOKUP($A89,'OI(Volume)'!$A$7:$O$427,9)</f>
        <v>1653900</v>
      </c>
      <c r="J89" s="103">
        <f>VLOOKUP($A89,'OI(Volume)'!$A$7:$O$427,11)</f>
        <v>8749575</v>
      </c>
      <c r="K89" s="103">
        <f>VLOOKUP($A89,'OI(Volume)'!$A$7:$O$427,12)</f>
        <v>410700</v>
      </c>
      <c r="L89" s="103">
        <f>VLOOKUP($A89,'OI(Value)'!$A$7:$O$306,8,0)</f>
        <v>407</v>
      </c>
      <c r="M89" s="103">
        <f>VLOOKUP($A89,'OI(Value)'!$A$7:$O$306,9,0)</f>
        <v>38</v>
      </c>
      <c r="N89" s="103">
        <f>VLOOKUP($A89,'OI(Value)'!$A$7:$O$306,11,0)</f>
        <v>200</v>
      </c>
      <c r="O89" s="103">
        <f>VLOOKUP($A89,'OI(Value)'!$A$7:$O$306,12,0)</f>
        <v>9</v>
      </c>
      <c r="P89" s="179">
        <f>VLOOKUP(A89,'OI(Value)'!A89:O290,8,0)</f>
        <v>407</v>
      </c>
      <c r="Q89" s="179">
        <f>VLOOKUP(A89,'OI(Value)'!A89:O290,9,0)</f>
        <v>38</v>
      </c>
      <c r="R89" s="179">
        <f>VLOOKUP(A89,'OI(Value)'!A89:O290,11,0)</f>
        <v>200</v>
      </c>
      <c r="S89" s="179">
        <f>VLOOKUP(A89,'OI(Value)'!A89:O290,11,0)</f>
        <v>200</v>
      </c>
    </row>
    <row r="90" spans="1:19" x14ac:dyDescent="0.25">
      <c r="A90" s="105" t="str">
        <f>'Data shares'!C85</f>
        <v>ICICIBANK</v>
      </c>
      <c r="B90" s="143">
        <f>VLOOKUP($A90,'Data shares'!$C:$FA,118)</f>
        <v>0.81</v>
      </c>
      <c r="C90" s="143">
        <f>VLOOKUP($A90,'Data shares'!$C:$FA,119)</f>
        <v>0.8</v>
      </c>
      <c r="D90" s="143">
        <f>VLOOKUP($A90,'Data shares'!$C:$FA,121)*100</f>
        <v>1.25</v>
      </c>
      <c r="E90" s="143">
        <f>VLOOKUP($A90,'Data shares'!$C:$FA,124)</f>
        <v>0.51</v>
      </c>
      <c r="F90" s="143">
        <f>VLOOKUP($A90,'Data shares'!$C:$FA,125)</f>
        <v>0.7</v>
      </c>
      <c r="G90" s="143">
        <f>VLOOKUP($A90,'Data shares'!$C:$FA,127)*100</f>
        <v>-27.139999999999997</v>
      </c>
      <c r="H90" s="103">
        <f>VLOOKUP($A90,'OI(Volume)'!$A$7:$O$427,8)</f>
        <v>24134600</v>
      </c>
      <c r="I90" s="103">
        <f>VLOOKUP($A90,'OI(Volume)'!$A$7:$O$427,9)</f>
        <v>-77000</v>
      </c>
      <c r="J90" s="103">
        <f>VLOOKUP($A90,'OI(Volume)'!$A$7:$O$427,11)</f>
        <v>19485200</v>
      </c>
      <c r="K90" s="103">
        <f>VLOOKUP($A90,'OI(Volume)'!$A$7:$O$427,12)</f>
        <v>149100</v>
      </c>
      <c r="L90" s="103">
        <f>VLOOKUP($A90,'OI(Value)'!$A$7:$O$306,8,0)</f>
        <v>3425</v>
      </c>
      <c r="M90" s="103">
        <f>VLOOKUP($A90,'OI(Value)'!$A$7:$O$306,9,0)</f>
        <v>-11</v>
      </c>
      <c r="N90" s="103">
        <f>VLOOKUP($A90,'OI(Value)'!$A$7:$O$306,11,0)</f>
        <v>2765</v>
      </c>
      <c r="O90" s="103">
        <f>VLOOKUP($A90,'OI(Value)'!$A$7:$O$306,12,0)</f>
        <v>21</v>
      </c>
      <c r="P90" s="179">
        <f>VLOOKUP(A90,'OI(Value)'!A90:O291,8,0)</f>
        <v>3425</v>
      </c>
      <c r="Q90" s="179">
        <f>VLOOKUP(A90,'OI(Value)'!A90:O291,9,0)</f>
        <v>-11</v>
      </c>
      <c r="R90" s="179">
        <f>VLOOKUP(A90,'OI(Value)'!A90:O291,11,0)</f>
        <v>2765</v>
      </c>
      <c r="S90" s="179">
        <f>VLOOKUP(A90,'OI(Value)'!A90:O291,11,0)</f>
        <v>2765</v>
      </c>
    </row>
    <row r="91" spans="1:19" x14ac:dyDescent="0.25">
      <c r="A91" s="105" t="str">
        <f>'Data shares'!C86</f>
        <v>ICICIGI</v>
      </c>
      <c r="B91" s="143">
        <f>VLOOKUP($A91,'Data shares'!$C:$FA,118)</f>
        <v>1.51</v>
      </c>
      <c r="C91" s="143">
        <f>VLOOKUP($A91,'Data shares'!$C:$FA,119)</f>
        <v>1.23</v>
      </c>
      <c r="D91" s="143">
        <f>VLOOKUP($A91,'Data shares'!$C:$FA,121)*100</f>
        <v>22.759999999999998</v>
      </c>
      <c r="E91" s="143">
        <f>VLOOKUP($A91,'Data shares'!$C:$FA,124)</f>
        <v>0.8</v>
      </c>
      <c r="F91" s="143">
        <f>VLOOKUP($A91,'Data shares'!$C:$FA,125)</f>
        <v>0.46</v>
      </c>
      <c r="G91" s="143">
        <f>VLOOKUP($A91,'Data shares'!$C:$FA,127)*100</f>
        <v>73.91</v>
      </c>
      <c r="H91" s="103">
        <f>VLOOKUP($A91,'OI(Volume)'!$A$7:$O$427,8)</f>
        <v>2409225</v>
      </c>
      <c r="I91" s="103">
        <f>VLOOKUP($A91,'OI(Volume)'!$A$7:$O$427,9)</f>
        <v>-991900</v>
      </c>
      <c r="J91" s="103">
        <f>VLOOKUP($A91,'OI(Volume)'!$A$7:$O$427,11)</f>
        <v>3628625</v>
      </c>
      <c r="K91" s="103">
        <f>VLOOKUP($A91,'OI(Volume)'!$A$7:$O$427,12)</f>
        <v>-563875</v>
      </c>
      <c r="L91" s="103">
        <f>VLOOKUP($A91,'OI(Value)'!$A$7:$O$306,8,0)</f>
        <v>483</v>
      </c>
      <c r="M91" s="103">
        <f>VLOOKUP($A91,'OI(Value)'!$A$7:$O$306,9,0)</f>
        <v>-199</v>
      </c>
      <c r="N91" s="103">
        <f>VLOOKUP($A91,'OI(Value)'!$A$7:$O$306,11,0)</f>
        <v>728</v>
      </c>
      <c r="O91" s="103">
        <f>VLOOKUP($A91,'OI(Value)'!$A$7:$O$306,12,0)</f>
        <v>-113</v>
      </c>
      <c r="P91" s="179">
        <f>VLOOKUP(A91,'OI(Value)'!A91:O292,8,0)</f>
        <v>483</v>
      </c>
      <c r="Q91" s="179">
        <f>VLOOKUP(A91,'OI(Value)'!A91:O292,9,0)</f>
        <v>-199</v>
      </c>
      <c r="R91" s="179">
        <f>VLOOKUP(A91,'OI(Value)'!A91:O292,11,0)</f>
        <v>728</v>
      </c>
      <c r="S91" s="179">
        <f>VLOOKUP(A91,'OI(Value)'!A91:O292,11,0)</f>
        <v>728</v>
      </c>
    </row>
    <row r="92" spans="1:19" x14ac:dyDescent="0.25">
      <c r="A92" s="105" t="str">
        <f>'Data shares'!C87</f>
        <v>ICICIPRULI</v>
      </c>
      <c r="B92" s="143">
        <f>VLOOKUP($A92,'Data shares'!$C:$FA,118)</f>
        <v>0.44</v>
      </c>
      <c r="C92" s="143">
        <f>VLOOKUP($A92,'Data shares'!$C:$FA,119)</f>
        <v>0.46</v>
      </c>
      <c r="D92" s="143">
        <f>VLOOKUP($A92,'Data shares'!$C:$FA,121)*100</f>
        <v>-4.3499999999999996</v>
      </c>
      <c r="E92" s="143">
        <f>VLOOKUP($A92,'Data shares'!$C:$FA,124)</f>
        <v>0.35</v>
      </c>
      <c r="F92" s="143">
        <f>VLOOKUP($A92,'Data shares'!$C:$FA,125)</f>
        <v>0.44</v>
      </c>
      <c r="G92" s="143">
        <f>VLOOKUP($A92,'Data shares'!$C:$FA,127)*100</f>
        <v>-20.45</v>
      </c>
      <c r="H92" s="103">
        <f>VLOOKUP($A92,'OI(Volume)'!$A$7:$O$427,8)</f>
        <v>8100225</v>
      </c>
      <c r="I92" s="103">
        <f>VLOOKUP($A92,'OI(Volume)'!$A$7:$O$427,9)</f>
        <v>197950</v>
      </c>
      <c r="J92" s="103">
        <f>VLOOKUP($A92,'OI(Volume)'!$A$7:$O$427,11)</f>
        <v>3567725</v>
      </c>
      <c r="K92" s="103">
        <f>VLOOKUP($A92,'OI(Volume)'!$A$7:$O$427,12)</f>
        <v>-53650</v>
      </c>
      <c r="L92" s="103">
        <f>VLOOKUP($A92,'OI(Value)'!$A$7:$O$306,8,0)</f>
        <v>477</v>
      </c>
      <c r="M92" s="103">
        <f>VLOOKUP($A92,'OI(Value)'!$A$7:$O$306,9,0)</f>
        <v>12</v>
      </c>
      <c r="N92" s="103">
        <f>VLOOKUP($A92,'OI(Value)'!$A$7:$O$306,11,0)</f>
        <v>210</v>
      </c>
      <c r="O92" s="103">
        <f>VLOOKUP($A92,'OI(Value)'!$A$7:$O$306,12,0)</f>
        <v>-3</v>
      </c>
      <c r="P92" s="179">
        <f>VLOOKUP(A92,'OI(Value)'!A92:O293,8,0)</f>
        <v>477</v>
      </c>
      <c r="Q92" s="179">
        <f>VLOOKUP(A92,'OI(Value)'!A92:O293,9,0)</f>
        <v>12</v>
      </c>
      <c r="R92" s="179">
        <f>VLOOKUP(A92,'OI(Value)'!A92:O293,11,0)</f>
        <v>210</v>
      </c>
      <c r="S92" s="179">
        <f>VLOOKUP(A92,'OI(Value)'!A92:O293,11,0)</f>
        <v>210</v>
      </c>
    </row>
    <row r="93" spans="1:19" x14ac:dyDescent="0.25">
      <c r="A93" s="105" t="str">
        <f>'Data shares'!C88</f>
        <v>IDEA</v>
      </c>
      <c r="B93" s="143">
        <f>VLOOKUP($A93,'Data shares'!$C:$FA,118)</f>
        <v>0.56000000000000005</v>
      </c>
      <c r="C93" s="143">
        <f>VLOOKUP($A93,'Data shares'!$C:$FA,119)</f>
        <v>0.53</v>
      </c>
      <c r="D93" s="143">
        <f>VLOOKUP($A93,'Data shares'!$C:$FA,121)*100</f>
        <v>5.66</v>
      </c>
      <c r="E93" s="143">
        <f>VLOOKUP($A93,'Data shares'!$C:$FA,124)</f>
        <v>0.41</v>
      </c>
      <c r="F93" s="143">
        <f>VLOOKUP($A93,'Data shares'!$C:$FA,125)</f>
        <v>0.19</v>
      </c>
      <c r="G93" s="143">
        <f>VLOOKUP($A93,'Data shares'!$C:$FA,127)*100</f>
        <v>115.78999999999999</v>
      </c>
      <c r="H93" s="103">
        <f>VLOOKUP($A93,'OI(Volume)'!$A$7:$O$427,8)</f>
        <v>2361819900</v>
      </c>
      <c r="I93" s="103">
        <f>VLOOKUP($A93,'OI(Volume)'!$A$7:$O$427,9)</f>
        <v>14580900</v>
      </c>
      <c r="J93" s="103">
        <f>VLOOKUP($A93,'OI(Volume)'!$A$7:$O$427,11)</f>
        <v>1331150400</v>
      </c>
      <c r="K93" s="103">
        <f>VLOOKUP($A93,'OI(Volume)'!$A$7:$O$427,12)</f>
        <v>78122175</v>
      </c>
      <c r="L93" s="103">
        <f>VLOOKUP($A93,'OI(Value)'!$A$7:$O$306,8,0)</f>
        <v>2097</v>
      </c>
      <c r="M93" s="103">
        <f>VLOOKUP($A93,'OI(Value)'!$A$7:$O$306,9,0)</f>
        <v>13</v>
      </c>
      <c r="N93" s="103">
        <f>VLOOKUP($A93,'OI(Value)'!$A$7:$O$306,11,0)</f>
        <v>1182</v>
      </c>
      <c r="O93" s="103">
        <f>VLOOKUP($A93,'OI(Value)'!$A$7:$O$306,12,0)</f>
        <v>69</v>
      </c>
      <c r="P93" s="179">
        <f>VLOOKUP(A93,'OI(Value)'!A93:O294,8,0)</f>
        <v>2097</v>
      </c>
      <c r="Q93" s="179">
        <f>VLOOKUP(A93,'OI(Value)'!A93:O294,9,0)</f>
        <v>13</v>
      </c>
      <c r="R93" s="179">
        <f>VLOOKUP(A93,'OI(Value)'!A93:O294,11,0)</f>
        <v>1182</v>
      </c>
      <c r="S93" s="179">
        <f>VLOOKUP(A93,'OI(Value)'!A93:O294,11,0)</f>
        <v>1182</v>
      </c>
    </row>
    <row r="94" spans="1:19" x14ac:dyDescent="0.25">
      <c r="A94" s="105" t="str">
        <f>'Data shares'!C89</f>
        <v>IDFCFIRSTB</v>
      </c>
      <c r="B94" s="143">
        <f>VLOOKUP($A94,'Data shares'!$C:$FA,118)</f>
        <v>0.68</v>
      </c>
      <c r="C94" s="143">
        <f>VLOOKUP($A94,'Data shares'!$C:$FA,119)</f>
        <v>0.7</v>
      </c>
      <c r="D94" s="143">
        <f>VLOOKUP($A94,'Data shares'!$C:$FA,121)*100</f>
        <v>-2.86</v>
      </c>
      <c r="E94" s="143">
        <f>VLOOKUP($A94,'Data shares'!$C:$FA,124)</f>
        <v>0.55000000000000004</v>
      </c>
      <c r="F94" s="143">
        <f>VLOOKUP($A94,'Data shares'!$C:$FA,125)</f>
        <v>0.57999999999999996</v>
      </c>
      <c r="G94" s="143">
        <f>VLOOKUP($A94,'Data shares'!$C:$FA,127)*100</f>
        <v>-5.17</v>
      </c>
      <c r="H94" s="103">
        <f>VLOOKUP($A94,'OI(Volume)'!$A$7:$O$427,8)</f>
        <v>157628625</v>
      </c>
      <c r="I94" s="103">
        <f>VLOOKUP($A94,'OI(Volume)'!$A$7:$O$427,9)</f>
        <v>12558350</v>
      </c>
      <c r="J94" s="103">
        <f>VLOOKUP($A94,'OI(Volume)'!$A$7:$O$427,11)</f>
        <v>107209725</v>
      </c>
      <c r="K94" s="103">
        <f>VLOOKUP($A94,'OI(Volume)'!$A$7:$O$427,12)</f>
        <v>5286750</v>
      </c>
      <c r="L94" s="103">
        <f>VLOOKUP($A94,'OI(Value)'!$A$7:$O$306,8,0)</f>
        <v>1133</v>
      </c>
      <c r="M94" s="103">
        <f>VLOOKUP($A94,'OI(Value)'!$A$7:$O$306,9,0)</f>
        <v>90</v>
      </c>
      <c r="N94" s="103">
        <f>VLOOKUP($A94,'OI(Value)'!$A$7:$O$306,11,0)</f>
        <v>771</v>
      </c>
      <c r="O94" s="103">
        <f>VLOOKUP($A94,'OI(Value)'!$A$7:$O$306,12,0)</f>
        <v>38</v>
      </c>
      <c r="P94" s="179">
        <f>VLOOKUP(A94,'OI(Value)'!A94:O295,8,0)</f>
        <v>1133</v>
      </c>
      <c r="Q94" s="179">
        <f>VLOOKUP(A94,'OI(Value)'!A94:O295,9,0)</f>
        <v>90</v>
      </c>
      <c r="R94" s="179">
        <f>VLOOKUP(A94,'OI(Value)'!A94:O295,11,0)</f>
        <v>771</v>
      </c>
      <c r="S94" s="179">
        <f>VLOOKUP(A94,'OI(Value)'!A94:O295,11,0)</f>
        <v>771</v>
      </c>
    </row>
    <row r="95" spans="1:19" x14ac:dyDescent="0.25">
      <c r="A95" s="105" t="str">
        <f>'Data shares'!C90</f>
        <v>IEX</v>
      </c>
      <c r="B95" s="143">
        <f>VLOOKUP($A95,'Data shares'!$C:$FA,118)</f>
        <v>0.59</v>
      </c>
      <c r="C95" s="143">
        <f>VLOOKUP($A95,'Data shares'!$C:$FA,119)</f>
        <v>0.59</v>
      </c>
      <c r="D95" s="143">
        <f>VLOOKUP($A95,'Data shares'!$C:$FA,121)*100</f>
        <v>0</v>
      </c>
      <c r="E95" s="143">
        <f>VLOOKUP($A95,'Data shares'!$C:$FA,124)</f>
        <v>0.59</v>
      </c>
      <c r="F95" s="143">
        <f>VLOOKUP($A95,'Data shares'!$C:$FA,125)</f>
        <v>0.69</v>
      </c>
      <c r="G95" s="143">
        <f>VLOOKUP($A95,'Data shares'!$C:$FA,127)*100</f>
        <v>-14.49</v>
      </c>
      <c r="H95" s="103">
        <f>VLOOKUP($A95,'OI(Volume)'!$A$7:$O$427,8)</f>
        <v>40736250</v>
      </c>
      <c r="I95" s="103">
        <f>VLOOKUP($A95,'OI(Volume)'!$A$7:$O$427,9)</f>
        <v>2193750</v>
      </c>
      <c r="J95" s="103">
        <f>VLOOKUP($A95,'OI(Volume)'!$A$7:$O$427,11)</f>
        <v>24228750</v>
      </c>
      <c r="K95" s="103">
        <f>VLOOKUP($A95,'OI(Volume)'!$A$7:$O$427,12)</f>
        <v>1320000</v>
      </c>
      <c r="L95" s="103">
        <f>VLOOKUP($A95,'OI(Value)'!$A$7:$O$306,8,0)</f>
        <v>550</v>
      </c>
      <c r="M95" s="103">
        <f>VLOOKUP($A95,'OI(Value)'!$A$7:$O$306,9,0)</f>
        <v>30</v>
      </c>
      <c r="N95" s="103">
        <f>VLOOKUP($A95,'OI(Value)'!$A$7:$O$306,11,0)</f>
        <v>327</v>
      </c>
      <c r="O95" s="103">
        <f>VLOOKUP($A95,'OI(Value)'!$A$7:$O$306,12,0)</f>
        <v>18</v>
      </c>
      <c r="P95" s="179">
        <f>VLOOKUP(A95,'OI(Value)'!A95:O296,8,0)</f>
        <v>550</v>
      </c>
      <c r="Q95" s="179">
        <f>VLOOKUP(A95,'OI(Value)'!A95:O296,9,0)</f>
        <v>30</v>
      </c>
      <c r="R95" s="179">
        <f>VLOOKUP(A95,'OI(Value)'!A95:O296,11,0)</f>
        <v>327</v>
      </c>
      <c r="S95" s="179">
        <f>VLOOKUP(A95,'OI(Value)'!A95:O296,11,0)</f>
        <v>327</v>
      </c>
    </row>
    <row r="96" spans="1:19" x14ac:dyDescent="0.25">
      <c r="A96" s="105" t="str">
        <f>'Data shares'!C91</f>
        <v>IGL</v>
      </c>
      <c r="B96" s="143">
        <f>VLOOKUP($A96,'Data shares'!$C:$FA,118)</f>
        <v>0.5</v>
      </c>
      <c r="C96" s="143">
        <f>VLOOKUP($A96,'Data shares'!$C:$FA,119)</f>
        <v>0.51</v>
      </c>
      <c r="D96" s="143">
        <f>VLOOKUP($A96,'Data shares'!$C:$FA,121)*100</f>
        <v>-1.96</v>
      </c>
      <c r="E96" s="143">
        <f>VLOOKUP($A96,'Data shares'!$C:$FA,124)</f>
        <v>0.41</v>
      </c>
      <c r="F96" s="143">
        <f>VLOOKUP($A96,'Data shares'!$C:$FA,125)</f>
        <v>0.48</v>
      </c>
      <c r="G96" s="143">
        <f>VLOOKUP($A96,'Data shares'!$C:$FA,127)*100</f>
        <v>-14.580000000000002</v>
      </c>
      <c r="H96" s="103">
        <f>VLOOKUP($A96,'OI(Volume)'!$A$7:$O$427,8)</f>
        <v>20028250</v>
      </c>
      <c r="I96" s="103">
        <f>VLOOKUP($A96,'OI(Volume)'!$A$7:$O$427,9)</f>
        <v>244750</v>
      </c>
      <c r="J96" s="103">
        <f>VLOOKUP($A96,'OI(Volume)'!$A$7:$O$427,11)</f>
        <v>10048500</v>
      </c>
      <c r="K96" s="103">
        <f>VLOOKUP($A96,'OI(Volume)'!$A$7:$O$427,12)</f>
        <v>-19250</v>
      </c>
      <c r="L96" s="103">
        <f>VLOOKUP($A96,'OI(Value)'!$A$7:$O$306,8,0)</f>
        <v>428</v>
      </c>
      <c r="M96" s="103">
        <f>VLOOKUP($A96,'OI(Value)'!$A$7:$O$306,9,0)</f>
        <v>5</v>
      </c>
      <c r="N96" s="103">
        <f>VLOOKUP($A96,'OI(Value)'!$A$7:$O$306,11,0)</f>
        <v>215</v>
      </c>
      <c r="O96" s="103">
        <f>VLOOKUP($A96,'OI(Value)'!$A$7:$O$306,12,0)</f>
        <v>0</v>
      </c>
      <c r="P96" s="179">
        <f>VLOOKUP(A96,'OI(Value)'!A96:O297,8,0)</f>
        <v>428</v>
      </c>
      <c r="Q96" s="179">
        <f>VLOOKUP(A96,'OI(Value)'!A96:O297,9,0)</f>
        <v>5</v>
      </c>
      <c r="R96" s="179">
        <f>VLOOKUP(A96,'OI(Value)'!A96:O297,11,0)</f>
        <v>215</v>
      </c>
      <c r="S96" s="179">
        <f>VLOOKUP(A96,'OI(Value)'!A96:O297,11,0)</f>
        <v>215</v>
      </c>
    </row>
    <row r="97" spans="1:19" x14ac:dyDescent="0.25">
      <c r="A97" s="105" t="str">
        <f>'Data shares'!C92</f>
        <v>IIFL</v>
      </c>
      <c r="B97" s="143">
        <f>VLOOKUP($A97,'Data shares'!$C:$FA,118)</f>
        <v>0.7</v>
      </c>
      <c r="C97" s="143">
        <f>VLOOKUP($A97,'Data shares'!$C:$FA,119)</f>
        <v>0.75</v>
      </c>
      <c r="D97" s="143">
        <f>VLOOKUP($A97,'Data shares'!$C:$FA,121)*100</f>
        <v>-6.67</v>
      </c>
      <c r="E97" s="143">
        <f>VLOOKUP($A97,'Data shares'!$C:$FA,124)</f>
        <v>0.5</v>
      </c>
      <c r="F97" s="143">
        <f>VLOOKUP($A97,'Data shares'!$C:$FA,125)</f>
        <v>0.39</v>
      </c>
      <c r="G97" s="143">
        <f>VLOOKUP($A97,'Data shares'!$C:$FA,127)*100</f>
        <v>28.21</v>
      </c>
      <c r="H97" s="103">
        <f>VLOOKUP($A97,'OI(Volume)'!$A$7:$O$427,8)</f>
        <v>4448400</v>
      </c>
      <c r="I97" s="103">
        <f>VLOOKUP($A97,'OI(Volume)'!$A$7:$O$427,9)</f>
        <v>33000</v>
      </c>
      <c r="J97" s="103">
        <f>VLOOKUP($A97,'OI(Volume)'!$A$7:$O$427,11)</f>
        <v>3130050</v>
      </c>
      <c r="K97" s="103">
        <f>VLOOKUP($A97,'OI(Volume)'!$A$7:$O$427,12)</f>
        <v>-201300</v>
      </c>
      <c r="L97" s="103">
        <f>VLOOKUP($A97,'OI(Value)'!$A$7:$O$306,8,0)</f>
        <v>223</v>
      </c>
      <c r="M97" s="103">
        <f>VLOOKUP($A97,'OI(Value)'!$A$7:$O$306,9,0)</f>
        <v>2</v>
      </c>
      <c r="N97" s="103">
        <f>VLOOKUP($A97,'OI(Value)'!$A$7:$O$306,11,0)</f>
        <v>157</v>
      </c>
      <c r="O97" s="103">
        <f>VLOOKUP($A97,'OI(Value)'!$A$7:$O$306,12,0)</f>
        <v>-10</v>
      </c>
      <c r="P97" s="179">
        <f>VLOOKUP(A97,'OI(Value)'!A97:O298,8,0)</f>
        <v>223</v>
      </c>
      <c r="Q97" s="179">
        <f>VLOOKUP(A97,'OI(Value)'!A97:O298,9,0)</f>
        <v>2</v>
      </c>
      <c r="R97" s="179">
        <f>VLOOKUP(A97,'OI(Value)'!A97:O298,11,0)</f>
        <v>157</v>
      </c>
      <c r="S97" s="179">
        <f>VLOOKUP(A97,'OI(Value)'!A97:O298,11,0)</f>
        <v>157</v>
      </c>
    </row>
    <row r="98" spans="1:19" x14ac:dyDescent="0.25">
      <c r="A98" s="105" t="str">
        <f>'Data shares'!C93</f>
        <v>INDHOTEL</v>
      </c>
      <c r="B98" s="143">
        <f>VLOOKUP($A98,'Data shares'!$C:$FA,118)</f>
        <v>0.49</v>
      </c>
      <c r="C98" s="143">
        <f>VLOOKUP($A98,'Data shares'!$C:$FA,119)</f>
        <v>0.48</v>
      </c>
      <c r="D98" s="143">
        <f>VLOOKUP($A98,'Data shares'!$C:$FA,121)*100</f>
        <v>2.08</v>
      </c>
      <c r="E98" s="143">
        <f>VLOOKUP($A98,'Data shares'!$C:$FA,124)</f>
        <v>0.39</v>
      </c>
      <c r="F98" s="143">
        <f>VLOOKUP($A98,'Data shares'!$C:$FA,125)</f>
        <v>0.27</v>
      </c>
      <c r="G98" s="143">
        <f>VLOOKUP($A98,'Data shares'!$C:$FA,127)*100</f>
        <v>44.440000000000005</v>
      </c>
      <c r="H98" s="103">
        <f>VLOOKUP($A98,'OI(Volume)'!$A$7:$O$427,8)</f>
        <v>14768000</v>
      </c>
      <c r="I98" s="103">
        <f>VLOOKUP($A98,'OI(Volume)'!$A$7:$O$427,9)</f>
        <v>-1048000</v>
      </c>
      <c r="J98" s="103">
        <f>VLOOKUP($A98,'OI(Volume)'!$A$7:$O$427,11)</f>
        <v>7200000</v>
      </c>
      <c r="K98" s="103">
        <f>VLOOKUP($A98,'OI(Volume)'!$A$7:$O$427,12)</f>
        <v>-401000</v>
      </c>
      <c r="L98" s="103">
        <f>VLOOKUP($A98,'OI(Value)'!$A$7:$O$306,8,0)</f>
        <v>1091</v>
      </c>
      <c r="M98" s="103">
        <f>VLOOKUP($A98,'OI(Value)'!$A$7:$O$306,9,0)</f>
        <v>-77</v>
      </c>
      <c r="N98" s="103">
        <f>VLOOKUP($A98,'OI(Value)'!$A$7:$O$306,11,0)</f>
        <v>532</v>
      </c>
      <c r="O98" s="103">
        <f>VLOOKUP($A98,'OI(Value)'!$A$7:$O$306,12,0)</f>
        <v>-30</v>
      </c>
      <c r="P98" s="179">
        <f>VLOOKUP(A98,'OI(Value)'!A98:O299,8,0)</f>
        <v>1091</v>
      </c>
      <c r="Q98" s="179">
        <f>VLOOKUP(A98,'OI(Value)'!A98:O299,9,0)</f>
        <v>-77</v>
      </c>
      <c r="R98" s="179">
        <f>VLOOKUP(A98,'OI(Value)'!A98:O299,11,0)</f>
        <v>532</v>
      </c>
      <c r="S98" s="179">
        <f>VLOOKUP(A98,'OI(Value)'!A98:O299,11,0)</f>
        <v>532</v>
      </c>
    </row>
    <row r="99" spans="1:19" x14ac:dyDescent="0.25">
      <c r="A99" s="105" t="str">
        <f>'Data shares'!C94</f>
        <v>INDIANB</v>
      </c>
      <c r="B99" s="143">
        <f>VLOOKUP($A99,'Data shares'!$C:$FA,118)</f>
        <v>0.62</v>
      </c>
      <c r="C99" s="143">
        <f>VLOOKUP($A99,'Data shares'!$C:$FA,119)</f>
        <v>0.87</v>
      </c>
      <c r="D99" s="143">
        <f>VLOOKUP($A99,'Data shares'!$C:$FA,121)*100</f>
        <v>-28.74</v>
      </c>
      <c r="E99" s="143">
        <f>VLOOKUP($A99,'Data shares'!$C:$FA,124)</f>
        <v>0.44</v>
      </c>
      <c r="F99" s="143">
        <f>VLOOKUP($A99,'Data shares'!$C:$FA,125)</f>
        <v>0.51</v>
      </c>
      <c r="G99" s="143">
        <f>VLOOKUP($A99,'Data shares'!$C:$FA,127)*100</f>
        <v>-13.73</v>
      </c>
      <c r="H99" s="103">
        <f>VLOOKUP($A99,'OI(Volume)'!$A$7:$O$427,8)</f>
        <v>5625000</v>
      </c>
      <c r="I99" s="103">
        <f>VLOOKUP($A99,'OI(Volume)'!$A$7:$O$427,9)</f>
        <v>2236000</v>
      </c>
      <c r="J99" s="103">
        <f>VLOOKUP($A99,'OI(Volume)'!$A$7:$O$427,11)</f>
        <v>3483000</v>
      </c>
      <c r="K99" s="103">
        <f>VLOOKUP($A99,'OI(Volume)'!$A$7:$O$427,12)</f>
        <v>524000</v>
      </c>
      <c r="L99" s="103">
        <f>VLOOKUP($A99,'OI(Value)'!$A$7:$O$306,8,0)</f>
        <v>436</v>
      </c>
      <c r="M99" s="103">
        <f>VLOOKUP($A99,'OI(Value)'!$A$7:$O$306,9,0)</f>
        <v>173</v>
      </c>
      <c r="N99" s="103">
        <f>VLOOKUP($A99,'OI(Value)'!$A$7:$O$306,11,0)</f>
        <v>270</v>
      </c>
      <c r="O99" s="103">
        <f>VLOOKUP($A99,'OI(Value)'!$A$7:$O$306,12,0)</f>
        <v>41</v>
      </c>
      <c r="P99" s="179">
        <f>VLOOKUP(A99,'OI(Value)'!A99:O300,8,0)</f>
        <v>436</v>
      </c>
      <c r="Q99" s="179">
        <f>VLOOKUP(A99,'OI(Value)'!A99:O300,9,0)</f>
        <v>173</v>
      </c>
      <c r="R99" s="179">
        <f>VLOOKUP(A99,'OI(Value)'!A99:O300,11,0)</f>
        <v>270</v>
      </c>
      <c r="S99" s="179">
        <f>VLOOKUP(A99,'OI(Value)'!A99:O300,11,0)</f>
        <v>270</v>
      </c>
    </row>
    <row r="100" spans="1:19" x14ac:dyDescent="0.25">
      <c r="A100" s="105" t="str">
        <f>'Data shares'!C95</f>
        <v>INDIAVIX</v>
      </c>
      <c r="B100" s="143">
        <f>VLOOKUP($A100,'Data shares'!$C:$FA,118)</f>
        <v>0</v>
      </c>
      <c r="C100" s="143">
        <f>VLOOKUP($A100,'Data shares'!$C:$FA,119)</f>
        <v>0</v>
      </c>
      <c r="D100" s="143">
        <f>VLOOKUP($A100,'Data shares'!$C:$FA,121)*100</f>
        <v>0</v>
      </c>
      <c r="E100" s="143">
        <f>VLOOKUP($A100,'Data shares'!$C:$FA,124)</f>
        <v>0</v>
      </c>
      <c r="F100" s="143">
        <f>VLOOKUP($A100,'Data shares'!$C:$FA,125)</f>
        <v>0</v>
      </c>
      <c r="G100" s="143">
        <f>VLOOKUP($A100,'Data shares'!$C:$FA,127)*100</f>
        <v>0</v>
      </c>
      <c r="H100" s="103">
        <f>VLOOKUP($A100,'OI(Volume)'!$A$7:$O$427,8)</f>
        <v>0</v>
      </c>
      <c r="I100" s="103">
        <f>VLOOKUP($A100,'OI(Volume)'!$A$7:$O$427,9)</f>
        <v>0</v>
      </c>
      <c r="J100" s="103">
        <f>VLOOKUP($A100,'OI(Volume)'!$A$7:$O$427,11)</f>
        <v>0</v>
      </c>
      <c r="K100" s="103">
        <f>VLOOKUP($A100,'OI(Volume)'!$A$7:$O$427,12)</f>
        <v>0</v>
      </c>
      <c r="L100" s="103">
        <f>VLOOKUP($A100,'OI(Value)'!$A$7:$O$306,8,0)</f>
        <v>0</v>
      </c>
      <c r="M100" s="103">
        <f>VLOOKUP($A100,'OI(Value)'!$A$7:$O$306,9,0)</f>
        <v>0</v>
      </c>
      <c r="N100" s="103">
        <f>VLOOKUP($A100,'OI(Value)'!$A$7:$O$306,11,0)</f>
        <v>0</v>
      </c>
      <c r="O100" s="103">
        <f>VLOOKUP($A100,'OI(Value)'!$A$7:$O$306,12,0)</f>
        <v>0</v>
      </c>
      <c r="P100" s="179">
        <f>VLOOKUP(A100,'OI(Value)'!A100:O301,8,0)</f>
        <v>0</v>
      </c>
      <c r="Q100" s="179">
        <f>VLOOKUP(A100,'OI(Value)'!A100:O301,9,0)</f>
        <v>0</v>
      </c>
      <c r="R100" s="179">
        <f>VLOOKUP(A100,'OI(Value)'!A100:O301,11,0)</f>
        <v>0</v>
      </c>
      <c r="S100" s="179">
        <f>VLOOKUP(A100,'OI(Value)'!A100:O301,11,0)</f>
        <v>0</v>
      </c>
    </row>
    <row r="101" spans="1:19" x14ac:dyDescent="0.25">
      <c r="A101" s="105" t="str">
        <f>'Data shares'!C96</f>
        <v>INDIGO</v>
      </c>
      <c r="B101" s="143">
        <f>VLOOKUP($A101,'Data shares'!$C:$FA,118)</f>
        <v>0.78</v>
      </c>
      <c r="C101" s="143">
        <f>VLOOKUP($A101,'Data shares'!$C:$FA,119)</f>
        <v>0.82</v>
      </c>
      <c r="D101" s="143">
        <f>VLOOKUP($A101,'Data shares'!$C:$FA,121)*100</f>
        <v>-4.88</v>
      </c>
      <c r="E101" s="143">
        <f>VLOOKUP($A101,'Data shares'!$C:$FA,124)</f>
        <v>0.49</v>
      </c>
      <c r="F101" s="143">
        <f>VLOOKUP($A101,'Data shares'!$C:$FA,125)</f>
        <v>0.41</v>
      </c>
      <c r="G101" s="143">
        <f>VLOOKUP($A101,'Data shares'!$C:$FA,127)*100</f>
        <v>19.509999999999998</v>
      </c>
      <c r="H101" s="103">
        <f>VLOOKUP($A101,'OI(Volume)'!$A$7:$O$427,8)</f>
        <v>1998900</v>
      </c>
      <c r="I101" s="103">
        <f>VLOOKUP($A101,'OI(Volume)'!$A$7:$O$427,9)</f>
        <v>131550</v>
      </c>
      <c r="J101" s="103">
        <f>VLOOKUP($A101,'OI(Volume)'!$A$7:$O$427,11)</f>
        <v>1562250</v>
      </c>
      <c r="K101" s="103">
        <f>VLOOKUP($A101,'OI(Volume)'!$A$7:$O$427,12)</f>
        <v>34200</v>
      </c>
      <c r="L101" s="103">
        <f>VLOOKUP($A101,'OI(Value)'!$A$7:$O$306,8,0)</f>
        <v>1178</v>
      </c>
      <c r="M101" s="103">
        <f>VLOOKUP($A101,'OI(Value)'!$A$7:$O$306,9,0)</f>
        <v>78</v>
      </c>
      <c r="N101" s="103">
        <f>VLOOKUP($A101,'OI(Value)'!$A$7:$O$306,11,0)</f>
        <v>921</v>
      </c>
      <c r="O101" s="103">
        <f>VLOOKUP($A101,'OI(Value)'!$A$7:$O$306,12,0)</f>
        <v>20</v>
      </c>
      <c r="P101" s="179">
        <f>VLOOKUP(A101,'OI(Value)'!A101:O302,8,0)</f>
        <v>1178</v>
      </c>
      <c r="Q101" s="179">
        <f>VLOOKUP(A101,'OI(Value)'!A101:O302,9,0)</f>
        <v>78</v>
      </c>
      <c r="R101" s="179">
        <f>VLOOKUP(A101,'OI(Value)'!A101:O302,11,0)</f>
        <v>921</v>
      </c>
      <c r="S101" s="179">
        <f>VLOOKUP(A101,'OI(Value)'!A101:O302,11,0)</f>
        <v>921</v>
      </c>
    </row>
    <row r="102" spans="1:19" x14ac:dyDescent="0.25">
      <c r="A102" s="105" t="str">
        <f>'Data shares'!C97</f>
        <v>INDUSINDBK</v>
      </c>
      <c r="B102" s="143">
        <f>VLOOKUP($A102,'Data shares'!$C:$FA,118)</f>
        <v>0.88</v>
      </c>
      <c r="C102" s="143">
        <f>VLOOKUP($A102,'Data shares'!$C:$FA,119)</f>
        <v>0.89</v>
      </c>
      <c r="D102" s="143">
        <f>VLOOKUP($A102,'Data shares'!$C:$FA,121)*100</f>
        <v>-1.1199999999999999</v>
      </c>
      <c r="E102" s="143">
        <f>VLOOKUP($A102,'Data shares'!$C:$FA,124)</f>
        <v>0.52</v>
      </c>
      <c r="F102" s="143">
        <f>VLOOKUP($A102,'Data shares'!$C:$FA,125)</f>
        <v>0.68</v>
      </c>
      <c r="G102" s="143">
        <f>VLOOKUP($A102,'Data shares'!$C:$FA,127)*100</f>
        <v>-23.53</v>
      </c>
      <c r="H102" s="103">
        <f>VLOOKUP($A102,'OI(Volume)'!$A$7:$O$427,8)</f>
        <v>13916700</v>
      </c>
      <c r="I102" s="103">
        <f>VLOOKUP($A102,'OI(Volume)'!$A$7:$O$427,9)</f>
        <v>685300</v>
      </c>
      <c r="J102" s="103">
        <f>VLOOKUP($A102,'OI(Volume)'!$A$7:$O$427,11)</f>
        <v>12273800</v>
      </c>
      <c r="K102" s="103">
        <f>VLOOKUP($A102,'OI(Volume)'!$A$7:$O$427,12)</f>
        <v>472500</v>
      </c>
      <c r="L102" s="103">
        <f>VLOOKUP($A102,'OI(Value)'!$A$7:$O$306,8,0)</f>
        <v>1029</v>
      </c>
      <c r="M102" s="103">
        <f>VLOOKUP($A102,'OI(Value)'!$A$7:$O$306,9,0)</f>
        <v>51</v>
      </c>
      <c r="N102" s="103">
        <f>VLOOKUP($A102,'OI(Value)'!$A$7:$O$306,11,0)</f>
        <v>908</v>
      </c>
      <c r="O102" s="103">
        <f>VLOOKUP($A102,'OI(Value)'!$A$7:$O$306,12,0)</f>
        <v>35</v>
      </c>
      <c r="P102" s="179">
        <f>VLOOKUP(A102,'OI(Value)'!A102:O303,8,0)</f>
        <v>1029</v>
      </c>
      <c r="Q102" s="179">
        <f>VLOOKUP(A102,'OI(Value)'!A102:O303,9,0)</f>
        <v>51</v>
      </c>
      <c r="R102" s="179">
        <f>VLOOKUP(A102,'OI(Value)'!A102:O303,11,0)</f>
        <v>908</v>
      </c>
      <c r="S102" s="179">
        <f>VLOOKUP(A102,'OI(Value)'!A102:O303,11,0)</f>
        <v>908</v>
      </c>
    </row>
    <row r="103" spans="1:19" x14ac:dyDescent="0.25">
      <c r="A103" s="105" t="str">
        <f>'Data shares'!C98</f>
        <v>INDUSTOWER</v>
      </c>
      <c r="B103" s="143">
        <f>VLOOKUP($A103,'Data shares'!$C:$FA,118)</f>
        <v>0.74</v>
      </c>
      <c r="C103" s="143">
        <f>VLOOKUP($A103,'Data shares'!$C:$FA,119)</f>
        <v>0.72</v>
      </c>
      <c r="D103" s="143">
        <f>VLOOKUP($A103,'Data shares'!$C:$FA,121)*100</f>
        <v>2.78</v>
      </c>
      <c r="E103" s="143">
        <f>VLOOKUP($A103,'Data shares'!$C:$FA,124)</f>
        <v>0.52</v>
      </c>
      <c r="F103" s="143">
        <f>VLOOKUP($A103,'Data shares'!$C:$FA,125)</f>
        <v>0.5</v>
      </c>
      <c r="G103" s="143">
        <f>VLOOKUP($A103,'Data shares'!$C:$FA,127)*100</f>
        <v>4</v>
      </c>
      <c r="H103" s="103">
        <f>VLOOKUP($A103,'OI(Volume)'!$A$7:$O$427,8)</f>
        <v>20124600</v>
      </c>
      <c r="I103" s="103">
        <f>VLOOKUP($A103,'OI(Volume)'!$A$7:$O$427,9)</f>
        <v>139400</v>
      </c>
      <c r="J103" s="103">
        <f>VLOOKUP($A103,'OI(Volume)'!$A$7:$O$427,11)</f>
        <v>14859700</v>
      </c>
      <c r="K103" s="103">
        <f>VLOOKUP($A103,'OI(Volume)'!$A$7:$O$427,12)</f>
        <v>472600</v>
      </c>
      <c r="L103" s="103">
        <f>VLOOKUP($A103,'OI(Value)'!$A$7:$O$306,8,0)</f>
        <v>695</v>
      </c>
      <c r="M103" s="103">
        <f>VLOOKUP($A103,'OI(Value)'!$A$7:$O$306,9,0)</f>
        <v>5</v>
      </c>
      <c r="N103" s="103">
        <f>VLOOKUP($A103,'OI(Value)'!$A$7:$O$306,11,0)</f>
        <v>513</v>
      </c>
      <c r="O103" s="103">
        <f>VLOOKUP($A103,'OI(Value)'!$A$7:$O$306,12,0)</f>
        <v>16</v>
      </c>
      <c r="P103" s="179">
        <f>VLOOKUP(A103,'OI(Value)'!A103:O304,8,0)</f>
        <v>695</v>
      </c>
      <c r="Q103" s="179">
        <f>VLOOKUP(A103,'OI(Value)'!A103:O304,9,0)</f>
        <v>5</v>
      </c>
      <c r="R103" s="179">
        <f>VLOOKUP(A103,'OI(Value)'!A103:O304,11,0)</f>
        <v>513</v>
      </c>
      <c r="S103" s="179">
        <f>VLOOKUP(A103,'OI(Value)'!A103:O304,11,0)</f>
        <v>513</v>
      </c>
    </row>
    <row r="104" spans="1:19" x14ac:dyDescent="0.25">
      <c r="A104" s="105" t="str">
        <f>'Data shares'!C99</f>
        <v>INFY</v>
      </c>
      <c r="B104" s="143">
        <f>VLOOKUP($A104,'Data shares'!$C:$FA,118)</f>
        <v>0.48</v>
      </c>
      <c r="C104" s="143">
        <f>VLOOKUP($A104,'Data shares'!$C:$FA,119)</f>
        <v>0.48</v>
      </c>
      <c r="D104" s="143">
        <f>VLOOKUP($A104,'Data shares'!$C:$FA,121)*100</f>
        <v>0</v>
      </c>
      <c r="E104" s="143">
        <f>VLOOKUP($A104,'Data shares'!$C:$FA,124)</f>
        <v>0.45</v>
      </c>
      <c r="F104" s="143">
        <f>VLOOKUP($A104,'Data shares'!$C:$FA,125)</f>
        <v>0.5</v>
      </c>
      <c r="G104" s="143">
        <f>VLOOKUP($A104,'Data shares'!$C:$FA,127)*100</f>
        <v>-10</v>
      </c>
      <c r="H104" s="103">
        <f>VLOOKUP($A104,'OI(Volume)'!$A$7:$O$427,8)</f>
        <v>54339600</v>
      </c>
      <c r="I104" s="103">
        <f>VLOOKUP($A104,'OI(Volume)'!$A$7:$O$427,9)</f>
        <v>10480400</v>
      </c>
      <c r="J104" s="103">
        <f>VLOOKUP($A104,'OI(Volume)'!$A$7:$O$427,11)</f>
        <v>25868000</v>
      </c>
      <c r="K104" s="103">
        <f>VLOOKUP($A104,'OI(Volume)'!$A$7:$O$427,12)</f>
        <v>4616800</v>
      </c>
      <c r="L104" s="103">
        <f>VLOOKUP($A104,'OI(Value)'!$A$7:$O$306,8,0)</f>
        <v>7917</v>
      </c>
      <c r="M104" s="103">
        <f>VLOOKUP($A104,'OI(Value)'!$A$7:$O$306,9,0)</f>
        <v>1527</v>
      </c>
      <c r="N104" s="103">
        <f>VLOOKUP($A104,'OI(Value)'!$A$7:$O$306,11,0)</f>
        <v>3769</v>
      </c>
      <c r="O104" s="103">
        <f>VLOOKUP($A104,'OI(Value)'!$A$7:$O$306,12,0)</f>
        <v>673</v>
      </c>
      <c r="P104" s="179">
        <f>VLOOKUP(A104,'OI(Value)'!A104:O305,8,0)</f>
        <v>7917</v>
      </c>
      <c r="Q104" s="179">
        <f>VLOOKUP(A104,'OI(Value)'!A104:O305,9,0)</f>
        <v>1527</v>
      </c>
      <c r="R104" s="179">
        <f>VLOOKUP(A104,'OI(Value)'!A104:O305,11,0)</f>
        <v>3769</v>
      </c>
      <c r="S104" s="179">
        <f>VLOOKUP(A104,'OI(Value)'!A104:O305,11,0)</f>
        <v>3769</v>
      </c>
    </row>
    <row r="105" spans="1:19" x14ac:dyDescent="0.25">
      <c r="A105" s="105" t="str">
        <f>'Data shares'!C100</f>
        <v>INOXWIND</v>
      </c>
      <c r="B105" s="143">
        <f>VLOOKUP($A105,'Data shares'!$C:$FA,118)</f>
        <v>0.46</v>
      </c>
      <c r="C105" s="143">
        <f>VLOOKUP($A105,'Data shares'!$C:$FA,119)</f>
        <v>0.46</v>
      </c>
      <c r="D105" s="143">
        <f>VLOOKUP($A105,'Data shares'!$C:$FA,121)*100</f>
        <v>0</v>
      </c>
      <c r="E105" s="143">
        <f>VLOOKUP($A105,'Data shares'!$C:$FA,124)</f>
        <v>0.3</v>
      </c>
      <c r="F105" s="143">
        <f>VLOOKUP($A105,'Data shares'!$C:$FA,125)</f>
        <v>0.37</v>
      </c>
      <c r="G105" s="143">
        <f>VLOOKUP($A105,'Data shares'!$C:$FA,127)*100</f>
        <v>-18.920000000000002</v>
      </c>
      <c r="H105" s="103">
        <f>VLOOKUP($A105,'OI(Volume)'!$A$7:$O$427,8)</f>
        <v>21389064</v>
      </c>
      <c r="I105" s="103">
        <f>VLOOKUP($A105,'OI(Volume)'!$A$7:$O$427,9)</f>
        <v>471168</v>
      </c>
      <c r="J105" s="103">
        <f>VLOOKUP($A105,'OI(Volume)'!$A$7:$O$427,11)</f>
        <v>9780008</v>
      </c>
      <c r="K105" s="103">
        <f>VLOOKUP($A105,'OI(Volume)'!$A$7:$O$427,12)</f>
        <v>212680</v>
      </c>
      <c r="L105" s="103">
        <f>VLOOKUP($A105,'OI(Value)'!$A$7:$O$306,8,0)</f>
        <v>315</v>
      </c>
      <c r="M105" s="103">
        <f>VLOOKUP($A105,'OI(Value)'!$A$7:$O$306,9,0)</f>
        <v>7</v>
      </c>
      <c r="N105" s="103">
        <f>VLOOKUP($A105,'OI(Value)'!$A$7:$O$306,11,0)</f>
        <v>144</v>
      </c>
      <c r="O105" s="103">
        <f>VLOOKUP($A105,'OI(Value)'!$A$7:$O$306,12,0)</f>
        <v>3</v>
      </c>
      <c r="P105" s="179">
        <f>VLOOKUP(A105,'OI(Value)'!A105:O306,8,0)</f>
        <v>315</v>
      </c>
      <c r="Q105" s="179">
        <f>VLOOKUP(A105,'OI(Value)'!A105:O306,9,0)</f>
        <v>7</v>
      </c>
      <c r="R105" s="179">
        <f>VLOOKUP(A105,'OI(Value)'!A105:O306,11,0)</f>
        <v>144</v>
      </c>
      <c r="S105" s="179">
        <f>VLOOKUP(A105,'OI(Value)'!A105:O306,11,0)</f>
        <v>144</v>
      </c>
    </row>
    <row r="106" spans="1:19" x14ac:dyDescent="0.25">
      <c r="A106" s="105" t="str">
        <f>'Data shares'!C101</f>
        <v>IOC</v>
      </c>
      <c r="B106" s="143">
        <f>VLOOKUP($A106,'Data shares'!$C:$FA,118)</f>
        <v>0.65</v>
      </c>
      <c r="C106" s="143">
        <f>VLOOKUP($A106,'Data shares'!$C:$FA,119)</f>
        <v>0.64</v>
      </c>
      <c r="D106" s="143">
        <f>VLOOKUP($A106,'Data shares'!$C:$FA,121)*100</f>
        <v>1.5599999999999998</v>
      </c>
      <c r="E106" s="143">
        <f>VLOOKUP($A106,'Data shares'!$C:$FA,124)</f>
        <v>0.56999999999999995</v>
      </c>
      <c r="F106" s="143">
        <f>VLOOKUP($A106,'Data shares'!$C:$FA,125)</f>
        <v>0.56000000000000005</v>
      </c>
      <c r="G106" s="143">
        <f>VLOOKUP($A106,'Data shares'!$C:$FA,127)*100</f>
        <v>1.79</v>
      </c>
      <c r="H106" s="103">
        <f>VLOOKUP($A106,'OI(Volume)'!$A$7:$O$427,8)</f>
        <v>52659750</v>
      </c>
      <c r="I106" s="103">
        <f>VLOOKUP($A106,'OI(Volume)'!$A$7:$O$427,9)</f>
        <v>1959750</v>
      </c>
      <c r="J106" s="103">
        <f>VLOOKUP($A106,'OI(Volume)'!$A$7:$O$427,11)</f>
        <v>34461375</v>
      </c>
      <c r="K106" s="103">
        <f>VLOOKUP($A106,'OI(Volume)'!$A$7:$O$427,12)</f>
        <v>2266875</v>
      </c>
      <c r="L106" s="103">
        <f>VLOOKUP($A106,'OI(Value)'!$A$7:$O$306,8,0)</f>
        <v>811</v>
      </c>
      <c r="M106" s="103">
        <f>VLOOKUP($A106,'OI(Value)'!$A$7:$O$306,9,0)</f>
        <v>30</v>
      </c>
      <c r="N106" s="103">
        <f>VLOOKUP($A106,'OI(Value)'!$A$7:$O$306,11,0)</f>
        <v>530</v>
      </c>
      <c r="O106" s="103">
        <f>VLOOKUP($A106,'OI(Value)'!$A$7:$O$306,12,0)</f>
        <v>35</v>
      </c>
      <c r="P106" s="179">
        <f>VLOOKUP(A106,'OI(Value)'!A106:O307,8,0)</f>
        <v>811</v>
      </c>
      <c r="Q106" s="179">
        <f>VLOOKUP(A106,'OI(Value)'!A106:O307,9,0)</f>
        <v>30</v>
      </c>
      <c r="R106" s="179">
        <f>VLOOKUP(A106,'OI(Value)'!A106:O307,11,0)</f>
        <v>530</v>
      </c>
      <c r="S106" s="179">
        <f>VLOOKUP(A106,'OI(Value)'!A106:O307,11,0)</f>
        <v>530</v>
      </c>
    </row>
    <row r="107" spans="1:19" x14ac:dyDescent="0.25">
      <c r="A107" s="105" t="str">
        <f>'Data shares'!C102</f>
        <v>IRCTC</v>
      </c>
      <c r="B107" s="143">
        <f>VLOOKUP($A107,'Data shares'!$C:$FA,118)</f>
        <v>0.49</v>
      </c>
      <c r="C107" s="143">
        <f>VLOOKUP($A107,'Data shares'!$C:$FA,119)</f>
        <v>0.5</v>
      </c>
      <c r="D107" s="143">
        <f>VLOOKUP($A107,'Data shares'!$C:$FA,121)*100</f>
        <v>-2</v>
      </c>
      <c r="E107" s="143">
        <f>VLOOKUP($A107,'Data shares'!$C:$FA,124)</f>
        <v>0.28999999999999998</v>
      </c>
      <c r="F107" s="143">
        <f>VLOOKUP($A107,'Data shares'!$C:$FA,125)</f>
        <v>0.2</v>
      </c>
      <c r="G107" s="143">
        <f>VLOOKUP($A107,'Data shares'!$C:$FA,127)*100</f>
        <v>45</v>
      </c>
      <c r="H107" s="103">
        <f>VLOOKUP($A107,'OI(Volume)'!$A$7:$O$427,8)</f>
        <v>10368750</v>
      </c>
      <c r="I107" s="103">
        <f>VLOOKUP($A107,'OI(Volume)'!$A$7:$O$427,9)</f>
        <v>-875</v>
      </c>
      <c r="J107" s="103">
        <f>VLOOKUP($A107,'OI(Volume)'!$A$7:$O$427,11)</f>
        <v>5051375</v>
      </c>
      <c r="K107" s="103">
        <f>VLOOKUP($A107,'OI(Volume)'!$A$7:$O$427,12)</f>
        <v>-153125</v>
      </c>
      <c r="L107" s="103">
        <f>VLOOKUP($A107,'OI(Value)'!$A$7:$O$306,8,0)</f>
        <v>748</v>
      </c>
      <c r="M107" s="103">
        <f>VLOOKUP($A107,'OI(Value)'!$A$7:$O$306,9,0)</f>
        <v>0</v>
      </c>
      <c r="N107" s="103">
        <f>VLOOKUP($A107,'OI(Value)'!$A$7:$O$306,11,0)</f>
        <v>364</v>
      </c>
      <c r="O107" s="103">
        <f>VLOOKUP($A107,'OI(Value)'!$A$7:$O$306,12,0)</f>
        <v>-11</v>
      </c>
      <c r="P107" s="179">
        <f>VLOOKUP(A107,'OI(Value)'!A107:O308,8,0)</f>
        <v>748</v>
      </c>
      <c r="Q107" s="179">
        <f>VLOOKUP(A107,'OI(Value)'!A107:O308,9,0)</f>
        <v>0</v>
      </c>
      <c r="R107" s="179">
        <f>VLOOKUP(A107,'OI(Value)'!A107:O308,11,0)</f>
        <v>364</v>
      </c>
      <c r="S107" s="179">
        <f>VLOOKUP(A107,'OI(Value)'!A107:O308,11,0)</f>
        <v>364</v>
      </c>
    </row>
    <row r="108" spans="1:19" x14ac:dyDescent="0.25">
      <c r="A108" s="105" t="str">
        <f>'Data shares'!C103</f>
        <v>IREDA</v>
      </c>
      <c r="B108" s="143">
        <f>VLOOKUP($A108,'Data shares'!$C:$FA,118)</f>
        <v>0.41</v>
      </c>
      <c r="C108" s="143">
        <f>VLOOKUP($A108,'Data shares'!$C:$FA,119)</f>
        <v>0.42</v>
      </c>
      <c r="D108" s="143">
        <f>VLOOKUP($A108,'Data shares'!$C:$FA,121)*100</f>
        <v>-2.3800000000000003</v>
      </c>
      <c r="E108" s="143">
        <f>VLOOKUP($A108,'Data shares'!$C:$FA,124)</f>
        <v>0.28000000000000003</v>
      </c>
      <c r="F108" s="143">
        <f>VLOOKUP($A108,'Data shares'!$C:$FA,125)</f>
        <v>0.31</v>
      </c>
      <c r="G108" s="143">
        <f>VLOOKUP($A108,'Data shares'!$C:$FA,127)*100</f>
        <v>-9.68</v>
      </c>
      <c r="H108" s="103">
        <f>VLOOKUP($A108,'OI(Volume)'!$A$7:$O$427,8)</f>
        <v>48465600</v>
      </c>
      <c r="I108" s="103">
        <f>VLOOKUP($A108,'OI(Volume)'!$A$7:$O$427,9)</f>
        <v>1721550</v>
      </c>
      <c r="J108" s="103">
        <f>VLOOKUP($A108,'OI(Volume)'!$A$7:$O$427,11)</f>
        <v>20096250</v>
      </c>
      <c r="K108" s="103">
        <f>VLOOKUP($A108,'OI(Volume)'!$A$7:$O$427,12)</f>
        <v>696900</v>
      </c>
      <c r="L108" s="103">
        <f>VLOOKUP($A108,'OI(Value)'!$A$7:$O$306,8,0)</f>
        <v>742</v>
      </c>
      <c r="M108" s="103">
        <f>VLOOKUP($A108,'OI(Value)'!$A$7:$O$306,9,0)</f>
        <v>26</v>
      </c>
      <c r="N108" s="103">
        <f>VLOOKUP($A108,'OI(Value)'!$A$7:$O$306,11,0)</f>
        <v>308</v>
      </c>
      <c r="O108" s="103">
        <f>VLOOKUP($A108,'OI(Value)'!$A$7:$O$306,12,0)</f>
        <v>11</v>
      </c>
      <c r="P108" s="179">
        <f>VLOOKUP(A108,'OI(Value)'!A108:O309,8,0)</f>
        <v>742</v>
      </c>
      <c r="Q108" s="179">
        <f>VLOOKUP(A108,'OI(Value)'!A108:O309,9,0)</f>
        <v>26</v>
      </c>
      <c r="R108" s="179">
        <f>VLOOKUP(A108,'OI(Value)'!A108:O309,11,0)</f>
        <v>308</v>
      </c>
      <c r="S108" s="179">
        <f>VLOOKUP(A108,'OI(Value)'!A108:O309,11,0)</f>
        <v>308</v>
      </c>
    </row>
    <row r="109" spans="1:19" x14ac:dyDescent="0.25">
      <c r="A109" s="105" t="str">
        <f>'Data shares'!C104</f>
        <v>IRFC</v>
      </c>
      <c r="B109" s="143">
        <f>VLOOKUP($A109,'Data shares'!$C:$FA,118)</f>
        <v>0.43</v>
      </c>
      <c r="C109" s="143">
        <f>VLOOKUP($A109,'Data shares'!$C:$FA,119)</f>
        <v>0.43</v>
      </c>
      <c r="D109" s="143">
        <f>VLOOKUP($A109,'Data shares'!$C:$FA,121)*100</f>
        <v>0</v>
      </c>
      <c r="E109" s="143">
        <f>VLOOKUP($A109,'Data shares'!$C:$FA,124)</f>
        <v>0.27</v>
      </c>
      <c r="F109" s="143">
        <f>VLOOKUP($A109,'Data shares'!$C:$FA,125)</f>
        <v>0.36</v>
      </c>
      <c r="G109" s="143">
        <f>VLOOKUP($A109,'Data shares'!$C:$FA,127)*100</f>
        <v>-25</v>
      </c>
      <c r="H109" s="103">
        <f>VLOOKUP($A109,'OI(Volume)'!$A$7:$O$427,8)</f>
        <v>43928000</v>
      </c>
      <c r="I109" s="103">
        <f>VLOOKUP($A109,'OI(Volume)'!$A$7:$O$427,9)</f>
        <v>1219750</v>
      </c>
      <c r="J109" s="103">
        <f>VLOOKUP($A109,'OI(Volume)'!$A$7:$O$427,11)</f>
        <v>18938000</v>
      </c>
      <c r="K109" s="103">
        <f>VLOOKUP($A109,'OI(Volume)'!$A$7:$O$427,12)</f>
        <v>582250</v>
      </c>
      <c r="L109" s="103">
        <f>VLOOKUP($A109,'OI(Value)'!$A$7:$O$306,8,0)</f>
        <v>544</v>
      </c>
      <c r="M109" s="103">
        <f>VLOOKUP($A109,'OI(Value)'!$A$7:$O$306,9,0)</f>
        <v>15</v>
      </c>
      <c r="N109" s="103">
        <f>VLOOKUP($A109,'OI(Value)'!$A$7:$O$306,11,0)</f>
        <v>235</v>
      </c>
      <c r="O109" s="103">
        <f>VLOOKUP($A109,'OI(Value)'!$A$7:$O$306,12,0)</f>
        <v>7</v>
      </c>
      <c r="P109" s="179">
        <f>VLOOKUP(A109,'OI(Value)'!A109:O310,8,0)</f>
        <v>544</v>
      </c>
      <c r="Q109" s="179">
        <f>VLOOKUP(A109,'OI(Value)'!A109:O310,9,0)</f>
        <v>15</v>
      </c>
      <c r="R109" s="179">
        <f>VLOOKUP(A109,'OI(Value)'!A109:O310,11,0)</f>
        <v>235</v>
      </c>
      <c r="S109" s="179">
        <f>VLOOKUP(A109,'OI(Value)'!A109:O310,11,0)</f>
        <v>235</v>
      </c>
    </row>
    <row r="110" spans="1:19" x14ac:dyDescent="0.25">
      <c r="A110" s="105" t="str">
        <f>'Data shares'!C105</f>
        <v>ITC</v>
      </c>
      <c r="B110" s="143">
        <f>VLOOKUP($A110,'Data shares'!$C:$FA,118)</f>
        <v>0.74</v>
      </c>
      <c r="C110" s="143">
        <f>VLOOKUP($A110,'Data shares'!$C:$FA,119)</f>
        <v>0.67</v>
      </c>
      <c r="D110" s="143">
        <f>VLOOKUP($A110,'Data shares'!$C:$FA,121)*100</f>
        <v>10.45</v>
      </c>
      <c r="E110" s="143">
        <f>VLOOKUP($A110,'Data shares'!$C:$FA,124)</f>
        <v>0.56000000000000005</v>
      </c>
      <c r="F110" s="143">
        <f>VLOOKUP($A110,'Data shares'!$C:$FA,125)</f>
        <v>0.71</v>
      </c>
      <c r="G110" s="143">
        <f>VLOOKUP($A110,'Data shares'!$C:$FA,127)*100</f>
        <v>-21.13</v>
      </c>
      <c r="H110" s="103">
        <f>VLOOKUP($A110,'OI(Volume)'!$A$7:$O$427,8)</f>
        <v>44254400</v>
      </c>
      <c r="I110" s="103">
        <f>VLOOKUP($A110,'OI(Volume)'!$A$7:$O$427,9)</f>
        <v>-6308800</v>
      </c>
      <c r="J110" s="103">
        <f>VLOOKUP($A110,'OI(Volume)'!$A$7:$O$427,11)</f>
        <v>32950400</v>
      </c>
      <c r="K110" s="103">
        <f>VLOOKUP($A110,'OI(Volume)'!$A$7:$O$427,12)</f>
        <v>-912000</v>
      </c>
      <c r="L110" s="103">
        <f>VLOOKUP($A110,'OI(Value)'!$A$7:$O$306,8,0)</f>
        <v>1800</v>
      </c>
      <c r="M110" s="103">
        <f>VLOOKUP($A110,'OI(Value)'!$A$7:$O$306,9,0)</f>
        <v>-257</v>
      </c>
      <c r="N110" s="103">
        <f>VLOOKUP($A110,'OI(Value)'!$A$7:$O$306,11,0)</f>
        <v>1340</v>
      </c>
      <c r="O110" s="103">
        <f>VLOOKUP($A110,'OI(Value)'!$A$7:$O$306,12,0)</f>
        <v>-37</v>
      </c>
      <c r="P110" s="179">
        <f>VLOOKUP(A110,'OI(Value)'!A110:O311,8,0)</f>
        <v>1800</v>
      </c>
      <c r="Q110" s="179">
        <f>VLOOKUP(A110,'OI(Value)'!A110:O311,9,0)</f>
        <v>-257</v>
      </c>
      <c r="R110" s="179">
        <f>VLOOKUP(A110,'OI(Value)'!A110:O311,11,0)</f>
        <v>1340</v>
      </c>
      <c r="S110" s="179">
        <f>VLOOKUP(A110,'OI(Value)'!A110:O311,11,0)</f>
        <v>1340</v>
      </c>
    </row>
    <row r="111" spans="1:19" x14ac:dyDescent="0.25">
      <c r="A111" s="105" t="str">
        <f>'Data shares'!C106</f>
        <v>JINDALSTEL</v>
      </c>
      <c r="B111" s="143">
        <f>VLOOKUP($A111,'Data shares'!$C:$FA,118)</f>
        <v>0.51</v>
      </c>
      <c r="C111" s="143">
        <f>VLOOKUP($A111,'Data shares'!$C:$FA,119)</f>
        <v>0.45</v>
      </c>
      <c r="D111" s="143">
        <f>VLOOKUP($A111,'Data shares'!$C:$FA,121)*100</f>
        <v>13.33</v>
      </c>
      <c r="E111" s="143">
        <f>VLOOKUP($A111,'Data shares'!$C:$FA,124)</f>
        <v>0.37</v>
      </c>
      <c r="F111" s="143">
        <f>VLOOKUP($A111,'Data shares'!$C:$FA,125)</f>
        <v>0.24</v>
      </c>
      <c r="G111" s="143">
        <f>VLOOKUP($A111,'Data shares'!$C:$FA,127)*100</f>
        <v>54.169999999999995</v>
      </c>
      <c r="H111" s="103">
        <f>VLOOKUP($A111,'OI(Volume)'!$A$7:$O$427,8)</f>
        <v>8210000</v>
      </c>
      <c r="I111" s="103">
        <f>VLOOKUP($A111,'OI(Volume)'!$A$7:$O$427,9)</f>
        <v>-952500</v>
      </c>
      <c r="J111" s="103">
        <f>VLOOKUP($A111,'OI(Volume)'!$A$7:$O$427,11)</f>
        <v>4192500</v>
      </c>
      <c r="K111" s="103">
        <f>VLOOKUP($A111,'OI(Volume)'!$A$7:$O$427,12)</f>
        <v>64375</v>
      </c>
      <c r="L111" s="103">
        <f>VLOOKUP($A111,'OI(Value)'!$A$7:$O$306,8,0)</f>
        <v>841</v>
      </c>
      <c r="M111" s="103">
        <f>VLOOKUP($A111,'OI(Value)'!$A$7:$O$306,9,0)</f>
        <v>-98</v>
      </c>
      <c r="N111" s="103">
        <f>VLOOKUP($A111,'OI(Value)'!$A$7:$O$306,11,0)</f>
        <v>430</v>
      </c>
      <c r="O111" s="103">
        <f>VLOOKUP($A111,'OI(Value)'!$A$7:$O$306,12,0)</f>
        <v>7</v>
      </c>
      <c r="P111" s="179">
        <f>VLOOKUP(A111,'OI(Value)'!A111:O312,8,0)</f>
        <v>841</v>
      </c>
      <c r="Q111" s="179">
        <f>VLOOKUP(A111,'OI(Value)'!A111:O312,9,0)</f>
        <v>-98</v>
      </c>
      <c r="R111" s="179">
        <f>VLOOKUP(A111,'OI(Value)'!A111:O312,11,0)</f>
        <v>430</v>
      </c>
      <c r="S111" s="179">
        <f>VLOOKUP(A111,'OI(Value)'!A111:O312,11,0)</f>
        <v>430</v>
      </c>
    </row>
    <row r="112" spans="1:19" x14ac:dyDescent="0.25">
      <c r="A112" s="105" t="str">
        <f>'Data shares'!C107</f>
        <v>JIOFIN</v>
      </c>
      <c r="B112" s="143">
        <f>VLOOKUP($A112,'Data shares'!$C:$FA,118)</f>
        <v>0.59</v>
      </c>
      <c r="C112" s="143">
        <f>VLOOKUP($A112,'Data shares'!$C:$FA,119)</f>
        <v>0.63</v>
      </c>
      <c r="D112" s="143">
        <f>VLOOKUP($A112,'Data shares'!$C:$FA,121)*100</f>
        <v>-6.35</v>
      </c>
      <c r="E112" s="143">
        <f>VLOOKUP($A112,'Data shares'!$C:$FA,124)</f>
        <v>0.44</v>
      </c>
      <c r="F112" s="143">
        <f>VLOOKUP($A112,'Data shares'!$C:$FA,125)</f>
        <v>0.37</v>
      </c>
      <c r="G112" s="143">
        <f>VLOOKUP($A112,'Data shares'!$C:$FA,127)*100</f>
        <v>18.920000000000002</v>
      </c>
      <c r="H112" s="103">
        <f>VLOOKUP($A112,'OI(Volume)'!$A$7:$O$427,8)</f>
        <v>73566750</v>
      </c>
      <c r="I112" s="103">
        <f>VLOOKUP($A112,'OI(Volume)'!$A$7:$O$427,9)</f>
        <v>10530350</v>
      </c>
      <c r="J112" s="103">
        <f>VLOOKUP($A112,'OI(Volume)'!$A$7:$O$427,11)</f>
        <v>43106050</v>
      </c>
      <c r="K112" s="103">
        <f>VLOOKUP($A112,'OI(Volume)'!$A$7:$O$427,12)</f>
        <v>3663650</v>
      </c>
      <c r="L112" s="103">
        <f>VLOOKUP($A112,'OI(Value)'!$A$7:$O$306,8,0)</f>
        <v>2305</v>
      </c>
      <c r="M112" s="103">
        <f>VLOOKUP($A112,'OI(Value)'!$A$7:$O$306,9,0)</f>
        <v>330</v>
      </c>
      <c r="N112" s="103">
        <f>VLOOKUP($A112,'OI(Value)'!$A$7:$O$306,11,0)</f>
        <v>1351</v>
      </c>
      <c r="O112" s="103">
        <f>VLOOKUP($A112,'OI(Value)'!$A$7:$O$306,12,0)</f>
        <v>115</v>
      </c>
      <c r="P112" s="179">
        <f>VLOOKUP(A112,'OI(Value)'!A112:O313,8,0)</f>
        <v>2305</v>
      </c>
      <c r="Q112" s="179">
        <f>VLOOKUP(A112,'OI(Value)'!A112:O313,9,0)</f>
        <v>330</v>
      </c>
      <c r="R112" s="179">
        <f>VLOOKUP(A112,'OI(Value)'!A112:O313,11,0)</f>
        <v>1351</v>
      </c>
      <c r="S112" s="179">
        <f>VLOOKUP(A112,'OI(Value)'!A112:O313,11,0)</f>
        <v>1351</v>
      </c>
    </row>
    <row r="113" spans="1:19" x14ac:dyDescent="0.25">
      <c r="A113" s="105" t="str">
        <f>'Data shares'!C108</f>
        <v>JSWENERGY</v>
      </c>
      <c r="B113" s="143">
        <f>VLOOKUP($A113,'Data shares'!$C:$FA,118)</f>
        <v>0.44</v>
      </c>
      <c r="C113" s="143">
        <f>VLOOKUP($A113,'Data shares'!$C:$FA,119)</f>
        <v>0.46</v>
      </c>
      <c r="D113" s="143">
        <f>VLOOKUP($A113,'Data shares'!$C:$FA,121)*100</f>
        <v>-4.3499999999999996</v>
      </c>
      <c r="E113" s="143">
        <f>VLOOKUP($A113,'Data shares'!$C:$FA,124)</f>
        <v>0.23</v>
      </c>
      <c r="F113" s="143">
        <f>VLOOKUP($A113,'Data shares'!$C:$FA,125)</f>
        <v>0.23</v>
      </c>
      <c r="G113" s="143">
        <f>VLOOKUP($A113,'Data shares'!$C:$FA,127)*100</f>
        <v>0</v>
      </c>
      <c r="H113" s="103">
        <f>VLOOKUP($A113,'OI(Volume)'!$A$7:$O$427,8)</f>
        <v>9454000</v>
      </c>
      <c r="I113" s="103">
        <f>VLOOKUP($A113,'OI(Volume)'!$A$7:$O$427,9)</f>
        <v>707000</v>
      </c>
      <c r="J113" s="103">
        <f>VLOOKUP($A113,'OI(Volume)'!$A$7:$O$427,11)</f>
        <v>4204000</v>
      </c>
      <c r="K113" s="103">
        <f>VLOOKUP($A113,'OI(Volume)'!$A$7:$O$427,12)</f>
        <v>167000</v>
      </c>
      <c r="L113" s="103">
        <f>VLOOKUP($A113,'OI(Value)'!$A$7:$O$306,8,0)</f>
        <v>519</v>
      </c>
      <c r="M113" s="103">
        <f>VLOOKUP($A113,'OI(Value)'!$A$7:$O$306,9,0)</f>
        <v>39</v>
      </c>
      <c r="N113" s="103">
        <f>VLOOKUP($A113,'OI(Value)'!$A$7:$O$306,11,0)</f>
        <v>231</v>
      </c>
      <c r="O113" s="103">
        <f>VLOOKUP($A113,'OI(Value)'!$A$7:$O$306,12,0)</f>
        <v>9</v>
      </c>
      <c r="P113" s="179">
        <f>VLOOKUP(A113,'OI(Value)'!A113:O314,8,0)</f>
        <v>519</v>
      </c>
      <c r="Q113" s="179">
        <f>VLOOKUP(A113,'OI(Value)'!A113:O314,9,0)</f>
        <v>39</v>
      </c>
      <c r="R113" s="179">
        <f>VLOOKUP(A113,'OI(Value)'!A113:O314,11,0)</f>
        <v>231</v>
      </c>
      <c r="S113" s="179">
        <f>VLOOKUP(A113,'OI(Value)'!A113:O314,11,0)</f>
        <v>231</v>
      </c>
    </row>
    <row r="114" spans="1:19" x14ac:dyDescent="0.25">
      <c r="A114" s="105" t="str">
        <f>'Data shares'!C109</f>
        <v>JSWSTEEL</v>
      </c>
      <c r="B114" s="143">
        <f>VLOOKUP($A114,'Data shares'!$C:$FA,118)</f>
        <v>0.69</v>
      </c>
      <c r="C114" s="143">
        <f>VLOOKUP($A114,'Data shares'!$C:$FA,119)</f>
        <v>0.65</v>
      </c>
      <c r="D114" s="143">
        <f>VLOOKUP($A114,'Data shares'!$C:$FA,121)*100</f>
        <v>6.15</v>
      </c>
      <c r="E114" s="143">
        <f>VLOOKUP($A114,'Data shares'!$C:$FA,124)</f>
        <v>0.48</v>
      </c>
      <c r="F114" s="143">
        <f>VLOOKUP($A114,'Data shares'!$C:$FA,125)</f>
        <v>0.47</v>
      </c>
      <c r="G114" s="143">
        <f>VLOOKUP($A114,'Data shares'!$C:$FA,127)*100</f>
        <v>2.13</v>
      </c>
      <c r="H114" s="103">
        <f>VLOOKUP($A114,'OI(Volume)'!$A$7:$O$427,8)</f>
        <v>6222150</v>
      </c>
      <c r="I114" s="103">
        <f>VLOOKUP($A114,'OI(Volume)'!$A$7:$O$427,9)</f>
        <v>2025</v>
      </c>
      <c r="J114" s="103">
        <f>VLOOKUP($A114,'OI(Volume)'!$A$7:$O$427,11)</f>
        <v>4274775</v>
      </c>
      <c r="K114" s="103">
        <f>VLOOKUP($A114,'OI(Volume)'!$A$7:$O$427,12)</f>
        <v>240975</v>
      </c>
      <c r="L114" s="103">
        <f>VLOOKUP($A114,'OI(Value)'!$A$7:$O$306,8,0)</f>
        <v>730</v>
      </c>
      <c r="M114" s="103">
        <f>VLOOKUP($A114,'OI(Value)'!$A$7:$O$306,9,0)</f>
        <v>0</v>
      </c>
      <c r="N114" s="103">
        <f>VLOOKUP($A114,'OI(Value)'!$A$7:$O$306,11,0)</f>
        <v>502</v>
      </c>
      <c r="O114" s="103">
        <f>VLOOKUP($A114,'OI(Value)'!$A$7:$O$306,12,0)</f>
        <v>28</v>
      </c>
      <c r="P114" s="179">
        <f>VLOOKUP(A114,'OI(Value)'!A114:O315,8,0)</f>
        <v>730</v>
      </c>
      <c r="Q114" s="179">
        <f>VLOOKUP(A114,'OI(Value)'!A114:O315,9,0)</f>
        <v>0</v>
      </c>
      <c r="R114" s="179">
        <f>VLOOKUP(A114,'OI(Value)'!A114:O315,11,0)</f>
        <v>502</v>
      </c>
      <c r="S114" s="179">
        <f>VLOOKUP(A114,'OI(Value)'!A114:O315,11,0)</f>
        <v>502</v>
      </c>
    </row>
    <row r="115" spans="1:19" x14ac:dyDescent="0.25">
      <c r="A115" s="105" t="str">
        <f>'Data shares'!C110</f>
        <v>JUBLFOOD</v>
      </c>
      <c r="B115" s="143">
        <f>VLOOKUP($A115,'Data shares'!$C:$FA,118)</f>
        <v>0.43</v>
      </c>
      <c r="C115" s="143">
        <f>VLOOKUP($A115,'Data shares'!$C:$FA,119)</f>
        <v>0.42</v>
      </c>
      <c r="D115" s="143">
        <f>VLOOKUP($A115,'Data shares'!$C:$FA,121)*100</f>
        <v>2.3800000000000003</v>
      </c>
      <c r="E115" s="143">
        <f>VLOOKUP($A115,'Data shares'!$C:$FA,124)</f>
        <v>0.26</v>
      </c>
      <c r="F115" s="143">
        <f>VLOOKUP($A115,'Data shares'!$C:$FA,125)</f>
        <v>0.24</v>
      </c>
      <c r="G115" s="143">
        <f>VLOOKUP($A115,'Data shares'!$C:$FA,127)*100</f>
        <v>8.33</v>
      </c>
      <c r="H115" s="103">
        <f>VLOOKUP($A115,'OI(Volume)'!$A$7:$O$427,8)</f>
        <v>11652500</v>
      </c>
      <c r="I115" s="103">
        <f>VLOOKUP($A115,'OI(Volume)'!$A$7:$O$427,9)</f>
        <v>-1238750</v>
      </c>
      <c r="J115" s="103">
        <f>VLOOKUP($A115,'OI(Volume)'!$A$7:$O$427,11)</f>
        <v>5015000</v>
      </c>
      <c r="K115" s="103">
        <f>VLOOKUP($A115,'OI(Volume)'!$A$7:$O$427,12)</f>
        <v>-392500</v>
      </c>
      <c r="L115" s="103">
        <f>VLOOKUP($A115,'OI(Value)'!$A$7:$O$306,8,0)</f>
        <v>695</v>
      </c>
      <c r="M115" s="103">
        <f>VLOOKUP($A115,'OI(Value)'!$A$7:$O$306,9,0)</f>
        <v>-74</v>
      </c>
      <c r="N115" s="103">
        <f>VLOOKUP($A115,'OI(Value)'!$A$7:$O$306,11,0)</f>
        <v>299</v>
      </c>
      <c r="O115" s="103">
        <f>VLOOKUP($A115,'OI(Value)'!$A$7:$O$306,12,0)</f>
        <v>-23</v>
      </c>
      <c r="P115" s="179">
        <f>VLOOKUP(A115,'OI(Value)'!A115:O316,8,0)</f>
        <v>695</v>
      </c>
      <c r="Q115" s="179">
        <f>VLOOKUP(A115,'OI(Value)'!A115:O316,9,0)</f>
        <v>-74</v>
      </c>
      <c r="R115" s="179">
        <f>VLOOKUP(A115,'OI(Value)'!A115:O316,11,0)</f>
        <v>299</v>
      </c>
      <c r="S115" s="179">
        <f>VLOOKUP(A115,'OI(Value)'!A115:O316,11,0)</f>
        <v>299</v>
      </c>
    </row>
    <row r="116" spans="1:19" x14ac:dyDescent="0.25">
      <c r="A116" s="105" t="str">
        <f>'Data shares'!C111</f>
        <v>KALYANKJIL</v>
      </c>
      <c r="B116" s="143">
        <f>VLOOKUP($A116,'Data shares'!$C:$FA,118)</f>
        <v>0.49</v>
      </c>
      <c r="C116" s="143">
        <f>VLOOKUP($A116,'Data shares'!$C:$FA,119)</f>
        <v>0.49</v>
      </c>
      <c r="D116" s="143">
        <f>VLOOKUP($A116,'Data shares'!$C:$FA,121)*100</f>
        <v>0</v>
      </c>
      <c r="E116" s="143">
        <f>VLOOKUP($A116,'Data shares'!$C:$FA,124)</f>
        <v>0.37</v>
      </c>
      <c r="F116" s="143">
        <f>VLOOKUP($A116,'Data shares'!$C:$FA,125)</f>
        <v>0.32</v>
      </c>
      <c r="G116" s="143">
        <f>VLOOKUP($A116,'Data shares'!$C:$FA,127)*100</f>
        <v>15.620000000000001</v>
      </c>
      <c r="H116" s="103">
        <f>VLOOKUP($A116,'OI(Volume)'!$A$7:$O$427,8)</f>
        <v>16398300</v>
      </c>
      <c r="I116" s="103">
        <f>VLOOKUP($A116,'OI(Volume)'!$A$7:$O$427,9)</f>
        <v>-540500</v>
      </c>
      <c r="J116" s="103">
        <f>VLOOKUP($A116,'OI(Volume)'!$A$7:$O$427,11)</f>
        <v>8028775</v>
      </c>
      <c r="K116" s="103">
        <f>VLOOKUP($A116,'OI(Volume)'!$A$7:$O$427,12)</f>
        <v>-220900</v>
      </c>
      <c r="L116" s="103">
        <f>VLOOKUP($A116,'OI(Value)'!$A$7:$O$306,8,0)</f>
        <v>801</v>
      </c>
      <c r="M116" s="103">
        <f>VLOOKUP($A116,'OI(Value)'!$A$7:$O$306,9,0)</f>
        <v>-26</v>
      </c>
      <c r="N116" s="103">
        <f>VLOOKUP($A116,'OI(Value)'!$A$7:$O$306,11,0)</f>
        <v>392</v>
      </c>
      <c r="O116" s="103">
        <f>VLOOKUP($A116,'OI(Value)'!$A$7:$O$306,12,0)</f>
        <v>-11</v>
      </c>
      <c r="P116" s="179">
        <f>VLOOKUP(A116,'OI(Value)'!A116:O317,8,0)</f>
        <v>801</v>
      </c>
      <c r="Q116" s="179">
        <f>VLOOKUP(A116,'OI(Value)'!A116:O317,9,0)</f>
        <v>-26</v>
      </c>
      <c r="R116" s="179">
        <f>VLOOKUP(A116,'OI(Value)'!A116:O317,11,0)</f>
        <v>392</v>
      </c>
      <c r="S116" s="179">
        <f>VLOOKUP(A116,'OI(Value)'!A116:O317,11,0)</f>
        <v>392</v>
      </c>
    </row>
    <row r="117" spans="1:19" x14ac:dyDescent="0.25">
      <c r="A117" s="105" t="str">
        <f>'Data shares'!C112</f>
        <v>KAYNES</v>
      </c>
      <c r="B117" s="143">
        <f>VLOOKUP($A117,'Data shares'!$C:$FA,118)</f>
        <v>0.42</v>
      </c>
      <c r="C117" s="143">
        <f>VLOOKUP($A117,'Data shares'!$C:$FA,119)</f>
        <v>0.44</v>
      </c>
      <c r="D117" s="143">
        <f>VLOOKUP($A117,'Data shares'!$C:$FA,121)*100</f>
        <v>-4.55</v>
      </c>
      <c r="E117" s="143">
        <f>VLOOKUP($A117,'Data shares'!$C:$FA,124)</f>
        <v>0.28000000000000003</v>
      </c>
      <c r="F117" s="143">
        <f>VLOOKUP($A117,'Data shares'!$C:$FA,125)</f>
        <v>0.37</v>
      </c>
      <c r="G117" s="143">
        <f>VLOOKUP($A117,'Data shares'!$C:$FA,127)*100</f>
        <v>-24.32</v>
      </c>
      <c r="H117" s="103">
        <f>VLOOKUP($A117,'OI(Volume)'!$A$7:$O$427,8)</f>
        <v>2319900</v>
      </c>
      <c r="I117" s="103">
        <f>VLOOKUP($A117,'OI(Volume)'!$A$7:$O$427,9)</f>
        <v>107400</v>
      </c>
      <c r="J117" s="103">
        <f>VLOOKUP($A117,'OI(Volume)'!$A$7:$O$427,11)</f>
        <v>983600</v>
      </c>
      <c r="K117" s="103">
        <f>VLOOKUP($A117,'OI(Volume)'!$A$7:$O$427,12)</f>
        <v>13800</v>
      </c>
      <c r="L117" s="103">
        <f>VLOOKUP($A117,'OI(Value)'!$A$7:$O$306,8,0)</f>
        <v>1624</v>
      </c>
      <c r="M117" s="103">
        <f>VLOOKUP($A117,'OI(Value)'!$A$7:$O$306,9,0)</f>
        <v>75</v>
      </c>
      <c r="N117" s="103">
        <f>VLOOKUP($A117,'OI(Value)'!$A$7:$O$306,11,0)</f>
        <v>688</v>
      </c>
      <c r="O117" s="103">
        <f>VLOOKUP($A117,'OI(Value)'!$A$7:$O$306,12,0)</f>
        <v>10</v>
      </c>
      <c r="P117" s="179">
        <f>VLOOKUP(A117,'OI(Value)'!A117:O318,8,0)</f>
        <v>1624</v>
      </c>
      <c r="Q117" s="179">
        <f>VLOOKUP(A117,'OI(Value)'!A117:O318,9,0)</f>
        <v>75</v>
      </c>
      <c r="R117" s="179">
        <f>VLOOKUP(A117,'OI(Value)'!A117:O318,11,0)</f>
        <v>688</v>
      </c>
      <c r="S117" s="179">
        <f>VLOOKUP(A117,'OI(Value)'!A117:O318,11,0)</f>
        <v>688</v>
      </c>
    </row>
    <row r="118" spans="1:19" x14ac:dyDescent="0.25">
      <c r="A118" s="105" t="str">
        <f>'Data shares'!C113</f>
        <v>KEI</v>
      </c>
      <c r="B118" s="143">
        <f>VLOOKUP($A118,'Data shares'!$C:$FA,118)</f>
        <v>0.38</v>
      </c>
      <c r="C118" s="143">
        <f>VLOOKUP($A118,'Data shares'!$C:$FA,119)</f>
        <v>0.67</v>
      </c>
      <c r="D118" s="143">
        <f>VLOOKUP($A118,'Data shares'!$C:$FA,121)*100</f>
        <v>-43.28</v>
      </c>
      <c r="E118" s="143">
        <f>VLOOKUP($A118,'Data shares'!$C:$FA,124)</f>
        <v>0.41</v>
      </c>
      <c r="F118" s="143">
        <f>VLOOKUP($A118,'Data shares'!$C:$FA,125)</f>
        <v>0.36</v>
      </c>
      <c r="G118" s="143">
        <f>VLOOKUP($A118,'Data shares'!$C:$FA,127)*100</f>
        <v>13.889999999999999</v>
      </c>
      <c r="H118" s="103">
        <f>VLOOKUP($A118,'OI(Volume)'!$A$7:$O$427,8)</f>
        <v>1947050</v>
      </c>
      <c r="I118" s="103">
        <f>VLOOKUP($A118,'OI(Volume)'!$A$7:$O$427,9)</f>
        <v>1195250</v>
      </c>
      <c r="J118" s="103">
        <f>VLOOKUP($A118,'OI(Volume)'!$A$7:$O$427,11)</f>
        <v>739200</v>
      </c>
      <c r="K118" s="103">
        <f>VLOOKUP($A118,'OI(Volume)'!$A$7:$O$427,12)</f>
        <v>238700</v>
      </c>
      <c r="L118" s="103">
        <f>VLOOKUP($A118,'OI(Value)'!$A$7:$O$306,8,0)</f>
        <v>812</v>
      </c>
      <c r="M118" s="103">
        <f>VLOOKUP($A118,'OI(Value)'!$A$7:$O$306,9,0)</f>
        <v>499</v>
      </c>
      <c r="N118" s="103">
        <f>VLOOKUP($A118,'OI(Value)'!$A$7:$O$306,11,0)</f>
        <v>308</v>
      </c>
      <c r="O118" s="103">
        <f>VLOOKUP($A118,'OI(Value)'!$A$7:$O$306,12,0)</f>
        <v>100</v>
      </c>
      <c r="P118" s="179">
        <f>VLOOKUP(A118,'OI(Value)'!A118:O319,8,0)</f>
        <v>812</v>
      </c>
      <c r="Q118" s="179">
        <f>VLOOKUP(A118,'OI(Value)'!A118:O319,9,0)</f>
        <v>499</v>
      </c>
      <c r="R118" s="179">
        <f>VLOOKUP(A118,'OI(Value)'!A118:O319,11,0)</f>
        <v>308</v>
      </c>
      <c r="S118" s="179">
        <f>VLOOKUP(A118,'OI(Value)'!A118:O319,11,0)</f>
        <v>308</v>
      </c>
    </row>
    <row r="119" spans="1:19" x14ac:dyDescent="0.25">
      <c r="A119" s="105" t="str">
        <f>'Data shares'!C114</f>
        <v>KFINTECH</v>
      </c>
      <c r="B119" s="143">
        <f>VLOOKUP($A119,'Data shares'!$C:$FA,118)</f>
        <v>0.56000000000000005</v>
      </c>
      <c r="C119" s="143">
        <f>VLOOKUP($A119,'Data shares'!$C:$FA,119)</f>
        <v>0.54</v>
      </c>
      <c r="D119" s="143">
        <f>VLOOKUP($A119,'Data shares'!$C:$FA,121)*100</f>
        <v>3.6999999999999997</v>
      </c>
      <c r="E119" s="143">
        <f>VLOOKUP($A119,'Data shares'!$C:$FA,124)</f>
        <v>0.51</v>
      </c>
      <c r="F119" s="143">
        <f>VLOOKUP($A119,'Data shares'!$C:$FA,125)</f>
        <v>0.37</v>
      </c>
      <c r="G119" s="143">
        <f>VLOOKUP($A119,'Data shares'!$C:$FA,127)*100</f>
        <v>37.840000000000003</v>
      </c>
      <c r="H119" s="103">
        <f>VLOOKUP($A119,'OI(Volume)'!$A$7:$O$427,8)</f>
        <v>1901250</v>
      </c>
      <c r="I119" s="103">
        <f>VLOOKUP($A119,'OI(Volume)'!$A$7:$O$427,9)</f>
        <v>-7650</v>
      </c>
      <c r="J119" s="103">
        <f>VLOOKUP($A119,'OI(Volume)'!$A$7:$O$427,11)</f>
        <v>1056150</v>
      </c>
      <c r="K119" s="103">
        <f>VLOOKUP($A119,'OI(Volume)'!$A$7:$O$427,12)</f>
        <v>27000</v>
      </c>
      <c r="L119" s="103">
        <f>VLOOKUP($A119,'OI(Value)'!$A$7:$O$306,8,0)</f>
        <v>214</v>
      </c>
      <c r="M119" s="103">
        <f>VLOOKUP($A119,'OI(Value)'!$A$7:$O$306,9,0)</f>
        <v>-1</v>
      </c>
      <c r="N119" s="103">
        <f>VLOOKUP($A119,'OI(Value)'!$A$7:$O$306,11,0)</f>
        <v>119</v>
      </c>
      <c r="O119" s="103">
        <f>VLOOKUP($A119,'OI(Value)'!$A$7:$O$306,12,0)</f>
        <v>3</v>
      </c>
      <c r="P119" s="179">
        <f>VLOOKUP(A119,'OI(Value)'!A119:O320,8,0)</f>
        <v>214</v>
      </c>
      <c r="Q119" s="179">
        <f>VLOOKUP(A119,'OI(Value)'!A119:O320,9,0)</f>
        <v>-1</v>
      </c>
      <c r="R119" s="179">
        <f>VLOOKUP(A119,'OI(Value)'!A119:O320,11,0)</f>
        <v>119</v>
      </c>
      <c r="S119" s="179">
        <f>VLOOKUP(A119,'OI(Value)'!A119:O320,11,0)</f>
        <v>119</v>
      </c>
    </row>
    <row r="120" spans="1:19" x14ac:dyDescent="0.25">
      <c r="A120" s="105" t="str">
        <f>'Data shares'!C115</f>
        <v>KOTAKBANK</v>
      </c>
      <c r="B120" s="143">
        <f>VLOOKUP($A120,'Data shares'!$C:$FA,118)</f>
        <v>1.0900000000000001</v>
      </c>
      <c r="C120" s="143">
        <f>VLOOKUP($A120,'Data shares'!$C:$FA,119)</f>
        <v>1.01</v>
      </c>
      <c r="D120" s="143">
        <f>VLOOKUP($A120,'Data shares'!$C:$FA,121)*100</f>
        <v>7.9200000000000008</v>
      </c>
      <c r="E120" s="143">
        <f>VLOOKUP($A120,'Data shares'!$C:$FA,124)</f>
        <v>0.66</v>
      </c>
      <c r="F120" s="143">
        <f>VLOOKUP($A120,'Data shares'!$C:$FA,125)</f>
        <v>0.67</v>
      </c>
      <c r="G120" s="143">
        <f>VLOOKUP($A120,'Data shares'!$C:$FA,127)*100</f>
        <v>-1.49</v>
      </c>
      <c r="H120" s="103">
        <f>VLOOKUP($A120,'OI(Volume)'!$A$7:$O$427,8)</f>
        <v>8724800</v>
      </c>
      <c r="I120" s="103">
        <f>VLOOKUP($A120,'OI(Volume)'!$A$7:$O$427,9)</f>
        <v>156000</v>
      </c>
      <c r="J120" s="103">
        <f>VLOOKUP($A120,'OI(Volume)'!$A$7:$O$427,11)</f>
        <v>9495200</v>
      </c>
      <c r="K120" s="103">
        <f>VLOOKUP($A120,'OI(Volume)'!$A$7:$O$427,12)</f>
        <v>812800</v>
      </c>
      <c r="L120" s="103">
        <f>VLOOKUP($A120,'OI(Value)'!$A$7:$O$306,8,0)</f>
        <v>1926</v>
      </c>
      <c r="M120" s="103">
        <f>VLOOKUP($A120,'OI(Value)'!$A$7:$O$306,9,0)</f>
        <v>34</v>
      </c>
      <c r="N120" s="103">
        <f>VLOOKUP($A120,'OI(Value)'!$A$7:$O$306,11,0)</f>
        <v>2097</v>
      </c>
      <c r="O120" s="103">
        <f>VLOOKUP($A120,'OI(Value)'!$A$7:$O$306,12,0)</f>
        <v>179</v>
      </c>
      <c r="P120" s="179">
        <f>VLOOKUP(A120,'OI(Value)'!A120:O321,8,0)</f>
        <v>1926</v>
      </c>
      <c r="Q120" s="179">
        <f>VLOOKUP(A120,'OI(Value)'!A120:O321,9,0)</f>
        <v>34</v>
      </c>
      <c r="R120" s="179">
        <f>VLOOKUP(A120,'OI(Value)'!A120:O321,11,0)</f>
        <v>2097</v>
      </c>
      <c r="S120" s="179">
        <f>VLOOKUP(A120,'OI(Value)'!A120:O321,11,0)</f>
        <v>2097</v>
      </c>
    </row>
    <row r="121" spans="1:19" x14ac:dyDescent="0.25">
      <c r="A121" s="105" t="str">
        <f>'Data shares'!C116</f>
        <v>KPITTECH</v>
      </c>
      <c r="B121" s="143">
        <f>VLOOKUP($A121,'Data shares'!$C:$FA,118)</f>
        <v>0.69</v>
      </c>
      <c r="C121" s="143">
        <f>VLOOKUP($A121,'Data shares'!$C:$FA,119)</f>
        <v>0.67</v>
      </c>
      <c r="D121" s="143">
        <f>VLOOKUP($A121,'Data shares'!$C:$FA,121)*100</f>
        <v>2.9899999999999998</v>
      </c>
      <c r="E121" s="143">
        <f>VLOOKUP($A121,'Data shares'!$C:$FA,124)</f>
        <v>0.45</v>
      </c>
      <c r="F121" s="143">
        <f>VLOOKUP($A121,'Data shares'!$C:$FA,125)</f>
        <v>0.33</v>
      </c>
      <c r="G121" s="143">
        <f>VLOOKUP($A121,'Data shares'!$C:$FA,127)*100</f>
        <v>36.36</v>
      </c>
      <c r="H121" s="103">
        <f>VLOOKUP($A121,'OI(Volume)'!$A$7:$O$427,8)</f>
        <v>3355600</v>
      </c>
      <c r="I121" s="103">
        <f>VLOOKUP($A121,'OI(Volume)'!$A$7:$O$427,9)</f>
        <v>-59600</v>
      </c>
      <c r="J121" s="103">
        <f>VLOOKUP($A121,'OI(Volume)'!$A$7:$O$427,11)</f>
        <v>2312000</v>
      </c>
      <c r="K121" s="103">
        <f>VLOOKUP($A121,'OI(Volume)'!$A$7:$O$427,12)</f>
        <v>22800</v>
      </c>
      <c r="L121" s="103">
        <f>VLOOKUP($A121,'OI(Value)'!$A$7:$O$306,8,0)</f>
        <v>390</v>
      </c>
      <c r="M121" s="103">
        <f>VLOOKUP($A121,'OI(Value)'!$A$7:$O$306,9,0)</f>
        <v>-7</v>
      </c>
      <c r="N121" s="103">
        <f>VLOOKUP($A121,'OI(Value)'!$A$7:$O$306,11,0)</f>
        <v>269</v>
      </c>
      <c r="O121" s="103">
        <f>VLOOKUP($A121,'OI(Value)'!$A$7:$O$306,12,0)</f>
        <v>3</v>
      </c>
      <c r="P121" s="179">
        <f>VLOOKUP(A121,'OI(Value)'!A121:O322,8,0)</f>
        <v>390</v>
      </c>
      <c r="Q121" s="179">
        <f>VLOOKUP(A121,'OI(Value)'!A121:O322,9,0)</f>
        <v>-7</v>
      </c>
      <c r="R121" s="179">
        <f>VLOOKUP(A121,'OI(Value)'!A121:O322,11,0)</f>
        <v>269</v>
      </c>
      <c r="S121" s="179">
        <f>VLOOKUP(A121,'OI(Value)'!A121:O322,11,0)</f>
        <v>269</v>
      </c>
    </row>
    <row r="122" spans="1:19" x14ac:dyDescent="0.25">
      <c r="A122" s="105" t="str">
        <f>'Data shares'!C117</f>
        <v>LAURUSLABS</v>
      </c>
      <c r="B122" s="143">
        <f>VLOOKUP($A122,'Data shares'!$C:$FA,118)</f>
        <v>0.54</v>
      </c>
      <c r="C122" s="143">
        <f>VLOOKUP($A122,'Data shares'!$C:$FA,119)</f>
        <v>0.54</v>
      </c>
      <c r="D122" s="143">
        <f>VLOOKUP($A122,'Data shares'!$C:$FA,121)*100</f>
        <v>0</v>
      </c>
      <c r="E122" s="143">
        <f>VLOOKUP($A122,'Data shares'!$C:$FA,124)</f>
        <v>0.38</v>
      </c>
      <c r="F122" s="143">
        <f>VLOOKUP($A122,'Data shares'!$C:$FA,125)</f>
        <v>0.45</v>
      </c>
      <c r="G122" s="143">
        <f>VLOOKUP($A122,'Data shares'!$C:$FA,127)*100</f>
        <v>-15.559999999999999</v>
      </c>
      <c r="H122" s="103">
        <f>VLOOKUP($A122,'OI(Volume)'!$A$7:$O$427,8)</f>
        <v>15612800</v>
      </c>
      <c r="I122" s="103">
        <f>VLOOKUP($A122,'OI(Volume)'!$A$7:$O$427,9)</f>
        <v>416500</v>
      </c>
      <c r="J122" s="103">
        <f>VLOOKUP($A122,'OI(Volume)'!$A$7:$O$427,11)</f>
        <v>8406500</v>
      </c>
      <c r="K122" s="103">
        <f>VLOOKUP($A122,'OI(Volume)'!$A$7:$O$427,12)</f>
        <v>127500</v>
      </c>
      <c r="L122" s="103">
        <f>VLOOKUP($A122,'OI(Value)'!$A$7:$O$306,8,0)</f>
        <v>1369</v>
      </c>
      <c r="M122" s="103">
        <f>VLOOKUP($A122,'OI(Value)'!$A$7:$O$306,9,0)</f>
        <v>37</v>
      </c>
      <c r="N122" s="103">
        <f>VLOOKUP($A122,'OI(Value)'!$A$7:$O$306,11,0)</f>
        <v>737</v>
      </c>
      <c r="O122" s="103">
        <f>VLOOKUP($A122,'OI(Value)'!$A$7:$O$306,12,0)</f>
        <v>11</v>
      </c>
      <c r="P122" s="179">
        <f>VLOOKUP(A122,'OI(Value)'!A122:O323,8,0)</f>
        <v>1369</v>
      </c>
      <c r="Q122" s="179">
        <f>VLOOKUP(A122,'OI(Value)'!A122:O323,9,0)</f>
        <v>37</v>
      </c>
      <c r="R122" s="179">
        <f>VLOOKUP(A122,'OI(Value)'!A122:O323,11,0)</f>
        <v>737</v>
      </c>
      <c r="S122" s="179">
        <f>VLOOKUP(A122,'OI(Value)'!A122:O323,11,0)</f>
        <v>737</v>
      </c>
    </row>
    <row r="123" spans="1:19" x14ac:dyDescent="0.25">
      <c r="A123" s="105" t="str">
        <f>'Data shares'!C118</f>
        <v>LICHSGFIN</v>
      </c>
      <c r="B123" s="143">
        <f>VLOOKUP($A123,'Data shares'!$C:$FA,118)</f>
        <v>0.71</v>
      </c>
      <c r="C123" s="143">
        <f>VLOOKUP($A123,'Data shares'!$C:$FA,119)</f>
        <v>0.74</v>
      </c>
      <c r="D123" s="143">
        <f>VLOOKUP($A123,'Data shares'!$C:$FA,121)*100</f>
        <v>-4.05</v>
      </c>
      <c r="E123" s="143">
        <f>VLOOKUP($A123,'Data shares'!$C:$FA,124)</f>
        <v>0.36</v>
      </c>
      <c r="F123" s="143">
        <f>VLOOKUP($A123,'Data shares'!$C:$FA,125)</f>
        <v>0.43</v>
      </c>
      <c r="G123" s="143">
        <f>VLOOKUP($A123,'Data shares'!$C:$FA,127)*100</f>
        <v>-16.28</v>
      </c>
      <c r="H123" s="103">
        <f>VLOOKUP($A123,'OI(Volume)'!$A$7:$O$427,8)</f>
        <v>9827000</v>
      </c>
      <c r="I123" s="103">
        <f>VLOOKUP($A123,'OI(Volume)'!$A$7:$O$427,9)</f>
        <v>337000</v>
      </c>
      <c r="J123" s="103">
        <f>VLOOKUP($A123,'OI(Volume)'!$A$7:$O$427,11)</f>
        <v>6988000</v>
      </c>
      <c r="K123" s="103">
        <f>VLOOKUP($A123,'OI(Volume)'!$A$7:$O$427,12)</f>
        <v>4000</v>
      </c>
      <c r="L123" s="103">
        <f>VLOOKUP($A123,'OI(Value)'!$A$7:$O$306,8,0)</f>
        <v>560</v>
      </c>
      <c r="M123" s="103">
        <f>VLOOKUP($A123,'OI(Value)'!$A$7:$O$306,9,0)</f>
        <v>19</v>
      </c>
      <c r="N123" s="103">
        <f>VLOOKUP($A123,'OI(Value)'!$A$7:$O$306,11,0)</f>
        <v>398</v>
      </c>
      <c r="O123" s="103">
        <f>VLOOKUP($A123,'OI(Value)'!$A$7:$O$306,12,0)</f>
        <v>0</v>
      </c>
      <c r="P123" s="179">
        <f>VLOOKUP(A123,'OI(Value)'!A123:O324,8,0)</f>
        <v>560</v>
      </c>
      <c r="Q123" s="179">
        <f>VLOOKUP(A123,'OI(Value)'!A123:O324,9,0)</f>
        <v>19</v>
      </c>
      <c r="R123" s="179">
        <f>VLOOKUP(A123,'OI(Value)'!A123:O324,11,0)</f>
        <v>398</v>
      </c>
      <c r="S123" s="179">
        <f>VLOOKUP(A123,'OI(Value)'!A123:O324,11,0)</f>
        <v>398</v>
      </c>
    </row>
    <row r="124" spans="1:19" x14ac:dyDescent="0.25">
      <c r="A124" s="105" t="str">
        <f>'Data shares'!C119</f>
        <v>LICI</v>
      </c>
      <c r="B124" s="143">
        <f>VLOOKUP($A124,'Data shares'!$C:$FA,118)</f>
        <v>0.44</v>
      </c>
      <c r="C124" s="143">
        <f>VLOOKUP($A124,'Data shares'!$C:$FA,119)</f>
        <v>0.43</v>
      </c>
      <c r="D124" s="143">
        <f>VLOOKUP($A124,'Data shares'!$C:$FA,121)*100</f>
        <v>2.33</v>
      </c>
      <c r="E124" s="143">
        <f>VLOOKUP($A124,'Data shares'!$C:$FA,124)</f>
        <v>0.45</v>
      </c>
      <c r="F124" s="143">
        <f>VLOOKUP($A124,'Data shares'!$C:$FA,125)</f>
        <v>0.32</v>
      </c>
      <c r="G124" s="143">
        <f>VLOOKUP($A124,'Data shares'!$C:$FA,127)*100</f>
        <v>40.630000000000003</v>
      </c>
      <c r="H124" s="103">
        <f>VLOOKUP($A124,'OI(Volume)'!$A$7:$O$427,8)</f>
        <v>5206600</v>
      </c>
      <c r="I124" s="103">
        <f>VLOOKUP($A124,'OI(Volume)'!$A$7:$O$427,9)</f>
        <v>160300</v>
      </c>
      <c r="J124" s="103">
        <f>VLOOKUP($A124,'OI(Volume)'!$A$7:$O$427,11)</f>
        <v>2297400</v>
      </c>
      <c r="K124" s="103">
        <f>VLOOKUP($A124,'OI(Volume)'!$A$7:$O$427,12)</f>
        <v>147700</v>
      </c>
      <c r="L124" s="103">
        <f>VLOOKUP($A124,'OI(Value)'!$A$7:$O$306,8,0)</f>
        <v>466</v>
      </c>
      <c r="M124" s="103">
        <f>VLOOKUP($A124,'OI(Value)'!$A$7:$O$306,9,0)</f>
        <v>14</v>
      </c>
      <c r="N124" s="103">
        <f>VLOOKUP($A124,'OI(Value)'!$A$7:$O$306,11,0)</f>
        <v>206</v>
      </c>
      <c r="O124" s="103">
        <f>VLOOKUP($A124,'OI(Value)'!$A$7:$O$306,12,0)</f>
        <v>13</v>
      </c>
      <c r="P124" s="179">
        <f>VLOOKUP(A124,'OI(Value)'!A124:O325,8,0)</f>
        <v>466</v>
      </c>
      <c r="Q124" s="179">
        <f>VLOOKUP(A124,'OI(Value)'!A124:O325,9,0)</f>
        <v>14</v>
      </c>
      <c r="R124" s="179">
        <f>VLOOKUP(A124,'OI(Value)'!A124:O325,11,0)</f>
        <v>206</v>
      </c>
      <c r="S124" s="179">
        <f>VLOOKUP(A124,'OI(Value)'!A124:O325,11,0)</f>
        <v>206</v>
      </c>
    </row>
    <row r="125" spans="1:19" x14ac:dyDescent="0.25">
      <c r="A125" s="105" t="str">
        <f>'Data shares'!C120</f>
        <v>LODHA</v>
      </c>
      <c r="B125" s="143">
        <f>VLOOKUP($A125,'Data shares'!$C:$FA,118)</f>
        <v>0.67</v>
      </c>
      <c r="C125" s="143">
        <f>VLOOKUP($A125,'Data shares'!$C:$FA,119)</f>
        <v>0.59</v>
      </c>
      <c r="D125" s="143">
        <f>VLOOKUP($A125,'Data shares'!$C:$FA,121)*100</f>
        <v>13.56</v>
      </c>
      <c r="E125" s="143">
        <f>VLOOKUP($A125,'Data shares'!$C:$FA,124)</f>
        <v>0.24</v>
      </c>
      <c r="F125" s="143">
        <f>VLOOKUP($A125,'Data shares'!$C:$FA,125)</f>
        <v>0.27</v>
      </c>
      <c r="G125" s="143">
        <f>VLOOKUP($A125,'Data shares'!$C:$FA,127)*100</f>
        <v>-11.110000000000001</v>
      </c>
      <c r="H125" s="103">
        <f>VLOOKUP($A125,'OI(Volume)'!$A$7:$O$427,8)</f>
        <v>3040200</v>
      </c>
      <c r="I125" s="103">
        <f>VLOOKUP($A125,'OI(Volume)'!$A$7:$O$427,9)</f>
        <v>-638550</v>
      </c>
      <c r="J125" s="103">
        <f>VLOOKUP($A125,'OI(Volume)'!$A$7:$O$427,11)</f>
        <v>2038950</v>
      </c>
      <c r="K125" s="103">
        <f>VLOOKUP($A125,'OI(Volume)'!$A$7:$O$427,12)</f>
        <v>-141300</v>
      </c>
      <c r="L125" s="103">
        <f>VLOOKUP($A125,'OI(Value)'!$A$7:$O$306,8,0)</f>
        <v>364</v>
      </c>
      <c r="M125" s="103">
        <f>VLOOKUP($A125,'OI(Value)'!$A$7:$O$306,9,0)</f>
        <v>-76</v>
      </c>
      <c r="N125" s="103">
        <f>VLOOKUP($A125,'OI(Value)'!$A$7:$O$306,11,0)</f>
        <v>244</v>
      </c>
      <c r="O125" s="103">
        <f>VLOOKUP($A125,'OI(Value)'!$A$7:$O$306,12,0)</f>
        <v>-17</v>
      </c>
      <c r="P125" s="179">
        <f>VLOOKUP(A125,'OI(Value)'!A125:O326,8,0)</f>
        <v>364</v>
      </c>
      <c r="Q125" s="179">
        <f>VLOOKUP(A125,'OI(Value)'!A125:O326,9,0)</f>
        <v>-76</v>
      </c>
      <c r="R125" s="179">
        <f>VLOOKUP(A125,'OI(Value)'!A125:O326,11,0)</f>
        <v>244</v>
      </c>
      <c r="S125" s="179">
        <f>VLOOKUP(A125,'OI(Value)'!A125:O326,11,0)</f>
        <v>244</v>
      </c>
    </row>
    <row r="126" spans="1:19" x14ac:dyDescent="0.25">
      <c r="A126" s="105" t="str">
        <f>'Data shares'!C121</f>
        <v>LT</v>
      </c>
      <c r="B126" s="143">
        <f>VLOOKUP($A126,'Data shares'!$C:$FA,118)</f>
        <v>0.62</v>
      </c>
      <c r="C126" s="143">
        <f>VLOOKUP($A126,'Data shares'!$C:$FA,119)</f>
        <v>0.55000000000000004</v>
      </c>
      <c r="D126" s="143">
        <f>VLOOKUP($A126,'Data shares'!$C:$FA,121)*100</f>
        <v>12.73</v>
      </c>
      <c r="E126" s="143">
        <f>VLOOKUP($A126,'Data shares'!$C:$FA,124)</f>
        <v>0.57999999999999996</v>
      </c>
      <c r="F126" s="143">
        <f>VLOOKUP($A126,'Data shares'!$C:$FA,125)</f>
        <v>0.51</v>
      </c>
      <c r="G126" s="143">
        <f>VLOOKUP($A126,'Data shares'!$C:$FA,127)*100</f>
        <v>13.73</v>
      </c>
      <c r="H126" s="103">
        <f>VLOOKUP($A126,'OI(Volume)'!$A$7:$O$427,8)</f>
        <v>7810250</v>
      </c>
      <c r="I126" s="103">
        <f>VLOOKUP($A126,'OI(Volume)'!$A$7:$O$427,9)</f>
        <v>-44800</v>
      </c>
      <c r="J126" s="103">
        <f>VLOOKUP($A126,'OI(Volume)'!$A$7:$O$427,11)</f>
        <v>4865525</v>
      </c>
      <c r="K126" s="103">
        <f>VLOOKUP($A126,'OI(Volume)'!$A$7:$O$427,12)</f>
        <v>561400</v>
      </c>
      <c r="L126" s="103">
        <f>VLOOKUP($A126,'OI(Value)'!$A$7:$O$306,8,0)</f>
        <v>3020</v>
      </c>
      <c r="M126" s="103">
        <f>VLOOKUP($A126,'OI(Value)'!$A$7:$O$306,9,0)</f>
        <v>-17</v>
      </c>
      <c r="N126" s="103">
        <f>VLOOKUP($A126,'OI(Value)'!$A$7:$O$306,11,0)</f>
        <v>1881</v>
      </c>
      <c r="O126" s="103">
        <f>VLOOKUP($A126,'OI(Value)'!$A$7:$O$306,12,0)</f>
        <v>217</v>
      </c>
      <c r="P126" s="179">
        <f>VLOOKUP(A126,'OI(Value)'!A126:O327,8,0)</f>
        <v>3020</v>
      </c>
      <c r="Q126" s="179">
        <f>VLOOKUP(A126,'OI(Value)'!A126:O327,9,0)</f>
        <v>-17</v>
      </c>
      <c r="R126" s="179">
        <f>VLOOKUP(A126,'OI(Value)'!A126:O327,11,0)</f>
        <v>1881</v>
      </c>
      <c r="S126" s="179">
        <f>VLOOKUP(A126,'OI(Value)'!A126:O327,11,0)</f>
        <v>1881</v>
      </c>
    </row>
    <row r="127" spans="1:19" x14ac:dyDescent="0.25">
      <c r="A127" s="105" t="str">
        <f>'Data shares'!C122</f>
        <v>LTF</v>
      </c>
      <c r="B127" s="143">
        <f>VLOOKUP($A127,'Data shares'!$C:$FA,118)</f>
        <v>0.99</v>
      </c>
      <c r="C127" s="143">
        <f>VLOOKUP($A127,'Data shares'!$C:$FA,119)</f>
        <v>0.99</v>
      </c>
      <c r="D127" s="143">
        <f>VLOOKUP($A127,'Data shares'!$C:$FA,121)*100</f>
        <v>0</v>
      </c>
      <c r="E127" s="143">
        <f>VLOOKUP($A127,'Data shares'!$C:$FA,124)</f>
        <v>0.65</v>
      </c>
      <c r="F127" s="143">
        <f>VLOOKUP($A127,'Data shares'!$C:$FA,125)</f>
        <v>0.56999999999999995</v>
      </c>
      <c r="G127" s="143">
        <f>VLOOKUP($A127,'Data shares'!$C:$FA,127)*100</f>
        <v>14.04</v>
      </c>
      <c r="H127" s="103">
        <f>VLOOKUP($A127,'OI(Volume)'!$A$7:$O$427,8)</f>
        <v>36003878</v>
      </c>
      <c r="I127" s="103">
        <f>VLOOKUP($A127,'OI(Volume)'!$A$7:$O$427,9)</f>
        <v>2101602</v>
      </c>
      <c r="J127" s="103">
        <f>VLOOKUP($A127,'OI(Volume)'!$A$7:$O$427,11)</f>
        <v>35535368</v>
      </c>
      <c r="K127" s="103">
        <f>VLOOKUP($A127,'OI(Volume)'!$A$7:$O$427,12)</f>
        <v>1878502</v>
      </c>
      <c r="L127" s="103">
        <f>VLOOKUP($A127,'OI(Value)'!$A$7:$O$306,8,0)</f>
        <v>971</v>
      </c>
      <c r="M127" s="103">
        <f>VLOOKUP($A127,'OI(Value)'!$A$7:$O$306,9,0)</f>
        <v>57</v>
      </c>
      <c r="N127" s="103">
        <f>VLOOKUP($A127,'OI(Value)'!$A$7:$O$306,11,0)</f>
        <v>958</v>
      </c>
      <c r="O127" s="103">
        <f>VLOOKUP($A127,'OI(Value)'!$A$7:$O$306,12,0)</f>
        <v>51</v>
      </c>
      <c r="P127" s="179">
        <f>VLOOKUP(A127,'OI(Value)'!A127:O328,8,0)</f>
        <v>971</v>
      </c>
      <c r="Q127" s="179">
        <f>VLOOKUP(A127,'OI(Value)'!A127:O328,9,0)</f>
        <v>57</v>
      </c>
      <c r="R127" s="179">
        <f>VLOOKUP(A127,'OI(Value)'!A127:O328,11,0)</f>
        <v>958</v>
      </c>
      <c r="S127" s="179">
        <f>VLOOKUP(A127,'OI(Value)'!A127:O328,11,0)</f>
        <v>958</v>
      </c>
    </row>
    <row r="128" spans="1:19" x14ac:dyDescent="0.25">
      <c r="A128" s="105" t="str">
        <f>'Data shares'!C123</f>
        <v>LTIM</v>
      </c>
      <c r="B128" s="143">
        <f>VLOOKUP($A128,'Data shares'!$C:$FA,118)</f>
        <v>0.66</v>
      </c>
      <c r="C128" s="143">
        <f>VLOOKUP($A128,'Data shares'!$C:$FA,119)</f>
        <v>0.73</v>
      </c>
      <c r="D128" s="143">
        <f>VLOOKUP($A128,'Data shares'!$C:$FA,121)*100</f>
        <v>-9.59</v>
      </c>
      <c r="E128" s="143">
        <f>VLOOKUP($A128,'Data shares'!$C:$FA,124)</f>
        <v>0.47</v>
      </c>
      <c r="F128" s="143">
        <f>VLOOKUP($A128,'Data shares'!$C:$FA,125)</f>
        <v>0.32</v>
      </c>
      <c r="G128" s="143">
        <f>VLOOKUP($A128,'Data shares'!$C:$FA,127)*100</f>
        <v>46.87</v>
      </c>
      <c r="H128" s="103">
        <f>VLOOKUP($A128,'OI(Volume)'!$A$7:$O$427,8)</f>
        <v>1373250</v>
      </c>
      <c r="I128" s="103">
        <f>VLOOKUP($A128,'OI(Volume)'!$A$7:$O$427,9)</f>
        <v>401550</v>
      </c>
      <c r="J128" s="103">
        <f>VLOOKUP($A128,'OI(Volume)'!$A$7:$O$427,11)</f>
        <v>900450</v>
      </c>
      <c r="K128" s="103">
        <f>VLOOKUP($A128,'OI(Volume)'!$A$7:$O$427,12)</f>
        <v>186750</v>
      </c>
      <c r="L128" s="103">
        <f>VLOOKUP($A128,'OI(Value)'!$A$7:$O$306,8,0)</f>
        <v>772</v>
      </c>
      <c r="M128" s="103">
        <f>VLOOKUP($A128,'OI(Value)'!$A$7:$O$306,9,0)</f>
        <v>226</v>
      </c>
      <c r="N128" s="103">
        <f>VLOOKUP($A128,'OI(Value)'!$A$7:$O$306,11,0)</f>
        <v>506</v>
      </c>
      <c r="O128" s="103">
        <f>VLOOKUP($A128,'OI(Value)'!$A$7:$O$306,12,0)</f>
        <v>105</v>
      </c>
      <c r="P128" s="179">
        <f>VLOOKUP(A128,'OI(Value)'!A128:O329,8,0)</f>
        <v>772</v>
      </c>
      <c r="Q128" s="179">
        <f>VLOOKUP(A128,'OI(Value)'!A128:O329,9,0)</f>
        <v>226</v>
      </c>
      <c r="R128" s="179">
        <f>VLOOKUP(A128,'OI(Value)'!A128:O329,11,0)</f>
        <v>506</v>
      </c>
      <c r="S128" s="179">
        <f>VLOOKUP(A128,'OI(Value)'!A128:O329,11,0)</f>
        <v>506</v>
      </c>
    </row>
    <row r="129" spans="1:19" x14ac:dyDescent="0.25">
      <c r="A129" s="105" t="str">
        <f>'Data shares'!C124</f>
        <v>LUPIN</v>
      </c>
      <c r="B129" s="143">
        <f>VLOOKUP($A129,'Data shares'!$C:$FA,118)</f>
        <v>0.62</v>
      </c>
      <c r="C129" s="143">
        <f>VLOOKUP($A129,'Data shares'!$C:$FA,119)</f>
        <v>0.63</v>
      </c>
      <c r="D129" s="143">
        <f>VLOOKUP($A129,'Data shares'!$C:$FA,121)*100</f>
        <v>-1.59</v>
      </c>
      <c r="E129" s="143">
        <f>VLOOKUP($A129,'Data shares'!$C:$FA,124)</f>
        <v>0.25</v>
      </c>
      <c r="F129" s="143">
        <f>VLOOKUP($A129,'Data shares'!$C:$FA,125)</f>
        <v>0.34</v>
      </c>
      <c r="G129" s="143">
        <f>VLOOKUP($A129,'Data shares'!$C:$FA,127)*100</f>
        <v>-26.47</v>
      </c>
      <c r="H129" s="103">
        <f>VLOOKUP($A129,'OI(Volume)'!$A$7:$O$427,8)</f>
        <v>3762525</v>
      </c>
      <c r="I129" s="103">
        <f>VLOOKUP($A129,'OI(Volume)'!$A$7:$O$427,9)</f>
        <v>-425</v>
      </c>
      <c r="J129" s="103">
        <f>VLOOKUP($A129,'OI(Volume)'!$A$7:$O$427,11)</f>
        <v>2332400</v>
      </c>
      <c r="K129" s="103">
        <f>VLOOKUP($A129,'OI(Volume)'!$A$7:$O$427,12)</f>
        <v>-28475</v>
      </c>
      <c r="L129" s="103">
        <f>VLOOKUP($A129,'OI(Value)'!$A$7:$O$306,8,0)</f>
        <v>737</v>
      </c>
      <c r="M129" s="103">
        <f>VLOOKUP($A129,'OI(Value)'!$A$7:$O$306,9,0)</f>
        <v>0</v>
      </c>
      <c r="N129" s="103">
        <f>VLOOKUP($A129,'OI(Value)'!$A$7:$O$306,11,0)</f>
        <v>457</v>
      </c>
      <c r="O129" s="103">
        <f>VLOOKUP($A129,'OI(Value)'!$A$7:$O$306,12,0)</f>
        <v>-6</v>
      </c>
      <c r="P129" s="179">
        <f>VLOOKUP(A129,'OI(Value)'!A129:O330,8,0)</f>
        <v>737</v>
      </c>
      <c r="Q129" s="179">
        <f>VLOOKUP(A129,'OI(Value)'!A129:O330,9,0)</f>
        <v>0</v>
      </c>
      <c r="R129" s="179">
        <f>VLOOKUP(A129,'OI(Value)'!A129:O330,11,0)</f>
        <v>457</v>
      </c>
      <c r="S129" s="179">
        <f>VLOOKUP(A129,'OI(Value)'!A129:O330,11,0)</f>
        <v>457</v>
      </c>
    </row>
    <row r="130" spans="1:19" x14ac:dyDescent="0.25">
      <c r="A130" s="105" t="str">
        <f>'Data shares'!C125</f>
        <v>M&amp;M</v>
      </c>
      <c r="B130" s="143">
        <f>VLOOKUP($A130,'Data shares'!$C:$FA,118)</f>
        <v>0.52</v>
      </c>
      <c r="C130" s="143">
        <f>VLOOKUP($A130,'Data shares'!$C:$FA,119)</f>
        <v>0.46</v>
      </c>
      <c r="D130" s="143">
        <f>VLOOKUP($A130,'Data shares'!$C:$FA,121)*100</f>
        <v>13.04</v>
      </c>
      <c r="E130" s="143">
        <f>VLOOKUP($A130,'Data shares'!$C:$FA,124)</f>
        <v>0.4</v>
      </c>
      <c r="F130" s="143">
        <f>VLOOKUP($A130,'Data shares'!$C:$FA,125)</f>
        <v>0.45</v>
      </c>
      <c r="G130" s="143">
        <f>VLOOKUP($A130,'Data shares'!$C:$FA,127)*100</f>
        <v>-11.110000000000001</v>
      </c>
      <c r="H130" s="103">
        <f>VLOOKUP($A130,'OI(Volume)'!$A$7:$O$427,8)</f>
        <v>5914200</v>
      </c>
      <c r="I130" s="103">
        <f>VLOOKUP($A130,'OI(Volume)'!$A$7:$O$427,9)</f>
        <v>-410000</v>
      </c>
      <c r="J130" s="103">
        <f>VLOOKUP($A130,'OI(Volume)'!$A$7:$O$427,11)</f>
        <v>3083000</v>
      </c>
      <c r="K130" s="103">
        <f>VLOOKUP($A130,'OI(Volume)'!$A$7:$O$427,12)</f>
        <v>198600</v>
      </c>
      <c r="L130" s="103">
        <f>VLOOKUP($A130,'OI(Value)'!$A$7:$O$306,8,0)</f>
        <v>2110</v>
      </c>
      <c r="M130" s="103">
        <f>VLOOKUP($A130,'OI(Value)'!$A$7:$O$306,9,0)</f>
        <v>-146</v>
      </c>
      <c r="N130" s="103">
        <f>VLOOKUP($A130,'OI(Value)'!$A$7:$O$306,11,0)</f>
        <v>1100</v>
      </c>
      <c r="O130" s="103">
        <f>VLOOKUP($A130,'OI(Value)'!$A$7:$O$306,12,0)</f>
        <v>71</v>
      </c>
      <c r="P130" s="179">
        <f>VLOOKUP(A130,'OI(Value)'!A130:O331,8,0)</f>
        <v>2110</v>
      </c>
      <c r="Q130" s="179">
        <f>VLOOKUP(A130,'OI(Value)'!A130:O331,9,0)</f>
        <v>-146</v>
      </c>
      <c r="R130" s="179">
        <f>VLOOKUP(A130,'OI(Value)'!A130:O331,11,0)</f>
        <v>1100</v>
      </c>
      <c r="S130" s="179">
        <f>VLOOKUP(A130,'OI(Value)'!A130:O331,11,0)</f>
        <v>1100</v>
      </c>
    </row>
    <row r="131" spans="1:19" x14ac:dyDescent="0.25">
      <c r="A131" s="105" t="str">
        <f>'Data shares'!C126</f>
        <v>MANAPPURAM</v>
      </c>
      <c r="B131" s="143">
        <f>VLOOKUP($A131,'Data shares'!$C:$FA,118)</f>
        <v>0.49</v>
      </c>
      <c r="C131" s="143">
        <f>VLOOKUP($A131,'Data shares'!$C:$FA,119)</f>
        <v>0.56000000000000005</v>
      </c>
      <c r="D131" s="143">
        <f>VLOOKUP($A131,'Data shares'!$C:$FA,121)*100</f>
        <v>-12.5</v>
      </c>
      <c r="E131" s="143">
        <f>VLOOKUP($A131,'Data shares'!$C:$FA,124)</f>
        <v>0.3</v>
      </c>
      <c r="F131" s="143">
        <f>VLOOKUP($A131,'Data shares'!$C:$FA,125)</f>
        <v>0.36</v>
      </c>
      <c r="G131" s="143">
        <f>VLOOKUP($A131,'Data shares'!$C:$FA,127)*100</f>
        <v>-16.669999999999998</v>
      </c>
      <c r="H131" s="103">
        <f>VLOOKUP($A131,'OI(Volume)'!$A$7:$O$427,8)</f>
        <v>18117000</v>
      </c>
      <c r="I131" s="103">
        <f>VLOOKUP($A131,'OI(Volume)'!$A$7:$O$427,9)</f>
        <v>2082000</v>
      </c>
      <c r="J131" s="103">
        <f>VLOOKUP($A131,'OI(Volume)'!$A$7:$O$427,11)</f>
        <v>8892000</v>
      </c>
      <c r="K131" s="103">
        <f>VLOOKUP($A131,'OI(Volume)'!$A$7:$O$427,12)</f>
        <v>-30000</v>
      </c>
      <c r="L131" s="103">
        <f>VLOOKUP($A131,'OI(Value)'!$A$7:$O$306,8,0)</f>
        <v>521</v>
      </c>
      <c r="M131" s="103">
        <f>VLOOKUP($A131,'OI(Value)'!$A$7:$O$306,9,0)</f>
        <v>60</v>
      </c>
      <c r="N131" s="103">
        <f>VLOOKUP($A131,'OI(Value)'!$A$7:$O$306,11,0)</f>
        <v>255</v>
      </c>
      <c r="O131" s="103">
        <f>VLOOKUP($A131,'OI(Value)'!$A$7:$O$306,12,0)</f>
        <v>-1</v>
      </c>
      <c r="P131" s="179">
        <f>VLOOKUP(A131,'OI(Value)'!A131:O332,8,0)</f>
        <v>521</v>
      </c>
      <c r="Q131" s="179">
        <f>VLOOKUP(A131,'OI(Value)'!A131:O332,9,0)</f>
        <v>60</v>
      </c>
      <c r="R131" s="179">
        <f>VLOOKUP(A131,'OI(Value)'!A131:O332,11,0)</f>
        <v>255</v>
      </c>
      <c r="S131" s="179">
        <f>VLOOKUP(A131,'OI(Value)'!A131:O332,11,0)</f>
        <v>255</v>
      </c>
    </row>
    <row r="132" spans="1:19" x14ac:dyDescent="0.25">
      <c r="A132" s="105" t="str">
        <f>'Data shares'!C127</f>
        <v>MANKIND</v>
      </c>
      <c r="B132" s="143">
        <f>VLOOKUP($A132,'Data shares'!$C:$FA,118)</f>
        <v>0.43</v>
      </c>
      <c r="C132" s="143">
        <f>VLOOKUP($A132,'Data shares'!$C:$FA,119)</f>
        <v>0.42</v>
      </c>
      <c r="D132" s="143">
        <f>VLOOKUP($A132,'Data shares'!$C:$FA,121)*100</f>
        <v>2.3800000000000003</v>
      </c>
      <c r="E132" s="143">
        <f>VLOOKUP($A132,'Data shares'!$C:$FA,124)</f>
        <v>0.26</v>
      </c>
      <c r="F132" s="143">
        <f>VLOOKUP($A132,'Data shares'!$C:$FA,125)</f>
        <v>0.32</v>
      </c>
      <c r="G132" s="143">
        <f>VLOOKUP($A132,'Data shares'!$C:$FA,127)*100</f>
        <v>-18.75</v>
      </c>
      <c r="H132" s="103">
        <f>VLOOKUP($A132,'OI(Volume)'!$A$7:$O$427,8)</f>
        <v>988650</v>
      </c>
      <c r="I132" s="103">
        <f>VLOOKUP($A132,'OI(Volume)'!$A$7:$O$427,9)</f>
        <v>-26550</v>
      </c>
      <c r="J132" s="103">
        <f>VLOOKUP($A132,'OI(Volume)'!$A$7:$O$427,11)</f>
        <v>426375</v>
      </c>
      <c r="K132" s="103">
        <f>VLOOKUP($A132,'OI(Volume)'!$A$7:$O$427,12)</f>
        <v>-450</v>
      </c>
      <c r="L132" s="103">
        <f>VLOOKUP($A132,'OI(Value)'!$A$7:$O$306,8,0)</f>
        <v>243</v>
      </c>
      <c r="M132" s="103">
        <f>VLOOKUP($A132,'OI(Value)'!$A$7:$O$306,9,0)</f>
        <v>-7</v>
      </c>
      <c r="N132" s="103">
        <f>VLOOKUP($A132,'OI(Value)'!$A$7:$O$306,11,0)</f>
        <v>105</v>
      </c>
      <c r="O132" s="103">
        <f>VLOOKUP($A132,'OI(Value)'!$A$7:$O$306,12,0)</f>
        <v>0</v>
      </c>
      <c r="P132" s="179">
        <f>VLOOKUP(A132,'OI(Value)'!A132:O333,8,0)</f>
        <v>243</v>
      </c>
      <c r="Q132" s="179">
        <f>VLOOKUP(A132,'OI(Value)'!A132:O333,9,0)</f>
        <v>-7</v>
      </c>
      <c r="R132" s="179">
        <f>VLOOKUP(A132,'OI(Value)'!A132:O333,11,0)</f>
        <v>105</v>
      </c>
      <c r="S132" s="179">
        <f>VLOOKUP(A132,'OI(Value)'!A132:O333,11,0)</f>
        <v>105</v>
      </c>
    </row>
    <row r="133" spans="1:19" x14ac:dyDescent="0.25">
      <c r="A133" s="105" t="str">
        <f>'Data shares'!C128</f>
        <v>MARICO</v>
      </c>
      <c r="B133" s="143">
        <f>VLOOKUP($A133,'Data shares'!$C:$FA,118)</f>
        <v>0.64</v>
      </c>
      <c r="C133" s="143">
        <f>VLOOKUP($A133,'Data shares'!$C:$FA,119)</f>
        <v>0.59</v>
      </c>
      <c r="D133" s="143">
        <f>VLOOKUP($A133,'Data shares'!$C:$FA,121)*100</f>
        <v>8.4699999999999989</v>
      </c>
      <c r="E133" s="143">
        <f>VLOOKUP($A133,'Data shares'!$C:$FA,124)</f>
        <v>0.28999999999999998</v>
      </c>
      <c r="F133" s="143">
        <f>VLOOKUP($A133,'Data shares'!$C:$FA,125)</f>
        <v>0.43</v>
      </c>
      <c r="G133" s="143">
        <f>VLOOKUP($A133,'Data shares'!$C:$FA,127)*100</f>
        <v>-32.56</v>
      </c>
      <c r="H133" s="103">
        <f>VLOOKUP($A133,'OI(Volume)'!$A$7:$O$427,8)</f>
        <v>3732000</v>
      </c>
      <c r="I133" s="103">
        <f>VLOOKUP($A133,'OI(Volume)'!$A$7:$O$427,9)</f>
        <v>-146400</v>
      </c>
      <c r="J133" s="103">
        <f>VLOOKUP($A133,'OI(Volume)'!$A$7:$O$427,11)</f>
        <v>2370000</v>
      </c>
      <c r="K133" s="103">
        <f>VLOOKUP($A133,'OI(Volume)'!$A$7:$O$427,12)</f>
        <v>72000</v>
      </c>
      <c r="L133" s="103">
        <f>VLOOKUP($A133,'OI(Value)'!$A$7:$O$306,8,0)</f>
        <v>271</v>
      </c>
      <c r="M133" s="103">
        <f>VLOOKUP($A133,'OI(Value)'!$A$7:$O$306,9,0)</f>
        <v>-11</v>
      </c>
      <c r="N133" s="103">
        <f>VLOOKUP($A133,'OI(Value)'!$A$7:$O$306,11,0)</f>
        <v>172</v>
      </c>
      <c r="O133" s="103">
        <f>VLOOKUP($A133,'OI(Value)'!$A$7:$O$306,12,0)</f>
        <v>5</v>
      </c>
      <c r="P133" s="179">
        <f>VLOOKUP(A133,'OI(Value)'!A133:O334,8,0)</f>
        <v>271</v>
      </c>
      <c r="Q133" s="179">
        <f>VLOOKUP(A133,'OI(Value)'!A133:O334,9,0)</f>
        <v>-11</v>
      </c>
      <c r="R133" s="179">
        <f>VLOOKUP(A133,'OI(Value)'!A133:O334,11,0)</f>
        <v>172</v>
      </c>
      <c r="S133" s="179">
        <f>VLOOKUP(A133,'OI(Value)'!A133:O334,11,0)</f>
        <v>172</v>
      </c>
    </row>
    <row r="134" spans="1:19" x14ac:dyDescent="0.25">
      <c r="A134" s="105" t="str">
        <f>'Data shares'!C129</f>
        <v>MARUTI</v>
      </c>
      <c r="B134" s="143">
        <f>VLOOKUP($A134,'Data shares'!$C:$FA,118)</f>
        <v>0.57999999999999996</v>
      </c>
      <c r="C134" s="143">
        <f>VLOOKUP($A134,'Data shares'!$C:$FA,119)</f>
        <v>0.55000000000000004</v>
      </c>
      <c r="D134" s="143">
        <f>VLOOKUP($A134,'Data shares'!$C:$FA,121)*100</f>
        <v>5.45</v>
      </c>
      <c r="E134" s="143">
        <f>VLOOKUP($A134,'Data shares'!$C:$FA,124)</f>
        <v>0.54</v>
      </c>
      <c r="F134" s="143">
        <f>VLOOKUP($A134,'Data shares'!$C:$FA,125)</f>
        <v>0.69</v>
      </c>
      <c r="G134" s="143">
        <f>VLOOKUP($A134,'Data shares'!$C:$FA,127)*100</f>
        <v>-21.740000000000002</v>
      </c>
      <c r="H134" s="103">
        <f>VLOOKUP($A134,'OI(Volume)'!$A$7:$O$427,8)</f>
        <v>3058100</v>
      </c>
      <c r="I134" s="103">
        <f>VLOOKUP($A134,'OI(Volume)'!$A$7:$O$427,9)</f>
        <v>-123200</v>
      </c>
      <c r="J134" s="103">
        <f>VLOOKUP($A134,'OI(Volume)'!$A$7:$O$427,11)</f>
        <v>1781400</v>
      </c>
      <c r="K134" s="103">
        <f>VLOOKUP($A134,'OI(Volume)'!$A$7:$O$427,12)</f>
        <v>40150</v>
      </c>
      <c r="L134" s="103">
        <f>VLOOKUP($A134,'OI(Value)'!$A$7:$O$306,8,0)</f>
        <v>5001</v>
      </c>
      <c r="M134" s="103">
        <f>VLOOKUP($A134,'OI(Value)'!$A$7:$O$306,9,0)</f>
        <v>-201</v>
      </c>
      <c r="N134" s="103">
        <f>VLOOKUP($A134,'OI(Value)'!$A$7:$O$306,11,0)</f>
        <v>2913</v>
      </c>
      <c r="O134" s="103">
        <f>VLOOKUP($A134,'OI(Value)'!$A$7:$O$306,12,0)</f>
        <v>66</v>
      </c>
      <c r="P134" s="179">
        <f>VLOOKUP(A134,'OI(Value)'!A134:O335,8,0)</f>
        <v>5001</v>
      </c>
      <c r="Q134" s="179">
        <f>VLOOKUP(A134,'OI(Value)'!A134:O335,9,0)</f>
        <v>-201</v>
      </c>
      <c r="R134" s="179">
        <f>VLOOKUP(A134,'OI(Value)'!A134:O335,11,0)</f>
        <v>2913</v>
      </c>
      <c r="S134" s="179">
        <f>VLOOKUP(A134,'OI(Value)'!A134:O335,11,0)</f>
        <v>2913</v>
      </c>
    </row>
    <row r="135" spans="1:19" x14ac:dyDescent="0.25">
      <c r="A135" s="105" t="str">
        <f>'Data shares'!C130</f>
        <v>MAXHEALTH</v>
      </c>
      <c r="B135" s="143">
        <f>VLOOKUP($A135,'Data shares'!$C:$FA,118)</f>
        <v>0.68</v>
      </c>
      <c r="C135" s="143">
        <f>VLOOKUP($A135,'Data shares'!$C:$FA,119)</f>
        <v>0.7</v>
      </c>
      <c r="D135" s="143">
        <f>VLOOKUP($A135,'Data shares'!$C:$FA,121)*100</f>
        <v>-2.86</v>
      </c>
      <c r="E135" s="143">
        <f>VLOOKUP($A135,'Data shares'!$C:$FA,124)</f>
        <v>0.35</v>
      </c>
      <c r="F135" s="143">
        <f>VLOOKUP($A135,'Data shares'!$C:$FA,125)</f>
        <v>0.53</v>
      </c>
      <c r="G135" s="143">
        <f>VLOOKUP($A135,'Data shares'!$C:$FA,127)*100</f>
        <v>-33.96</v>
      </c>
      <c r="H135" s="103">
        <f>VLOOKUP($A135,'OI(Volume)'!$A$7:$O$427,8)</f>
        <v>4208925</v>
      </c>
      <c r="I135" s="103">
        <f>VLOOKUP($A135,'OI(Volume)'!$A$7:$O$427,9)</f>
        <v>237825</v>
      </c>
      <c r="J135" s="103">
        <f>VLOOKUP($A135,'OI(Volume)'!$A$7:$O$427,11)</f>
        <v>2842875</v>
      </c>
      <c r="K135" s="103">
        <f>VLOOKUP($A135,'OI(Volume)'!$A$7:$O$427,12)</f>
        <v>75600</v>
      </c>
      <c r="L135" s="103">
        <f>VLOOKUP($A135,'OI(Value)'!$A$7:$O$306,8,0)</f>
        <v>496</v>
      </c>
      <c r="M135" s="103">
        <f>VLOOKUP($A135,'OI(Value)'!$A$7:$O$306,9,0)</f>
        <v>28</v>
      </c>
      <c r="N135" s="103">
        <f>VLOOKUP($A135,'OI(Value)'!$A$7:$O$306,11,0)</f>
        <v>335</v>
      </c>
      <c r="O135" s="103">
        <f>VLOOKUP($A135,'OI(Value)'!$A$7:$O$306,12,0)</f>
        <v>9</v>
      </c>
      <c r="P135" s="179">
        <f>VLOOKUP(A135,'OI(Value)'!A135:O336,8,0)</f>
        <v>496</v>
      </c>
      <c r="Q135" s="179">
        <f>VLOOKUP(A135,'OI(Value)'!A135:O336,9,0)</f>
        <v>28</v>
      </c>
      <c r="R135" s="179">
        <f>VLOOKUP(A135,'OI(Value)'!A135:O336,11,0)</f>
        <v>335</v>
      </c>
      <c r="S135" s="179">
        <f>VLOOKUP(A135,'OI(Value)'!A135:O336,11,0)</f>
        <v>335</v>
      </c>
    </row>
    <row r="136" spans="1:19" x14ac:dyDescent="0.25">
      <c r="A136" s="105" t="str">
        <f>'Data shares'!C131</f>
        <v>MAZDOCK</v>
      </c>
      <c r="B136" s="143">
        <f>VLOOKUP($A136,'Data shares'!$C:$FA,118)</f>
        <v>0.48</v>
      </c>
      <c r="C136" s="143">
        <f>VLOOKUP($A136,'Data shares'!$C:$FA,119)</f>
        <v>0.48</v>
      </c>
      <c r="D136" s="143">
        <f>VLOOKUP($A136,'Data shares'!$C:$FA,121)*100</f>
        <v>0</v>
      </c>
      <c r="E136" s="143">
        <f>VLOOKUP($A136,'Data shares'!$C:$FA,124)</f>
        <v>0.34</v>
      </c>
      <c r="F136" s="143">
        <f>VLOOKUP($A136,'Data shares'!$C:$FA,125)</f>
        <v>0.28000000000000003</v>
      </c>
      <c r="G136" s="143">
        <f>VLOOKUP($A136,'Data shares'!$C:$FA,127)*100</f>
        <v>21.43</v>
      </c>
      <c r="H136" s="103">
        <f>VLOOKUP($A136,'OI(Volume)'!$A$7:$O$427,8)</f>
        <v>2951200</v>
      </c>
      <c r="I136" s="103">
        <f>VLOOKUP($A136,'OI(Volume)'!$A$7:$O$427,9)</f>
        <v>19250</v>
      </c>
      <c r="J136" s="103">
        <f>VLOOKUP($A136,'OI(Volume)'!$A$7:$O$427,11)</f>
        <v>1416800</v>
      </c>
      <c r="K136" s="103">
        <f>VLOOKUP($A136,'OI(Volume)'!$A$7:$O$427,12)</f>
        <v>16100</v>
      </c>
      <c r="L136" s="103">
        <f>VLOOKUP($A136,'OI(Value)'!$A$7:$O$306,8,0)</f>
        <v>839</v>
      </c>
      <c r="M136" s="103">
        <f>VLOOKUP($A136,'OI(Value)'!$A$7:$O$306,9,0)</f>
        <v>5</v>
      </c>
      <c r="N136" s="103">
        <f>VLOOKUP($A136,'OI(Value)'!$A$7:$O$306,11,0)</f>
        <v>403</v>
      </c>
      <c r="O136" s="103">
        <f>VLOOKUP($A136,'OI(Value)'!$A$7:$O$306,12,0)</f>
        <v>5</v>
      </c>
      <c r="P136" s="179">
        <f>VLOOKUP(A136,'OI(Value)'!A136:O337,8,0)</f>
        <v>839</v>
      </c>
      <c r="Q136" s="179">
        <f>VLOOKUP(A136,'OI(Value)'!A136:O337,9,0)</f>
        <v>5</v>
      </c>
      <c r="R136" s="179">
        <f>VLOOKUP(A136,'OI(Value)'!A136:O337,11,0)</f>
        <v>403</v>
      </c>
      <c r="S136" s="179">
        <f>VLOOKUP(A136,'OI(Value)'!A136:O337,11,0)</f>
        <v>403</v>
      </c>
    </row>
    <row r="137" spans="1:19" x14ac:dyDescent="0.25">
      <c r="A137" s="105" t="str">
        <f>'Data shares'!C132</f>
        <v>MCX</v>
      </c>
      <c r="B137" s="143">
        <f>VLOOKUP($A137,'Data shares'!$C:$FA,118)</f>
        <v>0.87</v>
      </c>
      <c r="C137" s="143">
        <f>VLOOKUP($A137,'Data shares'!$C:$FA,119)</f>
        <v>1.02</v>
      </c>
      <c r="D137" s="143">
        <f>VLOOKUP($A137,'Data shares'!$C:$FA,121)*100</f>
        <v>-14.71</v>
      </c>
      <c r="E137" s="143">
        <f>VLOOKUP($A137,'Data shares'!$C:$FA,124)</f>
        <v>0.88</v>
      </c>
      <c r="F137" s="143">
        <f>VLOOKUP($A137,'Data shares'!$C:$FA,125)</f>
        <v>0.59</v>
      </c>
      <c r="G137" s="143">
        <f>VLOOKUP($A137,'Data shares'!$C:$FA,127)*100</f>
        <v>49.15</v>
      </c>
      <c r="H137" s="103">
        <f>VLOOKUP($A137,'OI(Volume)'!$A$7:$O$427,8)</f>
        <v>3200250</v>
      </c>
      <c r="I137" s="103">
        <f>VLOOKUP($A137,'OI(Volume)'!$A$7:$O$427,9)</f>
        <v>288875</v>
      </c>
      <c r="J137" s="103">
        <f>VLOOKUP($A137,'OI(Volume)'!$A$7:$O$427,11)</f>
        <v>2784500</v>
      </c>
      <c r="K137" s="103">
        <f>VLOOKUP($A137,'OI(Volume)'!$A$7:$O$427,12)</f>
        <v>-171750</v>
      </c>
      <c r="L137" s="103">
        <f>VLOOKUP($A137,'OI(Value)'!$A$7:$O$306,8,0)</f>
        <v>2996</v>
      </c>
      <c r="M137" s="103">
        <f>VLOOKUP($A137,'OI(Value)'!$A$7:$O$306,9,0)</f>
        <v>270</v>
      </c>
      <c r="N137" s="103">
        <f>VLOOKUP($A137,'OI(Value)'!$A$7:$O$306,11,0)</f>
        <v>2606</v>
      </c>
      <c r="O137" s="103">
        <f>VLOOKUP($A137,'OI(Value)'!$A$7:$O$306,12,0)</f>
        <v>-161</v>
      </c>
      <c r="P137" s="179">
        <f>VLOOKUP(A137,'OI(Value)'!A137:O338,8,0)</f>
        <v>2996</v>
      </c>
      <c r="Q137" s="179">
        <f>VLOOKUP(A137,'OI(Value)'!A137:O338,9,0)</f>
        <v>270</v>
      </c>
      <c r="R137" s="179">
        <f>VLOOKUP(A137,'OI(Value)'!A137:O338,11,0)</f>
        <v>2606</v>
      </c>
      <c r="S137" s="179">
        <f>VLOOKUP(A137,'OI(Value)'!A137:O338,11,0)</f>
        <v>2606</v>
      </c>
    </row>
    <row r="138" spans="1:19" x14ac:dyDescent="0.25">
      <c r="A138" s="105" t="str">
        <f>'Data shares'!C133</f>
        <v>MFSL</v>
      </c>
      <c r="B138" s="143">
        <f>VLOOKUP($A138,'Data shares'!$C:$FA,118)</f>
        <v>0.53</v>
      </c>
      <c r="C138" s="143">
        <f>VLOOKUP($A138,'Data shares'!$C:$FA,119)</f>
        <v>0.62</v>
      </c>
      <c r="D138" s="143">
        <f>VLOOKUP($A138,'Data shares'!$C:$FA,121)*100</f>
        <v>-14.52</v>
      </c>
      <c r="E138" s="143">
        <f>VLOOKUP($A138,'Data shares'!$C:$FA,124)</f>
        <v>0.47</v>
      </c>
      <c r="F138" s="143">
        <f>VLOOKUP($A138,'Data shares'!$C:$FA,125)</f>
        <v>0.3</v>
      </c>
      <c r="G138" s="143">
        <f>VLOOKUP($A138,'Data shares'!$C:$FA,127)*100</f>
        <v>56.67</v>
      </c>
      <c r="H138" s="103">
        <f>VLOOKUP($A138,'OI(Volume)'!$A$7:$O$427,8)</f>
        <v>2109600</v>
      </c>
      <c r="I138" s="103">
        <f>VLOOKUP($A138,'OI(Volume)'!$A$7:$O$427,9)</f>
        <v>844800</v>
      </c>
      <c r="J138" s="103">
        <f>VLOOKUP($A138,'OI(Volume)'!$A$7:$O$427,11)</f>
        <v>1116800</v>
      </c>
      <c r="K138" s="103">
        <f>VLOOKUP($A138,'OI(Volume)'!$A$7:$O$427,12)</f>
        <v>335200</v>
      </c>
      <c r="L138" s="103">
        <f>VLOOKUP($A138,'OI(Value)'!$A$7:$O$306,8,0)</f>
        <v>328</v>
      </c>
      <c r="M138" s="103">
        <f>VLOOKUP($A138,'OI(Value)'!$A$7:$O$306,9,0)</f>
        <v>131</v>
      </c>
      <c r="N138" s="103">
        <f>VLOOKUP($A138,'OI(Value)'!$A$7:$O$306,11,0)</f>
        <v>174</v>
      </c>
      <c r="O138" s="103">
        <f>VLOOKUP($A138,'OI(Value)'!$A$7:$O$306,12,0)</f>
        <v>52</v>
      </c>
      <c r="P138" s="179">
        <f>VLOOKUP(A138,'OI(Value)'!A138:O339,8,0)</f>
        <v>328</v>
      </c>
      <c r="Q138" s="179">
        <f>VLOOKUP(A138,'OI(Value)'!A138:O339,9,0)</f>
        <v>131</v>
      </c>
      <c r="R138" s="179">
        <f>VLOOKUP(A138,'OI(Value)'!A138:O339,11,0)</f>
        <v>174</v>
      </c>
      <c r="S138" s="179">
        <f>VLOOKUP(A138,'OI(Value)'!A138:O339,11,0)</f>
        <v>174</v>
      </c>
    </row>
    <row r="139" spans="1:19" x14ac:dyDescent="0.25">
      <c r="A139" s="105" t="str">
        <f>'Data shares'!C134</f>
        <v>MIDCPNIFTY</v>
      </c>
      <c r="B139" s="143">
        <f>VLOOKUP($A139,'Data shares'!$C:$FA,118)</f>
        <v>1.35</v>
      </c>
      <c r="C139" s="143">
        <f>VLOOKUP($A139,'Data shares'!$C:$FA,119)</f>
        <v>1.18</v>
      </c>
      <c r="D139" s="143">
        <f>VLOOKUP($A139,'Data shares'!$C:$FA,121)*100</f>
        <v>14.41</v>
      </c>
      <c r="E139" s="143">
        <f>VLOOKUP($A139,'Data shares'!$C:$FA,124)</f>
        <v>0.98</v>
      </c>
      <c r="F139" s="143">
        <f>VLOOKUP($A139,'Data shares'!$C:$FA,125)</f>
        <v>0.98</v>
      </c>
      <c r="G139" s="143">
        <f>VLOOKUP($A139,'Data shares'!$C:$FA,127)*100</f>
        <v>0</v>
      </c>
      <c r="H139" s="103">
        <f>VLOOKUP($A139,'OI(Volume)'!$A$7:$O$427,8)</f>
        <v>7051100</v>
      </c>
      <c r="I139" s="103">
        <f>VLOOKUP($A139,'OI(Volume)'!$A$7:$O$427,9)</f>
        <v>700</v>
      </c>
      <c r="J139" s="103">
        <f>VLOOKUP($A139,'OI(Volume)'!$A$7:$O$427,11)</f>
        <v>9488080</v>
      </c>
      <c r="K139" s="103">
        <f>VLOOKUP($A139,'OI(Volume)'!$A$7:$O$427,12)</f>
        <v>1198960</v>
      </c>
      <c r="L139" s="103">
        <f>VLOOKUP($A139,'OI(Value)'!$A$7:$O$306,8,0)</f>
        <v>9393</v>
      </c>
      <c r="M139" s="103">
        <f>VLOOKUP($A139,'OI(Value)'!$A$7:$O$306,9,0)</f>
        <v>1</v>
      </c>
      <c r="N139" s="103">
        <f>VLOOKUP($A139,'OI(Value)'!$A$7:$O$306,11,0)</f>
        <v>12640</v>
      </c>
      <c r="O139" s="103">
        <f>VLOOKUP($A139,'OI(Value)'!$A$7:$O$306,12,0)</f>
        <v>1597</v>
      </c>
      <c r="P139" s="179">
        <f>VLOOKUP(A139,'OI(Value)'!A139:O340,8,0)</f>
        <v>9393</v>
      </c>
      <c r="Q139" s="179">
        <f>VLOOKUP(A139,'OI(Value)'!A139:O340,9,0)</f>
        <v>1</v>
      </c>
      <c r="R139" s="179">
        <f>VLOOKUP(A139,'OI(Value)'!A139:O340,11,0)</f>
        <v>12640</v>
      </c>
      <c r="S139" s="179">
        <f>VLOOKUP(A139,'OI(Value)'!A139:O340,11,0)</f>
        <v>12640</v>
      </c>
    </row>
    <row r="140" spans="1:19" x14ac:dyDescent="0.25">
      <c r="A140" s="105" t="str">
        <f>'Data shares'!C135</f>
        <v>MOTHERSON</v>
      </c>
      <c r="B140" s="143">
        <f>VLOOKUP($A140,'Data shares'!$C:$FA,118)</f>
        <v>0.56999999999999995</v>
      </c>
      <c r="C140" s="143">
        <f>VLOOKUP($A140,'Data shares'!$C:$FA,119)</f>
        <v>0.49</v>
      </c>
      <c r="D140" s="143">
        <f>VLOOKUP($A140,'Data shares'!$C:$FA,121)*100</f>
        <v>16.329999999999998</v>
      </c>
      <c r="E140" s="143">
        <f>VLOOKUP($A140,'Data shares'!$C:$FA,124)</f>
        <v>0.43</v>
      </c>
      <c r="F140" s="143">
        <f>VLOOKUP($A140,'Data shares'!$C:$FA,125)</f>
        <v>0.35</v>
      </c>
      <c r="G140" s="143">
        <f>VLOOKUP($A140,'Data shares'!$C:$FA,127)*100</f>
        <v>22.86</v>
      </c>
      <c r="H140" s="103">
        <f>VLOOKUP($A140,'OI(Volume)'!$A$7:$O$427,8)</f>
        <v>64021500</v>
      </c>
      <c r="I140" s="103">
        <f>VLOOKUP($A140,'OI(Volume)'!$A$7:$O$427,9)</f>
        <v>-2607600</v>
      </c>
      <c r="J140" s="103">
        <f>VLOOKUP($A140,'OI(Volume)'!$A$7:$O$427,11)</f>
        <v>36592500</v>
      </c>
      <c r="K140" s="103">
        <f>VLOOKUP($A140,'OI(Volume)'!$A$7:$O$427,12)</f>
        <v>4212750</v>
      </c>
      <c r="L140" s="103">
        <f>VLOOKUP($A140,'OI(Value)'!$A$7:$O$306,8,0)</f>
        <v>689</v>
      </c>
      <c r="M140" s="103">
        <f>VLOOKUP($A140,'OI(Value)'!$A$7:$O$306,9,0)</f>
        <v>-28</v>
      </c>
      <c r="N140" s="103">
        <f>VLOOKUP($A140,'OI(Value)'!$A$7:$O$306,11,0)</f>
        <v>394</v>
      </c>
      <c r="O140" s="103">
        <f>VLOOKUP($A140,'OI(Value)'!$A$7:$O$306,12,0)</f>
        <v>45</v>
      </c>
      <c r="P140" s="179">
        <f>VLOOKUP(A140,'OI(Value)'!A140:O341,8,0)</f>
        <v>689</v>
      </c>
      <c r="Q140" s="179">
        <f>VLOOKUP(A140,'OI(Value)'!A140:O341,9,0)</f>
        <v>-28</v>
      </c>
      <c r="R140" s="179">
        <f>VLOOKUP(A140,'OI(Value)'!A140:O341,11,0)</f>
        <v>394</v>
      </c>
      <c r="S140" s="179">
        <f>VLOOKUP(A140,'OI(Value)'!A140:O341,11,0)</f>
        <v>394</v>
      </c>
    </row>
    <row r="141" spans="1:19" x14ac:dyDescent="0.25">
      <c r="A141" s="105" t="str">
        <f>'Data shares'!C136</f>
        <v>MPHASIS</v>
      </c>
      <c r="B141" s="143">
        <f>VLOOKUP($A141,'Data shares'!$C:$FA,118)</f>
        <v>0.54</v>
      </c>
      <c r="C141" s="143">
        <f>VLOOKUP($A141,'Data shares'!$C:$FA,119)</f>
        <v>0.51</v>
      </c>
      <c r="D141" s="143">
        <f>VLOOKUP($A141,'Data shares'!$C:$FA,121)*100</f>
        <v>5.88</v>
      </c>
      <c r="E141" s="143">
        <f>VLOOKUP($A141,'Data shares'!$C:$FA,124)</f>
        <v>0.44</v>
      </c>
      <c r="F141" s="143">
        <f>VLOOKUP($A141,'Data shares'!$C:$FA,125)</f>
        <v>0.36</v>
      </c>
      <c r="G141" s="143">
        <f>VLOOKUP($A141,'Data shares'!$C:$FA,127)*100</f>
        <v>22.220000000000002</v>
      </c>
      <c r="H141" s="103">
        <f>VLOOKUP($A141,'OI(Volume)'!$A$7:$O$427,8)</f>
        <v>1255650</v>
      </c>
      <c r="I141" s="103">
        <f>VLOOKUP($A141,'OI(Volume)'!$A$7:$O$427,9)</f>
        <v>-29700</v>
      </c>
      <c r="J141" s="103">
        <f>VLOOKUP($A141,'OI(Volume)'!$A$7:$O$427,11)</f>
        <v>680350</v>
      </c>
      <c r="K141" s="103">
        <f>VLOOKUP($A141,'OI(Volume)'!$A$7:$O$427,12)</f>
        <v>24200</v>
      </c>
      <c r="L141" s="103">
        <f>VLOOKUP($A141,'OI(Value)'!$A$7:$O$306,8,0)</f>
        <v>351</v>
      </c>
      <c r="M141" s="103">
        <f>VLOOKUP($A141,'OI(Value)'!$A$7:$O$306,9,0)</f>
        <v>-8</v>
      </c>
      <c r="N141" s="103">
        <f>VLOOKUP($A141,'OI(Value)'!$A$7:$O$306,11,0)</f>
        <v>190</v>
      </c>
      <c r="O141" s="103">
        <f>VLOOKUP($A141,'OI(Value)'!$A$7:$O$306,12,0)</f>
        <v>7</v>
      </c>
      <c r="P141" s="179">
        <f>VLOOKUP(A141,'OI(Value)'!A141:O342,8,0)</f>
        <v>351</v>
      </c>
      <c r="Q141" s="179">
        <f>VLOOKUP(A141,'OI(Value)'!A141:O342,9,0)</f>
        <v>-8</v>
      </c>
      <c r="R141" s="179">
        <f>VLOOKUP(A141,'OI(Value)'!A141:O342,11,0)</f>
        <v>190</v>
      </c>
      <c r="S141" s="179">
        <f>VLOOKUP(A141,'OI(Value)'!A141:O342,11,0)</f>
        <v>190</v>
      </c>
    </row>
    <row r="142" spans="1:19" x14ac:dyDescent="0.25">
      <c r="A142" s="105" t="str">
        <f>'Data shares'!C137</f>
        <v>MUTHOOTFIN</v>
      </c>
      <c r="B142" s="143">
        <f>VLOOKUP($A142,'Data shares'!$C:$FA,118)</f>
        <v>0.7</v>
      </c>
      <c r="C142" s="143">
        <f>VLOOKUP($A142,'Data shares'!$C:$FA,119)</f>
        <v>0.7</v>
      </c>
      <c r="D142" s="143">
        <f>VLOOKUP($A142,'Data shares'!$C:$FA,121)*100</f>
        <v>0</v>
      </c>
      <c r="E142" s="143">
        <f>VLOOKUP($A142,'Data shares'!$C:$FA,124)</f>
        <v>0.56999999999999995</v>
      </c>
      <c r="F142" s="143">
        <f>VLOOKUP($A142,'Data shares'!$C:$FA,125)</f>
        <v>0.64</v>
      </c>
      <c r="G142" s="143">
        <f>VLOOKUP($A142,'Data shares'!$C:$FA,127)*100</f>
        <v>-10.94</v>
      </c>
      <c r="H142" s="103">
        <f>VLOOKUP($A142,'OI(Volume)'!$A$7:$O$427,8)</f>
        <v>2526150</v>
      </c>
      <c r="I142" s="103">
        <f>VLOOKUP($A142,'OI(Volume)'!$A$7:$O$427,9)</f>
        <v>180400</v>
      </c>
      <c r="J142" s="103">
        <f>VLOOKUP($A142,'OI(Volume)'!$A$7:$O$427,11)</f>
        <v>1779800</v>
      </c>
      <c r="K142" s="103">
        <f>VLOOKUP($A142,'OI(Volume)'!$A$7:$O$427,12)</f>
        <v>134200</v>
      </c>
      <c r="L142" s="103">
        <f>VLOOKUP($A142,'OI(Value)'!$A$7:$O$306,8,0)</f>
        <v>827</v>
      </c>
      <c r="M142" s="103">
        <f>VLOOKUP($A142,'OI(Value)'!$A$7:$O$306,9,0)</f>
        <v>59</v>
      </c>
      <c r="N142" s="103">
        <f>VLOOKUP($A142,'OI(Value)'!$A$7:$O$306,11,0)</f>
        <v>583</v>
      </c>
      <c r="O142" s="103">
        <f>VLOOKUP($A142,'OI(Value)'!$A$7:$O$306,12,0)</f>
        <v>44</v>
      </c>
      <c r="P142" s="179">
        <f>VLOOKUP(A142,'OI(Value)'!A142:O343,8,0)</f>
        <v>827</v>
      </c>
      <c r="Q142" s="179">
        <f>VLOOKUP(A142,'OI(Value)'!A142:O343,9,0)</f>
        <v>59</v>
      </c>
      <c r="R142" s="179">
        <f>VLOOKUP(A142,'OI(Value)'!A142:O343,11,0)</f>
        <v>583</v>
      </c>
      <c r="S142" s="179">
        <f>VLOOKUP(A142,'OI(Value)'!A142:O343,11,0)</f>
        <v>583</v>
      </c>
    </row>
    <row r="143" spans="1:19" x14ac:dyDescent="0.25">
      <c r="A143" s="105" t="str">
        <f>'Data shares'!C138</f>
        <v>NATIONALUM</v>
      </c>
      <c r="B143" s="143">
        <f>VLOOKUP($A143,'Data shares'!$C:$FA,118)</f>
        <v>0.72</v>
      </c>
      <c r="C143" s="143">
        <f>VLOOKUP($A143,'Data shares'!$C:$FA,119)</f>
        <v>0.7</v>
      </c>
      <c r="D143" s="143">
        <f>VLOOKUP($A143,'Data shares'!$C:$FA,121)*100</f>
        <v>2.86</v>
      </c>
      <c r="E143" s="143">
        <f>VLOOKUP($A143,'Data shares'!$C:$FA,124)</f>
        <v>0.5</v>
      </c>
      <c r="F143" s="143">
        <f>VLOOKUP($A143,'Data shares'!$C:$FA,125)</f>
        <v>0.56000000000000005</v>
      </c>
      <c r="G143" s="143">
        <f>VLOOKUP($A143,'Data shares'!$C:$FA,127)*100</f>
        <v>-10.71</v>
      </c>
      <c r="H143" s="103">
        <f>VLOOKUP($A143,'OI(Volume)'!$A$7:$O$427,8)</f>
        <v>35088750</v>
      </c>
      <c r="I143" s="103">
        <f>VLOOKUP($A143,'OI(Volume)'!$A$7:$O$427,9)</f>
        <v>-787500</v>
      </c>
      <c r="J143" s="103">
        <f>VLOOKUP($A143,'OI(Volume)'!$A$7:$O$427,11)</f>
        <v>25323750</v>
      </c>
      <c r="K143" s="103">
        <f>VLOOKUP($A143,'OI(Volume)'!$A$7:$O$427,12)</f>
        <v>311250</v>
      </c>
      <c r="L143" s="103">
        <f>VLOOKUP($A143,'OI(Value)'!$A$7:$O$306,8,0)</f>
        <v>797</v>
      </c>
      <c r="M143" s="103">
        <f>VLOOKUP($A143,'OI(Value)'!$A$7:$O$306,9,0)</f>
        <v>-18</v>
      </c>
      <c r="N143" s="103">
        <f>VLOOKUP($A143,'OI(Value)'!$A$7:$O$306,11,0)</f>
        <v>575</v>
      </c>
      <c r="O143" s="103">
        <f>VLOOKUP($A143,'OI(Value)'!$A$7:$O$306,12,0)</f>
        <v>7</v>
      </c>
      <c r="P143" s="179">
        <f>VLOOKUP(A143,'OI(Value)'!A143:O344,8,0)</f>
        <v>797</v>
      </c>
      <c r="Q143" s="179">
        <f>VLOOKUP(A143,'OI(Value)'!A143:O344,9,0)</f>
        <v>-18</v>
      </c>
      <c r="R143" s="179">
        <f>VLOOKUP(A143,'OI(Value)'!A143:O344,11,0)</f>
        <v>575</v>
      </c>
      <c r="S143" s="179">
        <f>VLOOKUP(A143,'OI(Value)'!A143:O344,11,0)</f>
        <v>575</v>
      </c>
    </row>
    <row r="144" spans="1:19" x14ac:dyDescent="0.25">
      <c r="A144" s="105" t="str">
        <f>'Data shares'!C139</f>
        <v>NAUKRI</v>
      </c>
      <c r="B144" s="143">
        <f>VLOOKUP($A144,'Data shares'!$C:$FA,118)</f>
        <v>0.6</v>
      </c>
      <c r="C144" s="143">
        <f>VLOOKUP($A144,'Data shares'!$C:$FA,119)</f>
        <v>0.53</v>
      </c>
      <c r="D144" s="143">
        <f>VLOOKUP($A144,'Data shares'!$C:$FA,121)*100</f>
        <v>13.209999999999999</v>
      </c>
      <c r="E144" s="143">
        <f>VLOOKUP($A144,'Data shares'!$C:$FA,124)</f>
        <v>0.35</v>
      </c>
      <c r="F144" s="143">
        <f>VLOOKUP($A144,'Data shares'!$C:$FA,125)</f>
        <v>0.36</v>
      </c>
      <c r="G144" s="143">
        <f>VLOOKUP($A144,'Data shares'!$C:$FA,127)*100</f>
        <v>-2.78</v>
      </c>
      <c r="H144" s="103">
        <f>VLOOKUP($A144,'OI(Volume)'!$A$7:$O$427,8)</f>
        <v>1947375</v>
      </c>
      <c r="I144" s="103">
        <f>VLOOKUP($A144,'OI(Volume)'!$A$7:$O$427,9)</f>
        <v>-304125</v>
      </c>
      <c r="J144" s="103">
        <f>VLOOKUP($A144,'OI(Volume)'!$A$7:$O$427,11)</f>
        <v>1167750</v>
      </c>
      <c r="K144" s="103">
        <f>VLOOKUP($A144,'OI(Volume)'!$A$7:$O$427,12)</f>
        <v>-22125</v>
      </c>
      <c r="L144" s="103">
        <f>VLOOKUP($A144,'OI(Value)'!$A$7:$O$306,8,0)</f>
        <v>263</v>
      </c>
      <c r="M144" s="103">
        <f>VLOOKUP($A144,'OI(Value)'!$A$7:$O$306,9,0)</f>
        <v>-41</v>
      </c>
      <c r="N144" s="103">
        <f>VLOOKUP($A144,'OI(Value)'!$A$7:$O$306,11,0)</f>
        <v>158</v>
      </c>
      <c r="O144" s="103">
        <f>VLOOKUP($A144,'OI(Value)'!$A$7:$O$306,12,0)</f>
        <v>-3</v>
      </c>
      <c r="P144" s="179">
        <f>VLOOKUP(A144,'OI(Value)'!A144:O345,8,0)</f>
        <v>263</v>
      </c>
      <c r="Q144" s="179">
        <f>VLOOKUP(A144,'OI(Value)'!A144:O345,9,0)</f>
        <v>-41</v>
      </c>
      <c r="R144" s="179">
        <f>VLOOKUP(A144,'OI(Value)'!A144:O345,11,0)</f>
        <v>158</v>
      </c>
      <c r="S144" s="179">
        <f>VLOOKUP(A144,'OI(Value)'!A144:O345,11,0)</f>
        <v>158</v>
      </c>
    </row>
    <row r="145" spans="1:19" x14ac:dyDescent="0.25">
      <c r="A145" s="105" t="str">
        <f>'Data shares'!C140</f>
        <v>NBCC</v>
      </c>
      <c r="B145" s="143">
        <f>VLOOKUP($A145,'Data shares'!$C:$FA,118)</f>
        <v>0.52</v>
      </c>
      <c r="C145" s="143">
        <f>VLOOKUP($A145,'Data shares'!$C:$FA,119)</f>
        <v>0.5</v>
      </c>
      <c r="D145" s="143">
        <f>VLOOKUP($A145,'Data shares'!$C:$FA,121)*100</f>
        <v>4</v>
      </c>
      <c r="E145" s="143">
        <f>VLOOKUP($A145,'Data shares'!$C:$FA,124)</f>
        <v>0.39</v>
      </c>
      <c r="F145" s="143">
        <f>VLOOKUP($A145,'Data shares'!$C:$FA,125)</f>
        <v>0.34</v>
      </c>
      <c r="G145" s="143">
        <f>VLOOKUP($A145,'Data shares'!$C:$FA,127)*100</f>
        <v>14.71</v>
      </c>
      <c r="H145" s="103">
        <f>VLOOKUP($A145,'OI(Volume)'!$A$7:$O$427,8)</f>
        <v>33442500</v>
      </c>
      <c r="I145" s="103">
        <f>VLOOKUP($A145,'OI(Volume)'!$A$7:$O$427,9)</f>
        <v>-1092000</v>
      </c>
      <c r="J145" s="103">
        <f>VLOOKUP($A145,'OI(Volume)'!$A$7:$O$427,11)</f>
        <v>17478500</v>
      </c>
      <c r="K145" s="103">
        <f>VLOOKUP($A145,'OI(Volume)'!$A$7:$O$427,12)</f>
        <v>260000</v>
      </c>
      <c r="L145" s="103">
        <f>VLOOKUP($A145,'OI(Value)'!$A$7:$O$306,8,0)</f>
        <v>377</v>
      </c>
      <c r="M145" s="103">
        <f>VLOOKUP($A145,'OI(Value)'!$A$7:$O$306,9,0)</f>
        <v>-12</v>
      </c>
      <c r="N145" s="103">
        <f>VLOOKUP($A145,'OI(Value)'!$A$7:$O$306,11,0)</f>
        <v>197</v>
      </c>
      <c r="O145" s="103">
        <f>VLOOKUP($A145,'OI(Value)'!$A$7:$O$306,12,0)</f>
        <v>3</v>
      </c>
      <c r="P145" s="179">
        <f>VLOOKUP(A145,'OI(Value)'!A145:O346,8,0)</f>
        <v>377</v>
      </c>
      <c r="Q145" s="179">
        <f>VLOOKUP(A145,'OI(Value)'!A145:O346,9,0)</f>
        <v>-12</v>
      </c>
      <c r="R145" s="179">
        <f>VLOOKUP(A145,'OI(Value)'!A145:O346,11,0)</f>
        <v>197</v>
      </c>
      <c r="S145" s="179">
        <f>VLOOKUP(A145,'OI(Value)'!A145:O346,11,0)</f>
        <v>197</v>
      </c>
    </row>
    <row r="146" spans="1:19" x14ac:dyDescent="0.25">
      <c r="A146" s="105" t="str">
        <f>'Data shares'!C141</f>
        <v>NCC</v>
      </c>
      <c r="B146" s="143">
        <f>VLOOKUP($A146,'Data shares'!$C:$FA,118)</f>
        <v>0.49</v>
      </c>
      <c r="C146" s="143">
        <f>VLOOKUP($A146,'Data shares'!$C:$FA,119)</f>
        <v>0.51</v>
      </c>
      <c r="D146" s="143">
        <f>VLOOKUP($A146,'Data shares'!$C:$FA,121)*100</f>
        <v>-3.92</v>
      </c>
      <c r="E146" s="143">
        <f>VLOOKUP($A146,'Data shares'!$C:$FA,124)</f>
        <v>0.44</v>
      </c>
      <c r="F146" s="143">
        <f>VLOOKUP($A146,'Data shares'!$C:$FA,125)</f>
        <v>0.4</v>
      </c>
      <c r="G146" s="143">
        <f>VLOOKUP($A146,'Data shares'!$C:$FA,127)*100</f>
        <v>10</v>
      </c>
      <c r="H146" s="103">
        <f>VLOOKUP($A146,'OI(Volume)'!$A$7:$O$427,8)</f>
        <v>8453700</v>
      </c>
      <c r="I146" s="103">
        <f>VLOOKUP($A146,'OI(Volume)'!$A$7:$O$427,9)</f>
        <v>43200</v>
      </c>
      <c r="J146" s="103">
        <f>VLOOKUP($A146,'OI(Volume)'!$A$7:$O$427,11)</f>
        <v>4141800</v>
      </c>
      <c r="K146" s="103">
        <f>VLOOKUP($A146,'OI(Volume)'!$A$7:$O$427,12)</f>
        <v>-121500</v>
      </c>
      <c r="L146" s="103">
        <f>VLOOKUP($A146,'OI(Value)'!$A$7:$O$306,8,0)</f>
        <v>178</v>
      </c>
      <c r="M146" s="103">
        <f>VLOOKUP($A146,'OI(Value)'!$A$7:$O$306,9,0)</f>
        <v>1</v>
      </c>
      <c r="N146" s="103">
        <f>VLOOKUP($A146,'OI(Value)'!$A$7:$O$306,11,0)</f>
        <v>87</v>
      </c>
      <c r="O146" s="103">
        <f>VLOOKUP($A146,'OI(Value)'!$A$7:$O$306,12,0)</f>
        <v>-3</v>
      </c>
      <c r="P146" s="179">
        <f>VLOOKUP(A146,'OI(Value)'!A146:O347,8,0)</f>
        <v>178</v>
      </c>
      <c r="Q146" s="179">
        <f>VLOOKUP(A146,'OI(Value)'!A146:O347,9,0)</f>
        <v>1</v>
      </c>
      <c r="R146" s="179">
        <f>VLOOKUP(A146,'OI(Value)'!A146:O347,11,0)</f>
        <v>87</v>
      </c>
      <c r="S146" s="179">
        <f>VLOOKUP(A146,'OI(Value)'!A146:O347,11,0)</f>
        <v>87</v>
      </c>
    </row>
    <row r="147" spans="1:19" x14ac:dyDescent="0.25">
      <c r="A147" s="105" t="str">
        <f>'Data shares'!C142</f>
        <v>NESTLEIND</v>
      </c>
      <c r="B147" s="143">
        <f>VLOOKUP($A147,'Data shares'!$C:$FA,118)</f>
        <v>1.02</v>
      </c>
      <c r="C147" s="143">
        <f>VLOOKUP($A147,'Data shares'!$C:$FA,119)</f>
        <v>0.76</v>
      </c>
      <c r="D147" s="143">
        <f>VLOOKUP($A147,'Data shares'!$C:$FA,121)*100</f>
        <v>34.21</v>
      </c>
      <c r="E147" s="143">
        <f>VLOOKUP($A147,'Data shares'!$C:$FA,124)</f>
        <v>0.69</v>
      </c>
      <c r="F147" s="143">
        <f>VLOOKUP($A147,'Data shares'!$C:$FA,125)</f>
        <v>0.48</v>
      </c>
      <c r="G147" s="143">
        <f>VLOOKUP($A147,'Data shares'!$C:$FA,127)*100</f>
        <v>43.75</v>
      </c>
      <c r="H147" s="103">
        <f>VLOOKUP($A147,'OI(Volume)'!$A$7:$O$427,8)</f>
        <v>8974500</v>
      </c>
      <c r="I147" s="103">
        <f>VLOOKUP($A147,'OI(Volume)'!$A$7:$O$427,9)</f>
        <v>3887500</v>
      </c>
      <c r="J147" s="103">
        <f>VLOOKUP($A147,'OI(Volume)'!$A$7:$O$427,11)</f>
        <v>9150500</v>
      </c>
      <c r="K147" s="103">
        <f>VLOOKUP($A147,'OI(Volume)'!$A$7:$O$427,12)</f>
        <v>5266500</v>
      </c>
      <c r="L147" s="103">
        <f>VLOOKUP($A147,'OI(Value)'!$A$7:$O$306,8,0)</f>
        <v>1151</v>
      </c>
      <c r="M147" s="103">
        <f>VLOOKUP($A147,'OI(Value)'!$A$7:$O$306,9,0)</f>
        <v>498</v>
      </c>
      <c r="N147" s="103">
        <f>VLOOKUP($A147,'OI(Value)'!$A$7:$O$306,11,0)</f>
        <v>1173</v>
      </c>
      <c r="O147" s="103">
        <f>VLOOKUP($A147,'OI(Value)'!$A$7:$O$306,12,0)</f>
        <v>675</v>
      </c>
      <c r="P147" s="179">
        <f>VLOOKUP(A147,'OI(Value)'!A147:O348,8,0)</f>
        <v>1151</v>
      </c>
      <c r="Q147" s="179">
        <f>VLOOKUP(A147,'OI(Value)'!A147:O348,9,0)</f>
        <v>498</v>
      </c>
      <c r="R147" s="179">
        <f>VLOOKUP(A147,'OI(Value)'!A147:O348,11,0)</f>
        <v>1173</v>
      </c>
      <c r="S147" s="179">
        <f>VLOOKUP(A147,'OI(Value)'!A147:O348,11,0)</f>
        <v>1173</v>
      </c>
    </row>
    <row r="148" spans="1:19" x14ac:dyDescent="0.25">
      <c r="A148" s="105" t="str">
        <f>'Data shares'!C143</f>
        <v>NHPC</v>
      </c>
      <c r="B148" s="143">
        <f>VLOOKUP($A148,'Data shares'!$C:$FA,118)</f>
        <v>0.48</v>
      </c>
      <c r="C148" s="143">
        <f>VLOOKUP($A148,'Data shares'!$C:$FA,119)</f>
        <v>0.49</v>
      </c>
      <c r="D148" s="143">
        <f>VLOOKUP($A148,'Data shares'!$C:$FA,121)*100</f>
        <v>-2.04</v>
      </c>
      <c r="E148" s="143">
        <f>VLOOKUP($A148,'Data shares'!$C:$FA,124)</f>
        <v>0.49</v>
      </c>
      <c r="F148" s="143">
        <f>VLOOKUP($A148,'Data shares'!$C:$FA,125)</f>
        <v>0.47</v>
      </c>
      <c r="G148" s="143">
        <f>VLOOKUP($A148,'Data shares'!$C:$FA,127)*100</f>
        <v>4.26</v>
      </c>
      <c r="H148" s="103">
        <f>VLOOKUP($A148,'OI(Volume)'!$A$7:$O$427,8)</f>
        <v>19616000</v>
      </c>
      <c r="I148" s="103">
        <f>VLOOKUP($A148,'OI(Volume)'!$A$7:$O$427,9)</f>
        <v>268800</v>
      </c>
      <c r="J148" s="103">
        <f>VLOOKUP($A148,'OI(Volume)'!$A$7:$O$427,11)</f>
        <v>9491200</v>
      </c>
      <c r="K148" s="103">
        <f>VLOOKUP($A148,'OI(Volume)'!$A$7:$O$427,12)</f>
        <v>-70400</v>
      </c>
      <c r="L148" s="103">
        <f>VLOOKUP($A148,'OI(Value)'!$A$7:$O$306,8,0)</f>
        <v>171</v>
      </c>
      <c r="M148" s="103">
        <f>VLOOKUP($A148,'OI(Value)'!$A$7:$O$306,9,0)</f>
        <v>2</v>
      </c>
      <c r="N148" s="103">
        <f>VLOOKUP($A148,'OI(Value)'!$A$7:$O$306,11,0)</f>
        <v>83</v>
      </c>
      <c r="O148" s="103">
        <f>VLOOKUP($A148,'OI(Value)'!$A$7:$O$306,12,0)</f>
        <v>-1</v>
      </c>
      <c r="P148" s="179">
        <f>VLOOKUP(A148,'OI(Value)'!A148:O349,8,0)</f>
        <v>171</v>
      </c>
      <c r="Q148" s="179">
        <f>VLOOKUP(A148,'OI(Value)'!A148:O349,9,0)</f>
        <v>2</v>
      </c>
      <c r="R148" s="179">
        <f>VLOOKUP(A148,'OI(Value)'!A148:O349,11,0)</f>
        <v>83</v>
      </c>
      <c r="S148" s="179">
        <f>VLOOKUP(A148,'OI(Value)'!A148:O349,11,0)</f>
        <v>83</v>
      </c>
    </row>
    <row r="149" spans="1:19" x14ac:dyDescent="0.25">
      <c r="A149" s="105" t="str">
        <f>'Data shares'!C144</f>
        <v>NIFTY</v>
      </c>
      <c r="B149" s="143">
        <f>VLOOKUP($A149,'Data shares'!$C:$FA,118)</f>
        <v>1.38</v>
      </c>
      <c r="C149" s="143">
        <f>VLOOKUP($A149,'Data shares'!$C:$FA,119)</f>
        <v>1.21</v>
      </c>
      <c r="D149" s="143">
        <f>VLOOKUP($A149,'Data shares'!$C:$FA,121)*100</f>
        <v>14.05</v>
      </c>
      <c r="E149" s="143">
        <f>VLOOKUP($A149,'Data shares'!$C:$FA,124)</f>
        <v>0.81</v>
      </c>
      <c r="F149" s="143">
        <f>VLOOKUP($A149,'Data shares'!$C:$FA,125)</f>
        <v>0.87</v>
      </c>
      <c r="G149" s="143">
        <f>VLOOKUP($A149,'Data shares'!$C:$FA,127)*100</f>
        <v>-6.9</v>
      </c>
      <c r="H149" s="103">
        <f>VLOOKUP($A149,'OI(Volume)'!$A$7:$O$427,8)</f>
        <v>211647275</v>
      </c>
      <c r="I149" s="103">
        <f>VLOOKUP($A149,'OI(Volume)'!$A$7:$O$427,9)</f>
        <v>13940525</v>
      </c>
      <c r="J149" s="103">
        <f>VLOOKUP($A149,'OI(Volume)'!$A$7:$O$427,11)</f>
        <v>292683575</v>
      </c>
      <c r="K149" s="103">
        <f>VLOOKUP($A149,'OI(Volume)'!$A$7:$O$427,12)</f>
        <v>52970450</v>
      </c>
      <c r="L149" s="103">
        <f>VLOOKUP($A149,'OI(Value)'!$A$7:$O$306,8,0)</f>
        <v>543004</v>
      </c>
      <c r="M149" s="103">
        <f>VLOOKUP($A149,'OI(Value)'!$A$7:$O$306,9,0)</f>
        <v>35766</v>
      </c>
      <c r="N149" s="103">
        <f>VLOOKUP($A149,'OI(Value)'!$A$7:$O$306,11,0)</f>
        <v>750912</v>
      </c>
      <c r="O149" s="103">
        <f>VLOOKUP($A149,'OI(Value)'!$A$7:$O$306,12,0)</f>
        <v>135902</v>
      </c>
      <c r="P149" s="179">
        <f>VLOOKUP(A149,'OI(Value)'!A149:O350,8,0)</f>
        <v>543004</v>
      </c>
      <c r="Q149" s="179">
        <f>VLOOKUP(A149,'OI(Value)'!A149:O350,9,0)</f>
        <v>35766</v>
      </c>
      <c r="R149" s="179">
        <f>VLOOKUP(A149,'OI(Value)'!A149:O350,11,0)</f>
        <v>750912</v>
      </c>
      <c r="S149" s="179">
        <f>VLOOKUP(A149,'OI(Value)'!A149:O350,11,0)</f>
        <v>750912</v>
      </c>
    </row>
    <row r="150" spans="1:19" x14ac:dyDescent="0.25">
      <c r="A150" s="105" t="str">
        <f>'Data shares'!C145</f>
        <v>NIFTYNXT50</v>
      </c>
      <c r="B150" s="143">
        <f>VLOOKUP($A150,'Data shares'!$C:$FA,118)</f>
        <v>0.88</v>
      </c>
      <c r="C150" s="143">
        <f>VLOOKUP($A150,'Data shares'!$C:$FA,119)</f>
        <v>0.89</v>
      </c>
      <c r="D150" s="143">
        <f>VLOOKUP($A150,'Data shares'!$C:$FA,121)*100</f>
        <v>-1.1199999999999999</v>
      </c>
      <c r="E150" s="143">
        <f>VLOOKUP($A150,'Data shares'!$C:$FA,124)</f>
        <v>0.28999999999999998</v>
      </c>
      <c r="F150" s="143">
        <f>VLOOKUP($A150,'Data shares'!$C:$FA,125)</f>
        <v>0.66</v>
      </c>
      <c r="G150" s="143">
        <f>VLOOKUP($A150,'Data shares'!$C:$FA,127)*100</f>
        <v>-56.06</v>
      </c>
      <c r="H150" s="103">
        <f>VLOOKUP($A150,'OI(Volume)'!$A$7:$O$427,8)</f>
        <v>7750</v>
      </c>
      <c r="I150" s="103">
        <f>VLOOKUP($A150,'OI(Volume)'!$A$7:$O$427,9)</f>
        <v>525</v>
      </c>
      <c r="J150" s="103">
        <f>VLOOKUP($A150,'OI(Volume)'!$A$7:$O$427,11)</f>
        <v>6825</v>
      </c>
      <c r="K150" s="103">
        <f>VLOOKUP($A150,'OI(Volume)'!$A$7:$O$427,12)</f>
        <v>375</v>
      </c>
      <c r="L150" s="103">
        <f>VLOOKUP($A150,'OI(Value)'!$A$7:$O$306,8,0)</f>
        <v>54</v>
      </c>
      <c r="M150" s="103">
        <f>VLOOKUP($A150,'OI(Value)'!$A$7:$O$306,9,0)</f>
        <v>4</v>
      </c>
      <c r="N150" s="103">
        <f>VLOOKUP($A150,'OI(Value)'!$A$7:$O$306,11,0)</f>
        <v>47</v>
      </c>
      <c r="O150" s="103">
        <f>VLOOKUP($A150,'OI(Value)'!$A$7:$O$306,12,0)</f>
        <v>3</v>
      </c>
      <c r="P150" s="179">
        <f>VLOOKUP(A150,'OI(Value)'!A150:O351,8,0)</f>
        <v>54</v>
      </c>
      <c r="Q150" s="179">
        <f>VLOOKUP(A150,'OI(Value)'!A150:O351,9,0)</f>
        <v>4</v>
      </c>
      <c r="R150" s="179">
        <f>VLOOKUP(A150,'OI(Value)'!A150:O351,11,0)</f>
        <v>47</v>
      </c>
      <c r="S150" s="179">
        <f>VLOOKUP(A150,'OI(Value)'!A150:O351,11,0)</f>
        <v>47</v>
      </c>
    </row>
    <row r="151" spans="1:19" x14ac:dyDescent="0.25">
      <c r="A151" s="105" t="str">
        <f>'Data shares'!C146</f>
        <v>NMDC</v>
      </c>
      <c r="B151" s="143">
        <f>VLOOKUP($A151,'Data shares'!$C:$FA,118)</f>
        <v>0.54</v>
      </c>
      <c r="C151" s="143">
        <f>VLOOKUP($A151,'Data shares'!$C:$FA,119)</f>
        <v>0.56000000000000005</v>
      </c>
      <c r="D151" s="143">
        <f>VLOOKUP($A151,'Data shares'!$C:$FA,121)*100</f>
        <v>-3.5700000000000003</v>
      </c>
      <c r="E151" s="143">
        <f>VLOOKUP($A151,'Data shares'!$C:$FA,124)</f>
        <v>0.39</v>
      </c>
      <c r="F151" s="143">
        <f>VLOOKUP($A151,'Data shares'!$C:$FA,125)</f>
        <v>0.36</v>
      </c>
      <c r="G151" s="143">
        <f>VLOOKUP($A151,'Data shares'!$C:$FA,127)*100</f>
        <v>8.33</v>
      </c>
      <c r="H151" s="103">
        <f>VLOOKUP($A151,'OI(Volume)'!$A$7:$O$427,8)</f>
        <v>162162000</v>
      </c>
      <c r="I151" s="103">
        <f>VLOOKUP($A151,'OI(Volume)'!$A$7:$O$427,9)</f>
        <v>9423000</v>
      </c>
      <c r="J151" s="103">
        <f>VLOOKUP($A151,'OI(Volume)'!$A$7:$O$427,11)</f>
        <v>87291000</v>
      </c>
      <c r="K151" s="103">
        <f>VLOOKUP($A151,'OI(Volume)'!$A$7:$O$427,12)</f>
        <v>2484000</v>
      </c>
      <c r="L151" s="103">
        <f>VLOOKUP($A151,'OI(Value)'!$A$7:$O$306,8,0)</f>
        <v>1233</v>
      </c>
      <c r="M151" s="103">
        <f>VLOOKUP($A151,'OI(Value)'!$A$7:$O$306,9,0)</f>
        <v>72</v>
      </c>
      <c r="N151" s="103">
        <f>VLOOKUP($A151,'OI(Value)'!$A$7:$O$306,11,0)</f>
        <v>664</v>
      </c>
      <c r="O151" s="103">
        <f>VLOOKUP($A151,'OI(Value)'!$A$7:$O$306,12,0)</f>
        <v>19</v>
      </c>
      <c r="P151" s="179">
        <f>VLOOKUP(A151,'OI(Value)'!A151:O352,8,0)</f>
        <v>1233</v>
      </c>
      <c r="Q151" s="179">
        <f>VLOOKUP(A151,'OI(Value)'!A151:O352,9,0)</f>
        <v>72</v>
      </c>
      <c r="R151" s="179">
        <f>VLOOKUP(A151,'OI(Value)'!A151:O352,11,0)</f>
        <v>664</v>
      </c>
      <c r="S151" s="179">
        <f>VLOOKUP(A151,'OI(Value)'!A151:O352,11,0)</f>
        <v>664</v>
      </c>
    </row>
    <row r="152" spans="1:19" x14ac:dyDescent="0.25">
      <c r="A152" s="105" t="str">
        <f>'Data shares'!C147</f>
        <v>NTPC</v>
      </c>
      <c r="B152" s="143">
        <f>VLOOKUP($A152,'Data shares'!$C:$FA,118)</f>
        <v>0.41</v>
      </c>
      <c r="C152" s="143">
        <f>VLOOKUP($A152,'Data shares'!$C:$FA,119)</f>
        <v>0.38</v>
      </c>
      <c r="D152" s="143">
        <f>VLOOKUP($A152,'Data shares'!$C:$FA,121)*100</f>
        <v>7.89</v>
      </c>
      <c r="E152" s="143">
        <f>VLOOKUP($A152,'Data shares'!$C:$FA,124)</f>
        <v>0.48</v>
      </c>
      <c r="F152" s="143">
        <f>VLOOKUP($A152,'Data shares'!$C:$FA,125)</f>
        <v>0.54</v>
      </c>
      <c r="G152" s="143">
        <f>VLOOKUP($A152,'Data shares'!$C:$FA,127)*100</f>
        <v>-11.110000000000001</v>
      </c>
      <c r="H152" s="103">
        <f>VLOOKUP($A152,'OI(Volume)'!$A$7:$O$427,8)</f>
        <v>44421000</v>
      </c>
      <c r="I152" s="103">
        <f>VLOOKUP($A152,'OI(Volume)'!$A$7:$O$427,9)</f>
        <v>-972000</v>
      </c>
      <c r="J152" s="103">
        <f>VLOOKUP($A152,'OI(Volume)'!$A$7:$O$427,11)</f>
        <v>18391500</v>
      </c>
      <c r="K152" s="103">
        <f>VLOOKUP($A152,'OI(Volume)'!$A$7:$O$427,12)</f>
        <v>996000</v>
      </c>
      <c r="L152" s="103">
        <f>VLOOKUP($A152,'OI(Value)'!$A$7:$O$306,8,0)</f>
        <v>1521</v>
      </c>
      <c r="M152" s="103">
        <f>VLOOKUP($A152,'OI(Value)'!$A$7:$O$306,9,0)</f>
        <v>-33</v>
      </c>
      <c r="N152" s="103">
        <f>VLOOKUP($A152,'OI(Value)'!$A$7:$O$306,11,0)</f>
        <v>630</v>
      </c>
      <c r="O152" s="103">
        <f>VLOOKUP($A152,'OI(Value)'!$A$7:$O$306,12,0)</f>
        <v>34</v>
      </c>
      <c r="P152" s="179">
        <f>VLOOKUP(A152,'OI(Value)'!A152:O353,8,0)</f>
        <v>1521</v>
      </c>
      <c r="Q152" s="179">
        <f>VLOOKUP(A152,'OI(Value)'!A152:O353,9,0)</f>
        <v>-33</v>
      </c>
      <c r="R152" s="179">
        <f>VLOOKUP(A152,'OI(Value)'!A152:O353,11,0)</f>
        <v>630</v>
      </c>
      <c r="S152" s="179">
        <f>VLOOKUP(A152,'OI(Value)'!A152:O353,11,0)</f>
        <v>630</v>
      </c>
    </row>
    <row r="153" spans="1:19" x14ac:dyDescent="0.25">
      <c r="A153" s="105" t="str">
        <f>'Data shares'!C148</f>
        <v>NUVAMA</v>
      </c>
      <c r="B153" s="143">
        <f>VLOOKUP($A153,'Data shares'!$C:$FA,118)</f>
        <v>0.84</v>
      </c>
      <c r="C153" s="143">
        <f>VLOOKUP($A153,'Data shares'!$C:$FA,119)</f>
        <v>0.89</v>
      </c>
      <c r="D153" s="143">
        <f>VLOOKUP($A153,'Data shares'!$C:$FA,121)*100</f>
        <v>-5.62</v>
      </c>
      <c r="E153" s="143">
        <f>VLOOKUP($A153,'Data shares'!$C:$FA,124)</f>
        <v>0.83</v>
      </c>
      <c r="F153" s="143">
        <f>VLOOKUP($A153,'Data shares'!$C:$FA,125)</f>
        <v>0.81</v>
      </c>
      <c r="G153" s="143">
        <f>VLOOKUP($A153,'Data shares'!$C:$FA,127)*100</f>
        <v>2.4699999999999998</v>
      </c>
      <c r="H153" s="103">
        <f>VLOOKUP($A153,'OI(Volume)'!$A$7:$O$427,8)</f>
        <v>261825</v>
      </c>
      <c r="I153" s="103">
        <f>VLOOKUP($A153,'OI(Volume)'!$A$7:$O$427,9)</f>
        <v>-3825</v>
      </c>
      <c r="J153" s="103">
        <f>VLOOKUP($A153,'OI(Volume)'!$A$7:$O$427,11)</f>
        <v>219375</v>
      </c>
      <c r="K153" s="103">
        <f>VLOOKUP($A153,'OI(Volume)'!$A$7:$O$427,12)</f>
        <v>-17775</v>
      </c>
      <c r="L153" s="103">
        <f>VLOOKUP($A153,'OI(Value)'!$A$7:$O$306,8,0)</f>
        <v>190</v>
      </c>
      <c r="M153" s="103">
        <f>VLOOKUP($A153,'OI(Value)'!$A$7:$O$306,9,0)</f>
        <v>-3</v>
      </c>
      <c r="N153" s="103">
        <f>VLOOKUP($A153,'OI(Value)'!$A$7:$O$306,11,0)</f>
        <v>159</v>
      </c>
      <c r="O153" s="103">
        <f>VLOOKUP($A153,'OI(Value)'!$A$7:$O$306,12,0)</f>
        <v>-13</v>
      </c>
      <c r="P153" s="179">
        <f>VLOOKUP(A153,'OI(Value)'!A153:O354,8,0)</f>
        <v>190</v>
      </c>
      <c r="Q153" s="179">
        <f>VLOOKUP(A153,'OI(Value)'!A153:O354,9,0)</f>
        <v>-3</v>
      </c>
      <c r="R153" s="179">
        <f>VLOOKUP(A153,'OI(Value)'!A153:O354,11,0)</f>
        <v>159</v>
      </c>
      <c r="S153" s="179">
        <f>VLOOKUP(A153,'OI(Value)'!A153:O354,11,0)</f>
        <v>159</v>
      </c>
    </row>
    <row r="154" spans="1:19" x14ac:dyDescent="0.25">
      <c r="A154" s="105" t="str">
        <f>'Data shares'!C149</f>
        <v>NYKAA</v>
      </c>
      <c r="B154" s="143">
        <f>VLOOKUP($A154,'Data shares'!$C:$FA,118)</f>
        <v>0.72</v>
      </c>
      <c r="C154" s="143">
        <f>VLOOKUP($A154,'Data shares'!$C:$FA,119)</f>
        <v>0.67</v>
      </c>
      <c r="D154" s="143">
        <f>VLOOKUP($A154,'Data shares'!$C:$FA,121)*100</f>
        <v>7.46</v>
      </c>
      <c r="E154" s="143">
        <f>VLOOKUP($A154,'Data shares'!$C:$FA,124)</f>
        <v>0.57999999999999996</v>
      </c>
      <c r="F154" s="143">
        <f>VLOOKUP($A154,'Data shares'!$C:$FA,125)</f>
        <v>0.48</v>
      </c>
      <c r="G154" s="143">
        <f>VLOOKUP($A154,'Data shares'!$C:$FA,127)*100</f>
        <v>20.830000000000002</v>
      </c>
      <c r="H154" s="103">
        <f>VLOOKUP($A154,'OI(Volume)'!$A$7:$O$427,8)</f>
        <v>14540625</v>
      </c>
      <c r="I154" s="103">
        <f>VLOOKUP($A154,'OI(Volume)'!$A$7:$O$427,9)</f>
        <v>-662500</v>
      </c>
      <c r="J154" s="103">
        <f>VLOOKUP($A154,'OI(Volume)'!$A$7:$O$427,11)</f>
        <v>10509375</v>
      </c>
      <c r="K154" s="103">
        <f>VLOOKUP($A154,'OI(Volume)'!$A$7:$O$427,12)</f>
        <v>384375</v>
      </c>
      <c r="L154" s="103">
        <f>VLOOKUP($A154,'OI(Value)'!$A$7:$O$306,8,0)</f>
        <v>382</v>
      </c>
      <c r="M154" s="103">
        <f>VLOOKUP($A154,'OI(Value)'!$A$7:$O$306,9,0)</f>
        <v>-17</v>
      </c>
      <c r="N154" s="103">
        <f>VLOOKUP($A154,'OI(Value)'!$A$7:$O$306,11,0)</f>
        <v>276</v>
      </c>
      <c r="O154" s="103">
        <f>VLOOKUP($A154,'OI(Value)'!$A$7:$O$306,12,0)</f>
        <v>10</v>
      </c>
      <c r="P154" s="179">
        <f>VLOOKUP(A154,'OI(Value)'!A154:O355,8,0)</f>
        <v>382</v>
      </c>
      <c r="Q154" s="179">
        <f>VLOOKUP(A154,'OI(Value)'!A154:O355,9,0)</f>
        <v>-17</v>
      </c>
      <c r="R154" s="179">
        <f>VLOOKUP(A154,'OI(Value)'!A154:O355,11,0)</f>
        <v>276</v>
      </c>
      <c r="S154" s="179">
        <f>VLOOKUP(A154,'OI(Value)'!A154:O355,11,0)</f>
        <v>276</v>
      </c>
    </row>
    <row r="155" spans="1:19" x14ac:dyDescent="0.25">
      <c r="A155" s="105" t="str">
        <f>'Data shares'!C150</f>
        <v>OBEROIRLTY</v>
      </c>
      <c r="B155" s="143">
        <f>VLOOKUP($A155,'Data shares'!$C:$FA,118)</f>
        <v>0.7</v>
      </c>
      <c r="C155" s="143">
        <f>VLOOKUP($A155,'Data shares'!$C:$FA,119)</f>
        <v>0.57999999999999996</v>
      </c>
      <c r="D155" s="143">
        <f>VLOOKUP($A155,'Data shares'!$C:$FA,121)*100</f>
        <v>20.69</v>
      </c>
      <c r="E155" s="143">
        <f>VLOOKUP($A155,'Data shares'!$C:$FA,124)</f>
        <v>0.38</v>
      </c>
      <c r="F155" s="143">
        <f>VLOOKUP($A155,'Data shares'!$C:$FA,125)</f>
        <v>0.26</v>
      </c>
      <c r="G155" s="143">
        <f>VLOOKUP($A155,'Data shares'!$C:$FA,127)*100</f>
        <v>46.150000000000006</v>
      </c>
      <c r="H155" s="103">
        <f>VLOOKUP($A155,'OI(Volume)'!$A$7:$O$427,8)</f>
        <v>2619050</v>
      </c>
      <c r="I155" s="103">
        <f>VLOOKUP($A155,'OI(Volume)'!$A$7:$O$427,9)</f>
        <v>666050</v>
      </c>
      <c r="J155" s="103">
        <f>VLOOKUP($A155,'OI(Volume)'!$A$7:$O$427,11)</f>
        <v>1843800</v>
      </c>
      <c r="K155" s="103">
        <f>VLOOKUP($A155,'OI(Volume)'!$A$7:$O$427,12)</f>
        <v>720650</v>
      </c>
      <c r="L155" s="103">
        <f>VLOOKUP($A155,'OI(Value)'!$A$7:$O$306,8,0)</f>
        <v>443</v>
      </c>
      <c r="M155" s="103">
        <f>VLOOKUP($A155,'OI(Value)'!$A$7:$O$306,9,0)</f>
        <v>113</v>
      </c>
      <c r="N155" s="103">
        <f>VLOOKUP($A155,'OI(Value)'!$A$7:$O$306,11,0)</f>
        <v>312</v>
      </c>
      <c r="O155" s="103">
        <f>VLOOKUP($A155,'OI(Value)'!$A$7:$O$306,12,0)</f>
        <v>122</v>
      </c>
      <c r="P155" s="179">
        <f>VLOOKUP(A155,'OI(Value)'!A155:O356,8,0)</f>
        <v>443</v>
      </c>
      <c r="Q155" s="179">
        <f>VLOOKUP(A155,'OI(Value)'!A155:O356,9,0)</f>
        <v>113</v>
      </c>
      <c r="R155" s="179">
        <f>VLOOKUP(A155,'OI(Value)'!A155:O356,11,0)</f>
        <v>312</v>
      </c>
      <c r="S155" s="179">
        <f>VLOOKUP(A155,'OI(Value)'!A155:O356,11,0)</f>
        <v>312</v>
      </c>
    </row>
    <row r="156" spans="1:19" x14ac:dyDescent="0.25">
      <c r="A156" s="105" t="str">
        <f>'Data shares'!C151</f>
        <v>OFSS</v>
      </c>
      <c r="B156" s="143">
        <f>VLOOKUP($A156,'Data shares'!$C:$FA,118)</f>
        <v>0.54</v>
      </c>
      <c r="C156" s="143">
        <f>VLOOKUP($A156,'Data shares'!$C:$FA,119)</f>
        <v>0.54</v>
      </c>
      <c r="D156" s="143">
        <f>VLOOKUP($A156,'Data shares'!$C:$FA,121)*100</f>
        <v>0</v>
      </c>
      <c r="E156" s="143">
        <f>VLOOKUP($A156,'Data shares'!$C:$FA,124)</f>
        <v>0.44</v>
      </c>
      <c r="F156" s="143">
        <f>VLOOKUP($A156,'Data shares'!$C:$FA,125)</f>
        <v>0.65</v>
      </c>
      <c r="G156" s="143">
        <f>VLOOKUP($A156,'Data shares'!$C:$FA,127)*100</f>
        <v>-32.31</v>
      </c>
      <c r="H156" s="103">
        <f>VLOOKUP($A156,'OI(Volume)'!$A$7:$O$427,8)</f>
        <v>788400</v>
      </c>
      <c r="I156" s="103">
        <f>VLOOKUP($A156,'OI(Volume)'!$A$7:$O$427,9)</f>
        <v>34950</v>
      </c>
      <c r="J156" s="103">
        <f>VLOOKUP($A156,'OI(Volume)'!$A$7:$O$427,11)</f>
        <v>424350</v>
      </c>
      <c r="K156" s="103">
        <f>VLOOKUP($A156,'OI(Volume)'!$A$7:$O$427,12)</f>
        <v>20925</v>
      </c>
      <c r="L156" s="103">
        <f>VLOOKUP($A156,'OI(Value)'!$A$7:$O$306,8,0)</f>
        <v>694</v>
      </c>
      <c r="M156" s="103">
        <f>VLOOKUP($A156,'OI(Value)'!$A$7:$O$306,9,0)</f>
        <v>31</v>
      </c>
      <c r="N156" s="103">
        <f>VLOOKUP($A156,'OI(Value)'!$A$7:$O$306,11,0)</f>
        <v>373</v>
      </c>
      <c r="O156" s="103">
        <f>VLOOKUP($A156,'OI(Value)'!$A$7:$O$306,12,0)</f>
        <v>18</v>
      </c>
      <c r="P156" s="179">
        <f>VLOOKUP(A156,'OI(Value)'!A156:O357,8,0)</f>
        <v>694</v>
      </c>
      <c r="Q156" s="179">
        <f>VLOOKUP(A156,'OI(Value)'!A156:O357,9,0)</f>
        <v>31</v>
      </c>
      <c r="R156" s="179">
        <f>VLOOKUP(A156,'OI(Value)'!A156:O357,11,0)</f>
        <v>373</v>
      </c>
      <c r="S156" s="179">
        <f>VLOOKUP(A156,'OI(Value)'!A156:O357,11,0)</f>
        <v>373</v>
      </c>
    </row>
    <row r="157" spans="1:19" x14ac:dyDescent="0.25">
      <c r="A157" s="105" t="str">
        <f>'Data shares'!C152</f>
        <v>OIL</v>
      </c>
      <c r="B157" s="143">
        <f>VLOOKUP($A157,'Data shares'!$C:$FA,118)</f>
        <v>0.54</v>
      </c>
      <c r="C157" s="143">
        <f>VLOOKUP($A157,'Data shares'!$C:$FA,119)</f>
        <v>0.54</v>
      </c>
      <c r="D157" s="143">
        <f>VLOOKUP($A157,'Data shares'!$C:$FA,121)*100</f>
        <v>0</v>
      </c>
      <c r="E157" s="143">
        <f>VLOOKUP($A157,'Data shares'!$C:$FA,124)</f>
        <v>0.52</v>
      </c>
      <c r="F157" s="143">
        <f>VLOOKUP($A157,'Data shares'!$C:$FA,125)</f>
        <v>0.47</v>
      </c>
      <c r="G157" s="143">
        <f>VLOOKUP($A157,'Data shares'!$C:$FA,127)*100</f>
        <v>10.639999999999999</v>
      </c>
      <c r="H157" s="103">
        <f>VLOOKUP($A157,'OI(Volume)'!$A$7:$O$427,8)</f>
        <v>6307000</v>
      </c>
      <c r="I157" s="103">
        <f>VLOOKUP($A157,'OI(Volume)'!$A$7:$O$427,9)</f>
        <v>148400</v>
      </c>
      <c r="J157" s="103">
        <f>VLOOKUP($A157,'OI(Volume)'!$A$7:$O$427,11)</f>
        <v>3393600</v>
      </c>
      <c r="K157" s="103">
        <f>VLOOKUP($A157,'OI(Volume)'!$A$7:$O$427,12)</f>
        <v>43400</v>
      </c>
      <c r="L157" s="103">
        <f>VLOOKUP($A157,'OI(Value)'!$A$7:$O$306,8,0)</f>
        <v>263</v>
      </c>
      <c r="M157" s="103">
        <f>VLOOKUP($A157,'OI(Value)'!$A$7:$O$306,9,0)</f>
        <v>6</v>
      </c>
      <c r="N157" s="103">
        <f>VLOOKUP($A157,'OI(Value)'!$A$7:$O$306,11,0)</f>
        <v>141</v>
      </c>
      <c r="O157" s="103">
        <f>VLOOKUP($A157,'OI(Value)'!$A$7:$O$306,12,0)</f>
        <v>2</v>
      </c>
      <c r="P157" s="179">
        <f>VLOOKUP(A157,'OI(Value)'!A157:O358,8,0)</f>
        <v>263</v>
      </c>
      <c r="Q157" s="179">
        <f>VLOOKUP(A157,'OI(Value)'!A157:O358,9,0)</f>
        <v>6</v>
      </c>
      <c r="R157" s="179">
        <f>VLOOKUP(A157,'OI(Value)'!A157:O358,11,0)</f>
        <v>141</v>
      </c>
      <c r="S157" s="179">
        <f>VLOOKUP(A157,'OI(Value)'!A157:O358,11,0)</f>
        <v>141</v>
      </c>
    </row>
    <row r="158" spans="1:19" x14ac:dyDescent="0.25">
      <c r="A158" s="105" t="str">
        <f>'Data shares'!C153</f>
        <v>ONGC</v>
      </c>
      <c r="B158" s="143">
        <f>VLOOKUP($A158,'Data shares'!$C:$FA,118)</f>
        <v>0.41</v>
      </c>
      <c r="C158" s="143">
        <f>VLOOKUP($A158,'Data shares'!$C:$FA,119)</f>
        <v>0.4</v>
      </c>
      <c r="D158" s="143">
        <f>VLOOKUP($A158,'Data shares'!$C:$FA,121)*100</f>
        <v>2.5</v>
      </c>
      <c r="E158" s="143">
        <f>VLOOKUP($A158,'Data shares'!$C:$FA,124)</f>
        <v>0.61</v>
      </c>
      <c r="F158" s="143">
        <f>VLOOKUP($A158,'Data shares'!$C:$FA,125)</f>
        <v>0.69</v>
      </c>
      <c r="G158" s="143">
        <f>VLOOKUP($A158,'Data shares'!$C:$FA,127)*100</f>
        <v>-11.59</v>
      </c>
      <c r="H158" s="103">
        <f>VLOOKUP($A158,'OI(Volume)'!$A$7:$O$427,8)</f>
        <v>55698750</v>
      </c>
      <c r="I158" s="103">
        <f>VLOOKUP($A158,'OI(Volume)'!$A$7:$O$427,9)</f>
        <v>157500</v>
      </c>
      <c r="J158" s="103">
        <f>VLOOKUP($A158,'OI(Volume)'!$A$7:$O$427,11)</f>
        <v>23015250</v>
      </c>
      <c r="K158" s="103">
        <f>VLOOKUP($A158,'OI(Volume)'!$A$7:$O$427,12)</f>
        <v>758250</v>
      </c>
      <c r="L158" s="103">
        <f>VLOOKUP($A158,'OI(Value)'!$A$7:$O$306,8,0)</f>
        <v>1385</v>
      </c>
      <c r="M158" s="103">
        <f>VLOOKUP($A158,'OI(Value)'!$A$7:$O$306,9,0)</f>
        <v>4</v>
      </c>
      <c r="N158" s="103">
        <f>VLOOKUP($A158,'OI(Value)'!$A$7:$O$306,11,0)</f>
        <v>572</v>
      </c>
      <c r="O158" s="103">
        <f>VLOOKUP($A158,'OI(Value)'!$A$7:$O$306,12,0)</f>
        <v>19</v>
      </c>
      <c r="P158" s="179">
        <f>VLOOKUP(A158,'OI(Value)'!A158:O359,8,0)</f>
        <v>1385</v>
      </c>
      <c r="Q158" s="179">
        <f>VLOOKUP(A158,'OI(Value)'!A158:O359,9,0)</f>
        <v>4</v>
      </c>
      <c r="R158" s="179">
        <f>VLOOKUP(A158,'OI(Value)'!A158:O359,11,0)</f>
        <v>572</v>
      </c>
      <c r="S158" s="179">
        <f>VLOOKUP(A158,'OI(Value)'!A158:O359,11,0)</f>
        <v>572</v>
      </c>
    </row>
    <row r="159" spans="1:19" x14ac:dyDescent="0.25">
      <c r="A159" s="105" t="str">
        <f>'Data shares'!C154</f>
        <v>PAGEIND</v>
      </c>
      <c r="B159" s="143">
        <f>VLOOKUP($A159,'Data shares'!$C:$FA,118)</f>
        <v>0.42</v>
      </c>
      <c r="C159" s="143">
        <f>VLOOKUP($A159,'Data shares'!$C:$FA,119)</f>
        <v>0.33</v>
      </c>
      <c r="D159" s="143">
        <f>VLOOKUP($A159,'Data shares'!$C:$FA,121)*100</f>
        <v>27.27</v>
      </c>
      <c r="E159" s="143">
        <f>VLOOKUP($A159,'Data shares'!$C:$FA,124)</f>
        <v>0.25</v>
      </c>
      <c r="F159" s="143">
        <f>VLOOKUP($A159,'Data shares'!$C:$FA,125)</f>
        <v>0.09</v>
      </c>
      <c r="G159" s="143">
        <f>VLOOKUP($A159,'Data shares'!$C:$FA,127)*100</f>
        <v>177.78</v>
      </c>
      <c r="H159" s="103">
        <f>VLOOKUP($A159,'OI(Volume)'!$A$7:$O$427,8)</f>
        <v>119715</v>
      </c>
      <c r="I159" s="103">
        <f>VLOOKUP($A159,'OI(Volume)'!$A$7:$O$427,9)</f>
        <v>4470</v>
      </c>
      <c r="J159" s="103">
        <f>VLOOKUP($A159,'OI(Volume)'!$A$7:$O$427,11)</f>
        <v>50445</v>
      </c>
      <c r="K159" s="103">
        <f>VLOOKUP($A159,'OI(Volume)'!$A$7:$O$427,12)</f>
        <v>12825</v>
      </c>
      <c r="L159" s="103">
        <f>VLOOKUP($A159,'OI(Value)'!$A$7:$O$306,8,0)</f>
        <v>493</v>
      </c>
      <c r="M159" s="103">
        <f>VLOOKUP($A159,'OI(Value)'!$A$7:$O$306,9,0)</f>
        <v>18</v>
      </c>
      <c r="N159" s="103">
        <f>VLOOKUP($A159,'OI(Value)'!$A$7:$O$306,11,0)</f>
        <v>208</v>
      </c>
      <c r="O159" s="103">
        <f>VLOOKUP($A159,'OI(Value)'!$A$7:$O$306,12,0)</f>
        <v>53</v>
      </c>
      <c r="P159" s="179">
        <f>VLOOKUP(A159,'OI(Value)'!A159:O360,8,0)</f>
        <v>493</v>
      </c>
      <c r="Q159" s="179">
        <f>VLOOKUP(A159,'OI(Value)'!A159:O360,9,0)</f>
        <v>18</v>
      </c>
      <c r="R159" s="179">
        <f>VLOOKUP(A159,'OI(Value)'!A159:O360,11,0)</f>
        <v>208</v>
      </c>
      <c r="S159" s="179">
        <f>VLOOKUP(A159,'OI(Value)'!A159:O360,11,0)</f>
        <v>208</v>
      </c>
    </row>
    <row r="160" spans="1:19" x14ac:dyDescent="0.25">
      <c r="A160" s="105" t="str">
        <f>'Data shares'!C155</f>
        <v>PATANJALI</v>
      </c>
      <c r="B160" s="143">
        <f>VLOOKUP($A160,'Data shares'!$C:$FA,118)</f>
        <v>0.42</v>
      </c>
      <c r="C160" s="143">
        <f>VLOOKUP($A160,'Data shares'!$C:$FA,119)</f>
        <v>0.42</v>
      </c>
      <c r="D160" s="143">
        <f>VLOOKUP($A160,'Data shares'!$C:$FA,121)*100</f>
        <v>0</v>
      </c>
      <c r="E160" s="143">
        <f>VLOOKUP($A160,'Data shares'!$C:$FA,124)</f>
        <v>0.47</v>
      </c>
      <c r="F160" s="143">
        <f>VLOOKUP($A160,'Data shares'!$C:$FA,125)</f>
        <v>0.32</v>
      </c>
      <c r="G160" s="143">
        <f>VLOOKUP($A160,'Data shares'!$C:$FA,127)*100</f>
        <v>46.87</v>
      </c>
      <c r="H160" s="103">
        <f>VLOOKUP($A160,'OI(Volume)'!$A$7:$O$427,8)</f>
        <v>6746400</v>
      </c>
      <c r="I160" s="103">
        <f>VLOOKUP($A160,'OI(Volume)'!$A$7:$O$427,9)</f>
        <v>13500</v>
      </c>
      <c r="J160" s="103">
        <f>VLOOKUP($A160,'OI(Volume)'!$A$7:$O$427,11)</f>
        <v>2826900</v>
      </c>
      <c r="K160" s="103">
        <f>VLOOKUP($A160,'OI(Volume)'!$A$7:$O$427,12)</f>
        <v>-30600</v>
      </c>
      <c r="L160" s="103">
        <f>VLOOKUP($A160,'OI(Value)'!$A$7:$O$306,8,0)</f>
        <v>399</v>
      </c>
      <c r="M160" s="103">
        <f>VLOOKUP($A160,'OI(Value)'!$A$7:$O$306,9,0)</f>
        <v>1</v>
      </c>
      <c r="N160" s="103">
        <f>VLOOKUP($A160,'OI(Value)'!$A$7:$O$306,11,0)</f>
        <v>167</v>
      </c>
      <c r="O160" s="103">
        <f>VLOOKUP($A160,'OI(Value)'!$A$7:$O$306,12,0)</f>
        <v>-2</v>
      </c>
      <c r="P160" s="179">
        <f>VLOOKUP(A160,'OI(Value)'!A160:O361,8,0)</f>
        <v>399</v>
      </c>
      <c r="Q160" s="179">
        <f>VLOOKUP(A160,'OI(Value)'!A160:O361,9,0)</f>
        <v>1</v>
      </c>
      <c r="R160" s="179">
        <f>VLOOKUP(A160,'OI(Value)'!A160:O361,11,0)</f>
        <v>167</v>
      </c>
      <c r="S160" s="179">
        <f>VLOOKUP(A160,'OI(Value)'!A160:O361,11,0)</f>
        <v>167</v>
      </c>
    </row>
    <row r="161" spans="1:19" x14ac:dyDescent="0.25">
      <c r="A161" s="105" t="str">
        <f>'Data shares'!C156</f>
        <v>PAYTM</v>
      </c>
      <c r="B161" s="143">
        <f>VLOOKUP($A161,'Data shares'!$C:$FA,118)</f>
        <v>0.79</v>
      </c>
      <c r="C161" s="143">
        <f>VLOOKUP($A161,'Data shares'!$C:$FA,119)</f>
        <v>0.74</v>
      </c>
      <c r="D161" s="143">
        <f>VLOOKUP($A161,'Data shares'!$C:$FA,121)*100</f>
        <v>6.76</v>
      </c>
      <c r="E161" s="143">
        <f>VLOOKUP($A161,'Data shares'!$C:$FA,124)</f>
        <v>0.52</v>
      </c>
      <c r="F161" s="143">
        <f>VLOOKUP($A161,'Data shares'!$C:$FA,125)</f>
        <v>0.48</v>
      </c>
      <c r="G161" s="143">
        <f>VLOOKUP($A161,'Data shares'!$C:$FA,127)*100</f>
        <v>8.33</v>
      </c>
      <c r="H161" s="103">
        <f>VLOOKUP($A161,'OI(Volume)'!$A$7:$O$427,8)</f>
        <v>7289150</v>
      </c>
      <c r="I161" s="103">
        <f>VLOOKUP($A161,'OI(Volume)'!$A$7:$O$427,9)</f>
        <v>105850</v>
      </c>
      <c r="J161" s="103">
        <f>VLOOKUP($A161,'OI(Volume)'!$A$7:$O$427,11)</f>
        <v>5723875</v>
      </c>
      <c r="K161" s="103">
        <f>VLOOKUP($A161,'OI(Volume)'!$A$7:$O$427,12)</f>
        <v>441525</v>
      </c>
      <c r="L161" s="103">
        <f>VLOOKUP($A161,'OI(Value)'!$A$7:$O$306,8,0)</f>
        <v>929</v>
      </c>
      <c r="M161" s="103">
        <f>VLOOKUP($A161,'OI(Value)'!$A$7:$O$306,9,0)</f>
        <v>13</v>
      </c>
      <c r="N161" s="103">
        <f>VLOOKUP($A161,'OI(Value)'!$A$7:$O$306,11,0)</f>
        <v>730</v>
      </c>
      <c r="O161" s="103">
        <f>VLOOKUP($A161,'OI(Value)'!$A$7:$O$306,12,0)</f>
        <v>56</v>
      </c>
      <c r="P161" s="179">
        <f>VLOOKUP(A161,'OI(Value)'!A161:O362,8,0)</f>
        <v>929</v>
      </c>
      <c r="Q161" s="179">
        <f>VLOOKUP(A161,'OI(Value)'!A161:O362,9,0)</f>
        <v>13</v>
      </c>
      <c r="R161" s="179">
        <f>VLOOKUP(A161,'OI(Value)'!A161:O362,11,0)</f>
        <v>730</v>
      </c>
      <c r="S161" s="179">
        <f>VLOOKUP(A161,'OI(Value)'!A161:O362,11,0)</f>
        <v>730</v>
      </c>
    </row>
    <row r="162" spans="1:19" x14ac:dyDescent="0.25">
      <c r="A162" s="105" t="str">
        <f>'Data shares'!C157</f>
        <v>PERSISTENT</v>
      </c>
      <c r="B162" s="143">
        <f>VLOOKUP($A162,'Data shares'!$C:$FA,118)</f>
        <v>1.3</v>
      </c>
      <c r="C162" s="143">
        <f>VLOOKUP($A162,'Data shares'!$C:$FA,119)</f>
        <v>1.1200000000000001</v>
      </c>
      <c r="D162" s="143">
        <f>VLOOKUP($A162,'Data shares'!$C:$FA,121)*100</f>
        <v>16.07</v>
      </c>
      <c r="E162" s="143">
        <f>VLOOKUP($A162,'Data shares'!$C:$FA,124)</f>
        <v>0.66</v>
      </c>
      <c r="F162" s="143">
        <f>VLOOKUP($A162,'Data shares'!$C:$FA,125)</f>
        <v>0.5</v>
      </c>
      <c r="G162" s="143">
        <f>VLOOKUP($A162,'Data shares'!$C:$FA,127)*100</f>
        <v>32</v>
      </c>
      <c r="H162" s="103">
        <f>VLOOKUP($A162,'OI(Volume)'!$A$7:$O$427,8)</f>
        <v>1458100</v>
      </c>
      <c r="I162" s="103">
        <f>VLOOKUP($A162,'OI(Volume)'!$A$7:$O$427,9)</f>
        <v>-229700</v>
      </c>
      <c r="J162" s="103">
        <f>VLOOKUP($A162,'OI(Volume)'!$A$7:$O$427,11)</f>
        <v>1897600</v>
      </c>
      <c r="K162" s="103">
        <f>VLOOKUP($A162,'OI(Volume)'!$A$7:$O$427,12)</f>
        <v>6200</v>
      </c>
      <c r="L162" s="103">
        <f>VLOOKUP($A162,'OI(Value)'!$A$7:$O$306,8,0)</f>
        <v>852</v>
      </c>
      <c r="M162" s="103">
        <f>VLOOKUP($A162,'OI(Value)'!$A$7:$O$306,9,0)</f>
        <v>-134</v>
      </c>
      <c r="N162" s="103">
        <f>VLOOKUP($A162,'OI(Value)'!$A$7:$O$306,11,0)</f>
        <v>1109</v>
      </c>
      <c r="O162" s="103">
        <f>VLOOKUP($A162,'OI(Value)'!$A$7:$O$306,12,0)</f>
        <v>4</v>
      </c>
      <c r="P162" s="179">
        <f>VLOOKUP(A162,'OI(Value)'!A162:O363,8,0)</f>
        <v>852</v>
      </c>
      <c r="Q162" s="179">
        <f>VLOOKUP(A162,'OI(Value)'!A162:O363,9,0)</f>
        <v>-134</v>
      </c>
      <c r="R162" s="179">
        <f>VLOOKUP(A162,'OI(Value)'!A162:O363,11,0)</f>
        <v>1109</v>
      </c>
      <c r="S162" s="179">
        <f>VLOOKUP(A162,'OI(Value)'!A162:O363,11,0)</f>
        <v>1109</v>
      </c>
    </row>
    <row r="163" spans="1:19" x14ac:dyDescent="0.25">
      <c r="A163" s="105" t="str">
        <f>'Data shares'!C158</f>
        <v>PETRONET</v>
      </c>
      <c r="B163" s="143">
        <f>VLOOKUP($A163,'Data shares'!$C:$FA,118)</f>
        <v>0.98</v>
      </c>
      <c r="C163" s="143">
        <f>VLOOKUP($A163,'Data shares'!$C:$FA,119)</f>
        <v>0.96</v>
      </c>
      <c r="D163" s="143">
        <f>VLOOKUP($A163,'Data shares'!$C:$FA,121)*100</f>
        <v>2.08</v>
      </c>
      <c r="E163" s="143">
        <f>VLOOKUP($A163,'Data shares'!$C:$FA,124)</f>
        <v>0.56000000000000005</v>
      </c>
      <c r="F163" s="143">
        <f>VLOOKUP($A163,'Data shares'!$C:$FA,125)</f>
        <v>0.67</v>
      </c>
      <c r="G163" s="143">
        <f>VLOOKUP($A163,'Data shares'!$C:$FA,127)*100</f>
        <v>-16.420000000000002</v>
      </c>
      <c r="H163" s="103">
        <f>VLOOKUP($A163,'OI(Volume)'!$A$7:$O$427,8)</f>
        <v>16255800</v>
      </c>
      <c r="I163" s="103">
        <f>VLOOKUP($A163,'OI(Volume)'!$A$7:$O$427,9)</f>
        <v>-205200</v>
      </c>
      <c r="J163" s="103">
        <f>VLOOKUP($A163,'OI(Volume)'!$A$7:$O$427,11)</f>
        <v>15881400</v>
      </c>
      <c r="K163" s="103">
        <f>VLOOKUP($A163,'OI(Volume)'!$A$7:$O$427,12)</f>
        <v>104400</v>
      </c>
      <c r="L163" s="103">
        <f>VLOOKUP($A163,'OI(Value)'!$A$7:$O$306,8,0)</f>
        <v>454</v>
      </c>
      <c r="M163" s="103">
        <f>VLOOKUP($A163,'OI(Value)'!$A$7:$O$306,9,0)</f>
        <v>-6</v>
      </c>
      <c r="N163" s="103">
        <f>VLOOKUP($A163,'OI(Value)'!$A$7:$O$306,11,0)</f>
        <v>444</v>
      </c>
      <c r="O163" s="103">
        <f>VLOOKUP($A163,'OI(Value)'!$A$7:$O$306,12,0)</f>
        <v>3</v>
      </c>
      <c r="P163" s="179">
        <f>VLOOKUP(A163,'OI(Value)'!A163:O364,8,0)</f>
        <v>454</v>
      </c>
      <c r="Q163" s="179">
        <f>VLOOKUP(A163,'OI(Value)'!A163:O364,9,0)</f>
        <v>-6</v>
      </c>
      <c r="R163" s="179">
        <f>VLOOKUP(A163,'OI(Value)'!A163:O364,11,0)</f>
        <v>444</v>
      </c>
      <c r="S163" s="179">
        <f>VLOOKUP(A163,'OI(Value)'!A163:O364,11,0)</f>
        <v>444</v>
      </c>
    </row>
    <row r="164" spans="1:19" x14ac:dyDescent="0.25">
      <c r="A164" s="105" t="str">
        <f>'Data shares'!C159</f>
        <v>PFC</v>
      </c>
      <c r="B164" s="143">
        <f>VLOOKUP($A164,'Data shares'!$C:$FA,118)</f>
        <v>0.75</v>
      </c>
      <c r="C164" s="143">
        <f>VLOOKUP($A164,'Data shares'!$C:$FA,119)</f>
        <v>0.79</v>
      </c>
      <c r="D164" s="143">
        <f>VLOOKUP($A164,'Data shares'!$C:$FA,121)*100</f>
        <v>-5.0599999999999996</v>
      </c>
      <c r="E164" s="143">
        <f>VLOOKUP($A164,'Data shares'!$C:$FA,124)</f>
        <v>0.6</v>
      </c>
      <c r="F164" s="143">
        <f>VLOOKUP($A164,'Data shares'!$C:$FA,125)</f>
        <v>0.56999999999999995</v>
      </c>
      <c r="G164" s="143">
        <f>VLOOKUP($A164,'Data shares'!$C:$FA,127)*100</f>
        <v>5.26</v>
      </c>
      <c r="H164" s="103">
        <f>VLOOKUP($A164,'OI(Volume)'!$A$7:$O$427,8)</f>
        <v>26527800</v>
      </c>
      <c r="I164" s="103">
        <f>VLOOKUP($A164,'OI(Volume)'!$A$7:$O$427,9)</f>
        <v>2249000</v>
      </c>
      <c r="J164" s="103">
        <f>VLOOKUP($A164,'OI(Volume)'!$A$7:$O$427,11)</f>
        <v>19996600</v>
      </c>
      <c r="K164" s="103">
        <f>VLOOKUP($A164,'OI(Volume)'!$A$7:$O$427,12)</f>
        <v>903500</v>
      </c>
      <c r="L164" s="103">
        <f>VLOOKUP($A164,'OI(Value)'!$A$7:$O$306,8,0)</f>
        <v>1067</v>
      </c>
      <c r="M164" s="103">
        <f>VLOOKUP($A164,'OI(Value)'!$A$7:$O$306,9,0)</f>
        <v>90</v>
      </c>
      <c r="N164" s="103">
        <f>VLOOKUP($A164,'OI(Value)'!$A$7:$O$306,11,0)</f>
        <v>804</v>
      </c>
      <c r="O164" s="103">
        <f>VLOOKUP($A164,'OI(Value)'!$A$7:$O$306,12,0)</f>
        <v>36</v>
      </c>
      <c r="P164" s="179">
        <f>VLOOKUP(A164,'OI(Value)'!A164:O365,8,0)</f>
        <v>1067</v>
      </c>
      <c r="Q164" s="179">
        <f>VLOOKUP(A164,'OI(Value)'!A164:O365,9,0)</f>
        <v>90</v>
      </c>
      <c r="R164" s="179">
        <f>VLOOKUP(A164,'OI(Value)'!A164:O365,11,0)</f>
        <v>804</v>
      </c>
      <c r="S164" s="179">
        <f>VLOOKUP(A164,'OI(Value)'!A164:O365,11,0)</f>
        <v>804</v>
      </c>
    </row>
    <row r="165" spans="1:19" x14ac:dyDescent="0.25">
      <c r="A165" s="105" t="str">
        <f>'Data shares'!C160</f>
        <v>PGEL</v>
      </c>
      <c r="B165" s="143">
        <f>VLOOKUP($A165,'Data shares'!$C:$FA,118)</f>
        <v>0.72</v>
      </c>
      <c r="C165" s="143">
        <f>VLOOKUP($A165,'Data shares'!$C:$FA,119)</f>
        <v>0.71</v>
      </c>
      <c r="D165" s="143">
        <f>VLOOKUP($A165,'Data shares'!$C:$FA,121)*100</f>
        <v>1.41</v>
      </c>
      <c r="E165" s="143">
        <f>VLOOKUP($A165,'Data shares'!$C:$FA,124)</f>
        <v>0.43</v>
      </c>
      <c r="F165" s="143">
        <f>VLOOKUP($A165,'Data shares'!$C:$FA,125)</f>
        <v>0.47</v>
      </c>
      <c r="G165" s="143">
        <f>VLOOKUP($A165,'Data shares'!$C:$FA,127)*100</f>
        <v>-8.51</v>
      </c>
      <c r="H165" s="103">
        <f>VLOOKUP($A165,'OI(Volume)'!$A$7:$O$427,8)</f>
        <v>6962900</v>
      </c>
      <c r="I165" s="103">
        <f>VLOOKUP($A165,'OI(Volume)'!$A$7:$O$427,9)</f>
        <v>-28000</v>
      </c>
      <c r="J165" s="103">
        <f>VLOOKUP($A165,'OI(Volume)'!$A$7:$O$427,11)</f>
        <v>5033700</v>
      </c>
      <c r="K165" s="103">
        <f>VLOOKUP($A165,'OI(Volume)'!$A$7:$O$427,12)</f>
        <v>42000</v>
      </c>
      <c r="L165" s="103">
        <f>VLOOKUP($A165,'OI(Value)'!$A$7:$O$306,8,0)</f>
        <v>397</v>
      </c>
      <c r="M165" s="103">
        <f>VLOOKUP($A165,'OI(Value)'!$A$7:$O$306,9,0)</f>
        <v>-2</v>
      </c>
      <c r="N165" s="103">
        <f>VLOOKUP($A165,'OI(Value)'!$A$7:$O$306,11,0)</f>
        <v>287</v>
      </c>
      <c r="O165" s="103">
        <f>VLOOKUP($A165,'OI(Value)'!$A$7:$O$306,12,0)</f>
        <v>2</v>
      </c>
      <c r="P165" s="179">
        <f>VLOOKUP(A165,'OI(Value)'!A165:O366,8,0)</f>
        <v>397</v>
      </c>
      <c r="Q165" s="179">
        <f>VLOOKUP(A165,'OI(Value)'!A165:O366,9,0)</f>
        <v>-2</v>
      </c>
      <c r="R165" s="179">
        <f>VLOOKUP(A165,'OI(Value)'!A165:O366,11,0)</f>
        <v>287</v>
      </c>
      <c r="S165" s="179">
        <f>VLOOKUP(A165,'OI(Value)'!A165:O366,11,0)</f>
        <v>287</v>
      </c>
    </row>
    <row r="166" spans="1:19" x14ac:dyDescent="0.25">
      <c r="A166" s="105" t="str">
        <f>'Data shares'!C161</f>
        <v>PHOENIXLTD</v>
      </c>
      <c r="B166" s="143">
        <f>VLOOKUP($A166,'Data shares'!$C:$FA,118)</f>
        <v>0.74</v>
      </c>
      <c r="C166" s="143">
        <f>VLOOKUP($A166,'Data shares'!$C:$FA,119)</f>
        <v>0.77</v>
      </c>
      <c r="D166" s="143">
        <f>VLOOKUP($A166,'Data shares'!$C:$FA,121)*100</f>
        <v>-3.9</v>
      </c>
      <c r="E166" s="143">
        <f>VLOOKUP($A166,'Data shares'!$C:$FA,124)</f>
        <v>0.32</v>
      </c>
      <c r="F166" s="143">
        <f>VLOOKUP($A166,'Data shares'!$C:$FA,125)</f>
        <v>0.28999999999999998</v>
      </c>
      <c r="G166" s="143">
        <f>VLOOKUP($A166,'Data shares'!$C:$FA,127)*100</f>
        <v>10.34</v>
      </c>
      <c r="H166" s="103">
        <f>VLOOKUP($A166,'OI(Volume)'!$A$7:$O$427,8)</f>
        <v>1549450</v>
      </c>
      <c r="I166" s="103">
        <f>VLOOKUP($A166,'OI(Volume)'!$A$7:$O$427,9)</f>
        <v>414400</v>
      </c>
      <c r="J166" s="103">
        <f>VLOOKUP($A166,'OI(Volume)'!$A$7:$O$427,11)</f>
        <v>1148000</v>
      </c>
      <c r="K166" s="103">
        <f>VLOOKUP($A166,'OI(Volume)'!$A$7:$O$427,12)</f>
        <v>271600</v>
      </c>
      <c r="L166" s="103">
        <f>VLOOKUP($A166,'OI(Value)'!$A$7:$O$306,8,0)</f>
        <v>264</v>
      </c>
      <c r="M166" s="103">
        <f>VLOOKUP($A166,'OI(Value)'!$A$7:$O$306,9,0)</f>
        <v>71</v>
      </c>
      <c r="N166" s="103">
        <f>VLOOKUP($A166,'OI(Value)'!$A$7:$O$306,11,0)</f>
        <v>195</v>
      </c>
      <c r="O166" s="103">
        <f>VLOOKUP($A166,'OI(Value)'!$A$7:$O$306,12,0)</f>
        <v>46</v>
      </c>
      <c r="P166" s="179">
        <f>VLOOKUP(A166,'OI(Value)'!A166:O367,8,0)</f>
        <v>264</v>
      </c>
      <c r="Q166" s="179">
        <f>VLOOKUP(A166,'OI(Value)'!A166:O367,9,0)</f>
        <v>71</v>
      </c>
      <c r="R166" s="179">
        <f>VLOOKUP(A166,'OI(Value)'!A166:O367,11,0)</f>
        <v>195</v>
      </c>
      <c r="S166" s="179">
        <f>VLOOKUP(A166,'OI(Value)'!A166:O367,11,0)</f>
        <v>195</v>
      </c>
    </row>
    <row r="167" spans="1:19" x14ac:dyDescent="0.25">
      <c r="A167" s="105" t="str">
        <f>'Data shares'!C162</f>
        <v>PIDILITIND</v>
      </c>
      <c r="B167" s="143">
        <f>VLOOKUP($A167,'Data shares'!$C:$FA,118)</f>
        <v>0.65</v>
      </c>
      <c r="C167" s="143">
        <f>VLOOKUP($A167,'Data shares'!$C:$FA,119)</f>
        <v>0.62</v>
      </c>
      <c r="D167" s="143">
        <f>VLOOKUP($A167,'Data shares'!$C:$FA,121)*100</f>
        <v>4.84</v>
      </c>
      <c r="E167" s="143">
        <f>VLOOKUP($A167,'Data shares'!$C:$FA,124)</f>
        <v>0.28999999999999998</v>
      </c>
      <c r="F167" s="143">
        <f>VLOOKUP($A167,'Data shares'!$C:$FA,125)</f>
        <v>0.52</v>
      </c>
      <c r="G167" s="143">
        <f>VLOOKUP($A167,'Data shares'!$C:$FA,127)*100</f>
        <v>-44.230000000000004</v>
      </c>
      <c r="H167" s="103">
        <f>VLOOKUP($A167,'OI(Volume)'!$A$7:$O$427,8)</f>
        <v>1467500</v>
      </c>
      <c r="I167" s="103">
        <f>VLOOKUP($A167,'OI(Volume)'!$A$7:$O$427,9)</f>
        <v>93000</v>
      </c>
      <c r="J167" s="103">
        <f>VLOOKUP($A167,'OI(Volume)'!$A$7:$O$427,11)</f>
        <v>950500</v>
      </c>
      <c r="K167" s="103">
        <f>VLOOKUP($A167,'OI(Volume)'!$A$7:$O$427,12)</f>
        <v>100500</v>
      </c>
      <c r="L167" s="103">
        <f>VLOOKUP($A167,'OI(Value)'!$A$7:$O$306,8,0)</f>
        <v>224</v>
      </c>
      <c r="M167" s="103">
        <f>VLOOKUP($A167,'OI(Value)'!$A$7:$O$306,9,0)</f>
        <v>14</v>
      </c>
      <c r="N167" s="103">
        <f>VLOOKUP($A167,'OI(Value)'!$A$7:$O$306,11,0)</f>
        <v>145</v>
      </c>
      <c r="O167" s="103">
        <f>VLOOKUP($A167,'OI(Value)'!$A$7:$O$306,12,0)</f>
        <v>15</v>
      </c>
      <c r="P167" s="179">
        <f>VLOOKUP(A167,'OI(Value)'!A167:O368,8,0)</f>
        <v>224</v>
      </c>
      <c r="Q167" s="179">
        <f>VLOOKUP(A167,'OI(Value)'!A167:O368,9,0)</f>
        <v>14</v>
      </c>
      <c r="R167" s="179">
        <f>VLOOKUP(A167,'OI(Value)'!A167:O368,11,0)</f>
        <v>145</v>
      </c>
      <c r="S167" s="179">
        <f>VLOOKUP(A167,'OI(Value)'!A167:O368,11,0)</f>
        <v>145</v>
      </c>
    </row>
    <row r="168" spans="1:19" x14ac:dyDescent="0.25">
      <c r="A168" s="105" t="str">
        <f>'Data shares'!C163</f>
        <v>PIIND</v>
      </c>
      <c r="B168" s="143">
        <f>VLOOKUP($A168,'Data shares'!$C:$FA,118)</f>
        <v>0.56999999999999995</v>
      </c>
      <c r="C168" s="143">
        <f>VLOOKUP($A168,'Data shares'!$C:$FA,119)</f>
        <v>0.61</v>
      </c>
      <c r="D168" s="143">
        <f>VLOOKUP($A168,'Data shares'!$C:$FA,121)*100</f>
        <v>-6.5600000000000005</v>
      </c>
      <c r="E168" s="143">
        <f>VLOOKUP($A168,'Data shares'!$C:$FA,124)</f>
        <v>0.28000000000000003</v>
      </c>
      <c r="F168" s="143">
        <f>VLOOKUP($A168,'Data shares'!$C:$FA,125)</f>
        <v>0.16</v>
      </c>
      <c r="G168" s="143">
        <f>VLOOKUP($A168,'Data shares'!$C:$FA,127)*100</f>
        <v>75</v>
      </c>
      <c r="H168" s="103">
        <f>VLOOKUP($A168,'OI(Volume)'!$A$7:$O$427,8)</f>
        <v>525175</v>
      </c>
      <c r="I168" s="103">
        <f>VLOOKUP($A168,'OI(Volume)'!$A$7:$O$427,9)</f>
        <v>27825</v>
      </c>
      <c r="J168" s="103">
        <f>VLOOKUP($A168,'OI(Volume)'!$A$7:$O$427,11)</f>
        <v>301875</v>
      </c>
      <c r="K168" s="103">
        <f>VLOOKUP($A168,'OI(Volume)'!$A$7:$O$427,12)</f>
        <v>175</v>
      </c>
      <c r="L168" s="103">
        <f>VLOOKUP($A168,'OI(Value)'!$A$7:$O$306,8,0)</f>
        <v>187</v>
      </c>
      <c r="M168" s="103">
        <f>VLOOKUP($A168,'OI(Value)'!$A$7:$O$306,9,0)</f>
        <v>10</v>
      </c>
      <c r="N168" s="103">
        <f>VLOOKUP($A168,'OI(Value)'!$A$7:$O$306,11,0)</f>
        <v>108</v>
      </c>
      <c r="O168" s="103">
        <f>VLOOKUP($A168,'OI(Value)'!$A$7:$O$306,12,0)</f>
        <v>0</v>
      </c>
      <c r="P168" s="179">
        <f>VLOOKUP(A168,'OI(Value)'!A168:O369,8,0)</f>
        <v>187</v>
      </c>
      <c r="Q168" s="179">
        <f>VLOOKUP(A168,'OI(Value)'!A168:O369,9,0)</f>
        <v>10</v>
      </c>
      <c r="R168" s="179">
        <f>VLOOKUP(A168,'OI(Value)'!A168:O369,11,0)</f>
        <v>108</v>
      </c>
      <c r="S168" s="179">
        <f>VLOOKUP(A168,'OI(Value)'!A168:O369,11,0)</f>
        <v>108</v>
      </c>
    </row>
    <row r="169" spans="1:19" x14ac:dyDescent="0.25">
      <c r="A169" s="105" t="str">
        <f>'Data shares'!C164</f>
        <v>PNB</v>
      </c>
      <c r="B169" s="143">
        <f>VLOOKUP($A169,'Data shares'!$C:$FA,118)</f>
        <v>0.8</v>
      </c>
      <c r="C169" s="143">
        <f>VLOOKUP($A169,'Data shares'!$C:$FA,119)</f>
        <v>0.81</v>
      </c>
      <c r="D169" s="143">
        <f>VLOOKUP($A169,'Data shares'!$C:$FA,121)*100</f>
        <v>-1.23</v>
      </c>
      <c r="E169" s="143">
        <f>VLOOKUP($A169,'Data shares'!$C:$FA,124)</f>
        <v>0.64</v>
      </c>
      <c r="F169" s="143">
        <f>VLOOKUP($A169,'Data shares'!$C:$FA,125)</f>
        <v>0.55000000000000004</v>
      </c>
      <c r="G169" s="143">
        <f>VLOOKUP($A169,'Data shares'!$C:$FA,127)*100</f>
        <v>16.36</v>
      </c>
      <c r="H169" s="103">
        <f>VLOOKUP($A169,'OI(Volume)'!$A$7:$O$427,8)</f>
        <v>127680000</v>
      </c>
      <c r="I169" s="103">
        <f>VLOOKUP($A169,'OI(Volume)'!$A$7:$O$427,9)</f>
        <v>5312000</v>
      </c>
      <c r="J169" s="103">
        <f>VLOOKUP($A169,'OI(Volume)'!$A$7:$O$427,11)</f>
        <v>102560000</v>
      </c>
      <c r="K169" s="103">
        <f>VLOOKUP($A169,'OI(Volume)'!$A$7:$O$427,12)</f>
        <v>3912000</v>
      </c>
      <c r="L169" s="103">
        <f>VLOOKUP($A169,'OI(Value)'!$A$7:$O$306,8,0)</f>
        <v>1488</v>
      </c>
      <c r="M169" s="103">
        <f>VLOOKUP($A169,'OI(Value)'!$A$7:$O$306,9,0)</f>
        <v>62</v>
      </c>
      <c r="N169" s="103">
        <f>VLOOKUP($A169,'OI(Value)'!$A$7:$O$306,11,0)</f>
        <v>1196</v>
      </c>
      <c r="O169" s="103">
        <f>VLOOKUP($A169,'OI(Value)'!$A$7:$O$306,12,0)</f>
        <v>46</v>
      </c>
      <c r="P169" s="179">
        <f>VLOOKUP(A169,'OI(Value)'!A169:O370,8,0)</f>
        <v>1488</v>
      </c>
      <c r="Q169" s="179">
        <f>VLOOKUP(A169,'OI(Value)'!A169:O370,9,0)</f>
        <v>62</v>
      </c>
      <c r="R169" s="179">
        <f>VLOOKUP(A169,'OI(Value)'!A169:O370,11,0)</f>
        <v>1196</v>
      </c>
      <c r="S169" s="179">
        <f>VLOOKUP(A169,'OI(Value)'!A169:O370,11,0)</f>
        <v>1196</v>
      </c>
    </row>
    <row r="170" spans="1:19" x14ac:dyDescent="0.25">
      <c r="A170" s="105" t="str">
        <f>'Data shares'!C165</f>
        <v>PNBHOUSING</v>
      </c>
      <c r="B170" s="143">
        <f>VLOOKUP($A170,'Data shares'!$C:$FA,118)</f>
        <v>0.71</v>
      </c>
      <c r="C170" s="143">
        <f>VLOOKUP($A170,'Data shares'!$C:$FA,119)</f>
        <v>0.71</v>
      </c>
      <c r="D170" s="143">
        <f>VLOOKUP($A170,'Data shares'!$C:$FA,121)*100</f>
        <v>0</v>
      </c>
      <c r="E170" s="143">
        <f>VLOOKUP($A170,'Data shares'!$C:$FA,124)</f>
        <v>0.54</v>
      </c>
      <c r="F170" s="143">
        <f>VLOOKUP($A170,'Data shares'!$C:$FA,125)</f>
        <v>0.46</v>
      </c>
      <c r="G170" s="143">
        <f>VLOOKUP($A170,'Data shares'!$C:$FA,127)*100</f>
        <v>17.39</v>
      </c>
      <c r="H170" s="103">
        <f>VLOOKUP($A170,'OI(Volume)'!$A$7:$O$427,8)</f>
        <v>4936100</v>
      </c>
      <c r="I170" s="103">
        <f>VLOOKUP($A170,'OI(Volume)'!$A$7:$O$427,9)</f>
        <v>123500</v>
      </c>
      <c r="J170" s="103">
        <f>VLOOKUP($A170,'OI(Volume)'!$A$7:$O$427,11)</f>
        <v>3514550</v>
      </c>
      <c r="K170" s="103">
        <f>VLOOKUP($A170,'OI(Volume)'!$A$7:$O$427,12)</f>
        <v>74750</v>
      </c>
      <c r="L170" s="103">
        <f>VLOOKUP($A170,'OI(Value)'!$A$7:$O$306,8,0)</f>
        <v>417</v>
      </c>
      <c r="M170" s="103">
        <f>VLOOKUP($A170,'OI(Value)'!$A$7:$O$306,9,0)</f>
        <v>10</v>
      </c>
      <c r="N170" s="103">
        <f>VLOOKUP($A170,'OI(Value)'!$A$7:$O$306,11,0)</f>
        <v>297</v>
      </c>
      <c r="O170" s="103">
        <f>VLOOKUP($A170,'OI(Value)'!$A$7:$O$306,12,0)</f>
        <v>6</v>
      </c>
      <c r="P170" s="179">
        <f>VLOOKUP(A170,'OI(Value)'!A170:O371,8,0)</f>
        <v>417</v>
      </c>
      <c r="Q170" s="179">
        <f>VLOOKUP(A170,'OI(Value)'!A170:O371,9,0)</f>
        <v>10</v>
      </c>
      <c r="R170" s="179">
        <f>VLOOKUP(A170,'OI(Value)'!A170:O371,11,0)</f>
        <v>297</v>
      </c>
      <c r="S170" s="179">
        <f>VLOOKUP(A170,'OI(Value)'!A170:O371,11,0)</f>
        <v>297</v>
      </c>
    </row>
    <row r="171" spans="1:19" x14ac:dyDescent="0.25">
      <c r="A171" s="105" t="str">
        <f>'Data shares'!C166</f>
        <v>POLICYBZR</v>
      </c>
      <c r="B171" s="143">
        <f>VLOOKUP($A171,'Data shares'!$C:$FA,118)</f>
        <v>0.69</v>
      </c>
      <c r="C171" s="143">
        <f>VLOOKUP($A171,'Data shares'!$C:$FA,119)</f>
        <v>0.65</v>
      </c>
      <c r="D171" s="143">
        <f>VLOOKUP($A171,'Data shares'!$C:$FA,121)*100</f>
        <v>6.15</v>
      </c>
      <c r="E171" s="143">
        <f>VLOOKUP($A171,'Data shares'!$C:$FA,124)</f>
        <v>0.24</v>
      </c>
      <c r="F171" s="143">
        <f>VLOOKUP($A171,'Data shares'!$C:$FA,125)</f>
        <v>0.52</v>
      </c>
      <c r="G171" s="143">
        <f>VLOOKUP($A171,'Data shares'!$C:$FA,127)*100</f>
        <v>-53.849999999999994</v>
      </c>
      <c r="H171" s="103">
        <f>VLOOKUP($A171,'OI(Volume)'!$A$7:$O$427,8)</f>
        <v>1344700</v>
      </c>
      <c r="I171" s="103">
        <f>VLOOKUP($A171,'OI(Volume)'!$A$7:$O$427,9)</f>
        <v>-84700</v>
      </c>
      <c r="J171" s="103">
        <f>VLOOKUP($A171,'OI(Volume)'!$A$7:$O$427,11)</f>
        <v>921900</v>
      </c>
      <c r="K171" s="103">
        <f>VLOOKUP($A171,'OI(Volume)'!$A$7:$O$427,12)</f>
        <v>-3850</v>
      </c>
      <c r="L171" s="103">
        <f>VLOOKUP($A171,'OI(Value)'!$A$7:$O$306,8,0)</f>
        <v>228</v>
      </c>
      <c r="M171" s="103">
        <f>VLOOKUP($A171,'OI(Value)'!$A$7:$O$306,9,0)</f>
        <v>-14</v>
      </c>
      <c r="N171" s="103">
        <f>VLOOKUP($A171,'OI(Value)'!$A$7:$O$306,11,0)</f>
        <v>156</v>
      </c>
      <c r="O171" s="103">
        <f>VLOOKUP($A171,'OI(Value)'!$A$7:$O$306,12,0)</f>
        <v>-1</v>
      </c>
      <c r="P171" s="179">
        <f>VLOOKUP(A171,'OI(Value)'!A171:O372,8,0)</f>
        <v>228</v>
      </c>
      <c r="Q171" s="179">
        <f>VLOOKUP(A171,'OI(Value)'!A171:O372,9,0)</f>
        <v>-14</v>
      </c>
      <c r="R171" s="179">
        <f>VLOOKUP(A171,'OI(Value)'!A171:O372,11,0)</f>
        <v>156</v>
      </c>
      <c r="S171" s="179">
        <f>VLOOKUP(A171,'OI(Value)'!A171:O372,11,0)</f>
        <v>156</v>
      </c>
    </row>
    <row r="172" spans="1:19" x14ac:dyDescent="0.25">
      <c r="A172" s="105" t="str">
        <f>'Data shares'!C167</f>
        <v>POLYCAB</v>
      </c>
      <c r="B172" s="143">
        <f>VLOOKUP($A172,'Data shares'!$C:$FA,118)</f>
        <v>0.5</v>
      </c>
      <c r="C172" s="143">
        <f>VLOOKUP($A172,'Data shares'!$C:$FA,119)</f>
        <v>0.53</v>
      </c>
      <c r="D172" s="143">
        <f>VLOOKUP($A172,'Data shares'!$C:$FA,121)*100</f>
        <v>-5.66</v>
      </c>
      <c r="E172" s="143">
        <f>VLOOKUP($A172,'Data shares'!$C:$FA,124)</f>
        <v>0.44</v>
      </c>
      <c r="F172" s="143">
        <f>VLOOKUP($A172,'Data shares'!$C:$FA,125)</f>
        <v>0.55000000000000004</v>
      </c>
      <c r="G172" s="143">
        <f>VLOOKUP($A172,'Data shares'!$C:$FA,127)*100</f>
        <v>-20</v>
      </c>
      <c r="H172" s="103">
        <f>VLOOKUP($A172,'OI(Volume)'!$A$7:$O$427,8)</f>
        <v>1090625</v>
      </c>
      <c r="I172" s="103">
        <f>VLOOKUP($A172,'OI(Volume)'!$A$7:$O$427,9)</f>
        <v>93125</v>
      </c>
      <c r="J172" s="103">
        <f>VLOOKUP($A172,'OI(Volume)'!$A$7:$O$427,11)</f>
        <v>543000</v>
      </c>
      <c r="K172" s="103">
        <f>VLOOKUP($A172,'OI(Volume)'!$A$7:$O$427,12)</f>
        <v>15000</v>
      </c>
      <c r="L172" s="103">
        <f>VLOOKUP($A172,'OI(Value)'!$A$7:$O$306,8,0)</f>
        <v>829</v>
      </c>
      <c r="M172" s="103">
        <f>VLOOKUP($A172,'OI(Value)'!$A$7:$O$306,9,0)</f>
        <v>71</v>
      </c>
      <c r="N172" s="103">
        <f>VLOOKUP($A172,'OI(Value)'!$A$7:$O$306,11,0)</f>
        <v>413</v>
      </c>
      <c r="O172" s="103">
        <f>VLOOKUP($A172,'OI(Value)'!$A$7:$O$306,12,0)</f>
        <v>11</v>
      </c>
      <c r="P172" s="179">
        <f>VLOOKUP(A172,'OI(Value)'!A172:O373,8,0)</f>
        <v>829</v>
      </c>
      <c r="Q172" s="179">
        <f>VLOOKUP(A172,'OI(Value)'!A172:O373,9,0)</f>
        <v>71</v>
      </c>
      <c r="R172" s="179">
        <f>VLOOKUP(A172,'OI(Value)'!A172:O373,11,0)</f>
        <v>413</v>
      </c>
      <c r="S172" s="179">
        <f>VLOOKUP(A172,'OI(Value)'!A172:O373,11,0)</f>
        <v>413</v>
      </c>
    </row>
    <row r="173" spans="1:19" x14ac:dyDescent="0.25">
      <c r="A173" s="105" t="str">
        <f>'Data shares'!C168</f>
        <v>POWERGRID</v>
      </c>
      <c r="B173" s="143">
        <f>VLOOKUP($A173,'Data shares'!$C:$FA,118)</f>
        <v>0.51</v>
      </c>
      <c r="C173" s="143">
        <f>VLOOKUP($A173,'Data shares'!$C:$FA,119)</f>
        <v>0.51</v>
      </c>
      <c r="D173" s="143">
        <f>VLOOKUP($A173,'Data shares'!$C:$FA,121)*100</f>
        <v>0</v>
      </c>
      <c r="E173" s="143">
        <f>VLOOKUP($A173,'Data shares'!$C:$FA,124)</f>
        <v>0.56999999999999995</v>
      </c>
      <c r="F173" s="143">
        <f>VLOOKUP($A173,'Data shares'!$C:$FA,125)</f>
        <v>0.55000000000000004</v>
      </c>
      <c r="G173" s="143">
        <f>VLOOKUP($A173,'Data shares'!$C:$FA,127)*100</f>
        <v>3.64</v>
      </c>
      <c r="H173" s="103">
        <f>VLOOKUP($A173,'OI(Volume)'!$A$7:$O$427,8)</f>
        <v>29524100</v>
      </c>
      <c r="I173" s="103">
        <f>VLOOKUP($A173,'OI(Volume)'!$A$7:$O$427,9)</f>
        <v>-334400</v>
      </c>
      <c r="J173" s="103">
        <f>VLOOKUP($A173,'OI(Volume)'!$A$7:$O$427,11)</f>
        <v>15051800</v>
      </c>
      <c r="K173" s="103">
        <f>VLOOKUP($A173,'OI(Volume)'!$A$7:$O$427,12)</f>
        <v>-264100</v>
      </c>
      <c r="L173" s="103">
        <f>VLOOKUP($A173,'OI(Value)'!$A$7:$O$306,8,0)</f>
        <v>864</v>
      </c>
      <c r="M173" s="103">
        <f>VLOOKUP($A173,'OI(Value)'!$A$7:$O$306,9,0)</f>
        <v>-10</v>
      </c>
      <c r="N173" s="103">
        <f>VLOOKUP($A173,'OI(Value)'!$A$7:$O$306,11,0)</f>
        <v>440</v>
      </c>
      <c r="O173" s="103">
        <f>VLOOKUP($A173,'OI(Value)'!$A$7:$O$306,12,0)</f>
        <v>-8</v>
      </c>
    </row>
    <row r="174" spans="1:19" x14ac:dyDescent="0.25">
      <c r="A174" s="105" t="str">
        <f>'Data shares'!C169</f>
        <v>POWERINDIA</v>
      </c>
      <c r="B174" s="143">
        <f>VLOOKUP($A174,'Data shares'!$C:$FA,118)</f>
        <v>0.24</v>
      </c>
      <c r="C174" s="143">
        <f>VLOOKUP($A174,'Data shares'!$C:$FA,119)</f>
        <v>0.23</v>
      </c>
      <c r="D174" s="143">
        <f>VLOOKUP($A174,'Data shares'!$C:$FA,121)*100</f>
        <v>4.3499999999999996</v>
      </c>
      <c r="E174" s="143">
        <f>VLOOKUP($A174,'Data shares'!$C:$FA,124)</f>
        <v>0.11</v>
      </c>
      <c r="F174" s="143">
        <f>VLOOKUP($A174,'Data shares'!$C:$FA,125)</f>
        <v>0.3</v>
      </c>
      <c r="G174" s="143">
        <f>VLOOKUP($A174,'Data shares'!$C:$FA,127)*100</f>
        <v>-63.33</v>
      </c>
      <c r="H174" s="103">
        <f>VLOOKUP($A174,'OI(Volume)'!$A$7:$O$427,8)</f>
        <v>65200</v>
      </c>
      <c r="I174" s="103">
        <f>VLOOKUP($A174,'OI(Volume)'!$A$7:$O$427,9)</f>
        <v>1450</v>
      </c>
      <c r="J174" s="103">
        <f>VLOOKUP($A174,'OI(Volume)'!$A$7:$O$427,11)</f>
        <v>15450</v>
      </c>
      <c r="K174" s="103">
        <f>VLOOKUP($A174,'OI(Volume)'!$A$7:$O$427,12)</f>
        <v>700</v>
      </c>
      <c r="L174" s="103">
        <f>VLOOKUP($A174,'OI(Value)'!$A$7:$O$306,8,0)</f>
        <v>116</v>
      </c>
      <c r="M174" s="103">
        <f>VLOOKUP($A174,'OI(Value)'!$A$7:$O$306,9,0)</f>
        <v>3</v>
      </c>
      <c r="N174" s="103">
        <f>VLOOKUP($A174,'OI(Value)'!$A$7:$O$306,11,0)</f>
        <v>27</v>
      </c>
      <c r="O174" s="103">
        <f>VLOOKUP($A174,'OI(Value)'!$A$7:$O$306,12,0)</f>
        <v>1</v>
      </c>
    </row>
    <row r="175" spans="1:19" x14ac:dyDescent="0.25">
      <c r="A175" s="105" t="str">
        <f>'Data shares'!C170</f>
        <v>PPLPHARMA</v>
      </c>
      <c r="B175" s="143">
        <f>VLOOKUP($A175,'Data shares'!$C:$FA,118)</f>
        <v>0.55000000000000004</v>
      </c>
      <c r="C175" s="143">
        <f>VLOOKUP($A175,'Data shares'!$C:$FA,119)</f>
        <v>0.56000000000000005</v>
      </c>
      <c r="D175" s="143">
        <f>VLOOKUP($A175,'Data shares'!$C:$FA,121)*100</f>
        <v>-1.79</v>
      </c>
      <c r="E175" s="143">
        <f>VLOOKUP($A175,'Data shares'!$C:$FA,124)</f>
        <v>0.22</v>
      </c>
      <c r="F175" s="143">
        <f>VLOOKUP($A175,'Data shares'!$C:$FA,125)</f>
        <v>0.52</v>
      </c>
      <c r="G175" s="143">
        <f>VLOOKUP($A175,'Data shares'!$C:$FA,127)*100</f>
        <v>-57.69</v>
      </c>
      <c r="H175" s="103">
        <f>VLOOKUP($A175,'OI(Volume)'!$A$7:$O$427,8)</f>
        <v>14987500</v>
      </c>
      <c r="I175" s="103">
        <f>VLOOKUP($A175,'OI(Volume)'!$A$7:$O$427,9)</f>
        <v>190000</v>
      </c>
      <c r="J175" s="103">
        <f>VLOOKUP($A175,'OI(Volume)'!$A$7:$O$427,11)</f>
        <v>8255000</v>
      </c>
      <c r="K175" s="103">
        <f>VLOOKUP($A175,'OI(Volume)'!$A$7:$O$427,12)</f>
        <v>-7500</v>
      </c>
      <c r="L175" s="103">
        <f>VLOOKUP($A175,'OI(Value)'!$A$7:$O$306,8,0)</f>
        <v>291</v>
      </c>
      <c r="M175" s="103">
        <f>VLOOKUP($A175,'OI(Value)'!$A$7:$O$306,9,0)</f>
        <v>4</v>
      </c>
      <c r="N175" s="103">
        <f>VLOOKUP($A175,'OI(Value)'!$A$7:$O$306,11,0)</f>
        <v>160</v>
      </c>
      <c r="O175" s="103">
        <f>VLOOKUP($A175,'OI(Value)'!$A$7:$O$306,12,0)</f>
        <v>0</v>
      </c>
    </row>
    <row r="176" spans="1:19" x14ac:dyDescent="0.25">
      <c r="A176" s="105" t="str">
        <f>'Data shares'!C171</f>
        <v>PRESTIGE</v>
      </c>
      <c r="B176" s="143">
        <f>VLOOKUP($A176,'Data shares'!$C:$FA,118)</f>
        <v>0.76</v>
      </c>
      <c r="C176" s="143">
        <f>VLOOKUP($A176,'Data shares'!$C:$FA,119)</f>
        <v>0.7</v>
      </c>
      <c r="D176" s="143">
        <f>VLOOKUP($A176,'Data shares'!$C:$FA,121)*100</f>
        <v>8.57</v>
      </c>
      <c r="E176" s="143">
        <f>VLOOKUP($A176,'Data shares'!$C:$FA,124)</f>
        <v>0.31</v>
      </c>
      <c r="F176" s="143">
        <f>VLOOKUP($A176,'Data shares'!$C:$FA,125)</f>
        <v>0.3</v>
      </c>
      <c r="G176" s="143">
        <f>VLOOKUP($A176,'Data shares'!$C:$FA,127)*100</f>
        <v>3.3300000000000005</v>
      </c>
      <c r="H176" s="103">
        <f>VLOOKUP($A176,'OI(Volume)'!$A$7:$O$427,8)</f>
        <v>2130750</v>
      </c>
      <c r="I176" s="103">
        <f>VLOOKUP($A176,'OI(Volume)'!$A$7:$O$427,9)</f>
        <v>-101700</v>
      </c>
      <c r="J176" s="103">
        <f>VLOOKUP($A176,'OI(Volume)'!$A$7:$O$427,11)</f>
        <v>1611900</v>
      </c>
      <c r="K176" s="103">
        <f>VLOOKUP($A176,'OI(Volume)'!$A$7:$O$427,12)</f>
        <v>47250</v>
      </c>
      <c r="L176" s="103">
        <f>VLOOKUP($A176,'OI(Value)'!$A$7:$O$306,8,0)</f>
        <v>362</v>
      </c>
      <c r="M176" s="103">
        <f>VLOOKUP($A176,'OI(Value)'!$A$7:$O$306,9,0)</f>
        <v>-17</v>
      </c>
      <c r="N176" s="103">
        <f>VLOOKUP($A176,'OI(Value)'!$A$7:$O$306,11,0)</f>
        <v>274</v>
      </c>
      <c r="O176" s="103">
        <f>VLOOKUP($A176,'OI(Value)'!$A$7:$O$306,12,0)</f>
        <v>8</v>
      </c>
    </row>
    <row r="177" spans="1:15" x14ac:dyDescent="0.25">
      <c r="A177" s="105" t="str">
        <f>'Data shares'!C172</f>
        <v>RBLBANK</v>
      </c>
      <c r="B177" s="143">
        <f>VLOOKUP($A177,'Data shares'!$C:$FA,118)</f>
        <v>0.53</v>
      </c>
      <c r="C177" s="143">
        <f>VLOOKUP($A177,'Data shares'!$C:$FA,119)</f>
        <v>0.44</v>
      </c>
      <c r="D177" s="143">
        <f>VLOOKUP($A177,'Data shares'!$C:$FA,121)*100</f>
        <v>20.45</v>
      </c>
      <c r="E177" s="143">
        <f>VLOOKUP($A177,'Data shares'!$C:$FA,124)</f>
        <v>0.54</v>
      </c>
      <c r="F177" s="143">
        <f>VLOOKUP($A177,'Data shares'!$C:$FA,125)</f>
        <v>0.79</v>
      </c>
      <c r="G177" s="143">
        <f>VLOOKUP($A177,'Data shares'!$C:$FA,127)*100</f>
        <v>-31.65</v>
      </c>
      <c r="H177" s="103">
        <f>VLOOKUP($A177,'OI(Volume)'!$A$7:$O$427,8)</f>
        <v>23571200</v>
      </c>
      <c r="I177" s="103">
        <f>VLOOKUP($A177,'OI(Volume)'!$A$7:$O$427,9)</f>
        <v>3603625</v>
      </c>
      <c r="J177" s="103">
        <f>VLOOKUP($A177,'OI(Volume)'!$A$7:$O$427,11)</f>
        <v>12407900</v>
      </c>
      <c r="K177" s="103">
        <f>VLOOKUP($A177,'OI(Volume)'!$A$7:$O$427,12)</f>
        <v>3556000</v>
      </c>
      <c r="L177" s="103">
        <f>VLOOKUP($A177,'OI(Value)'!$A$7:$O$306,8,0)</f>
        <v>726</v>
      </c>
      <c r="M177" s="103">
        <f>VLOOKUP($A177,'OI(Value)'!$A$7:$O$306,9,0)</f>
        <v>111</v>
      </c>
      <c r="N177" s="103">
        <f>VLOOKUP($A177,'OI(Value)'!$A$7:$O$306,11,0)</f>
        <v>382</v>
      </c>
      <c r="O177" s="103">
        <f>VLOOKUP($A177,'OI(Value)'!$A$7:$O$306,12,0)</f>
        <v>109</v>
      </c>
    </row>
    <row r="178" spans="1:15" x14ac:dyDescent="0.25">
      <c r="A178" s="105" t="str">
        <f>'Data shares'!C173</f>
        <v>RECLTD</v>
      </c>
      <c r="B178" s="143">
        <f>VLOOKUP($A178,'Data shares'!$C:$FA,118)</f>
        <v>0.89</v>
      </c>
      <c r="C178" s="143">
        <f>VLOOKUP($A178,'Data shares'!$C:$FA,119)</f>
        <v>0.89</v>
      </c>
      <c r="D178" s="143">
        <f>VLOOKUP($A178,'Data shares'!$C:$FA,121)*100</f>
        <v>0</v>
      </c>
      <c r="E178" s="143">
        <f>VLOOKUP($A178,'Data shares'!$C:$FA,124)</f>
        <v>0.64</v>
      </c>
      <c r="F178" s="143">
        <f>VLOOKUP($A178,'Data shares'!$C:$FA,125)</f>
        <v>0.56999999999999995</v>
      </c>
      <c r="G178" s="143">
        <f>VLOOKUP($A178,'Data shares'!$C:$FA,127)*100</f>
        <v>12.280000000000001</v>
      </c>
      <c r="H178" s="103">
        <f>VLOOKUP($A178,'OI(Volume)'!$A$7:$O$427,8)</f>
        <v>27494100</v>
      </c>
      <c r="I178" s="103">
        <f>VLOOKUP($A178,'OI(Volume)'!$A$7:$O$427,9)</f>
        <v>-212925</v>
      </c>
      <c r="J178" s="103">
        <f>VLOOKUP($A178,'OI(Volume)'!$A$7:$O$427,11)</f>
        <v>24575625</v>
      </c>
      <c r="K178" s="103">
        <f>VLOOKUP($A178,'OI(Volume)'!$A$7:$O$427,12)</f>
        <v>44625</v>
      </c>
      <c r="L178" s="103">
        <f>VLOOKUP($A178,'OI(Value)'!$A$7:$O$306,8,0)</f>
        <v>1032</v>
      </c>
      <c r="M178" s="103">
        <f>VLOOKUP($A178,'OI(Value)'!$A$7:$O$306,9,0)</f>
        <v>-8</v>
      </c>
      <c r="N178" s="103">
        <f>VLOOKUP($A178,'OI(Value)'!$A$7:$O$306,11,0)</f>
        <v>923</v>
      </c>
      <c r="O178" s="103">
        <f>VLOOKUP($A178,'OI(Value)'!$A$7:$O$306,12,0)</f>
        <v>2</v>
      </c>
    </row>
    <row r="179" spans="1:15" x14ac:dyDescent="0.25">
      <c r="A179" s="105" t="str">
        <f>'Data shares'!C174</f>
        <v>RELIANCE</v>
      </c>
      <c r="B179" s="143">
        <f>VLOOKUP($A179,'Data shares'!$C:$FA,118)</f>
        <v>0.69</v>
      </c>
      <c r="C179" s="143">
        <f>VLOOKUP($A179,'Data shares'!$C:$FA,119)</f>
        <v>0.66</v>
      </c>
      <c r="D179" s="143">
        <f>VLOOKUP($A179,'Data shares'!$C:$FA,121)*100</f>
        <v>4.55</v>
      </c>
      <c r="E179" s="143">
        <f>VLOOKUP($A179,'Data shares'!$C:$FA,124)</f>
        <v>0.43</v>
      </c>
      <c r="F179" s="143">
        <f>VLOOKUP($A179,'Data shares'!$C:$FA,125)</f>
        <v>0.54</v>
      </c>
      <c r="G179" s="143">
        <f>VLOOKUP($A179,'Data shares'!$C:$FA,127)*100</f>
        <v>-20.369999999999997</v>
      </c>
      <c r="H179" s="103">
        <f>VLOOKUP($A179,'OI(Volume)'!$A$7:$O$427,8)</f>
        <v>55567000</v>
      </c>
      <c r="I179" s="103">
        <f>VLOOKUP($A179,'OI(Volume)'!$A$7:$O$427,9)</f>
        <v>-2487000</v>
      </c>
      <c r="J179" s="103">
        <f>VLOOKUP($A179,'OI(Volume)'!$A$7:$O$427,11)</f>
        <v>38274500</v>
      </c>
      <c r="K179" s="103">
        <f>VLOOKUP($A179,'OI(Volume)'!$A$7:$O$427,12)</f>
        <v>-228000</v>
      </c>
      <c r="L179" s="103">
        <f>VLOOKUP($A179,'OI(Value)'!$A$7:$O$306,8,0)</f>
        <v>7778</v>
      </c>
      <c r="M179" s="103">
        <f>VLOOKUP($A179,'OI(Value)'!$A$7:$O$306,9,0)</f>
        <v>-348</v>
      </c>
      <c r="N179" s="103">
        <f>VLOOKUP($A179,'OI(Value)'!$A$7:$O$306,11,0)</f>
        <v>5358</v>
      </c>
      <c r="O179" s="103">
        <f>VLOOKUP($A179,'OI(Value)'!$A$7:$O$306,12,0)</f>
        <v>-32</v>
      </c>
    </row>
    <row r="180" spans="1:15" x14ac:dyDescent="0.25">
      <c r="A180" s="105" t="str">
        <f>'Data shares'!C175</f>
        <v>RVNL</v>
      </c>
      <c r="B180" s="143">
        <f>VLOOKUP($A180,'Data shares'!$C:$FA,118)</f>
        <v>0.37</v>
      </c>
      <c r="C180" s="143">
        <f>VLOOKUP($A180,'Data shares'!$C:$FA,119)</f>
        <v>0.38</v>
      </c>
      <c r="D180" s="143">
        <f>VLOOKUP($A180,'Data shares'!$C:$FA,121)*100</f>
        <v>-2.63</v>
      </c>
      <c r="E180" s="143">
        <f>VLOOKUP($A180,'Data shares'!$C:$FA,124)</f>
        <v>0.28000000000000003</v>
      </c>
      <c r="F180" s="143">
        <f>VLOOKUP($A180,'Data shares'!$C:$FA,125)</f>
        <v>0.27</v>
      </c>
      <c r="G180" s="143">
        <f>VLOOKUP($A180,'Data shares'!$C:$FA,127)*100</f>
        <v>3.6999999999999997</v>
      </c>
      <c r="H180" s="103">
        <f>VLOOKUP($A180,'OI(Volume)'!$A$7:$O$427,8)</f>
        <v>21661750</v>
      </c>
      <c r="I180" s="103">
        <f>VLOOKUP($A180,'OI(Volume)'!$A$7:$O$427,9)</f>
        <v>291500</v>
      </c>
      <c r="J180" s="103">
        <f>VLOOKUP($A180,'OI(Volume)'!$A$7:$O$427,11)</f>
        <v>8031375</v>
      </c>
      <c r="K180" s="103">
        <f>VLOOKUP($A180,'OI(Volume)'!$A$7:$O$427,12)</f>
        <v>-12375</v>
      </c>
      <c r="L180" s="103">
        <f>VLOOKUP($A180,'OI(Value)'!$A$7:$O$306,8,0)</f>
        <v>730</v>
      </c>
      <c r="M180" s="103">
        <f>VLOOKUP($A180,'OI(Value)'!$A$7:$O$306,9,0)</f>
        <v>10</v>
      </c>
      <c r="N180" s="103">
        <f>VLOOKUP($A180,'OI(Value)'!$A$7:$O$306,11,0)</f>
        <v>271</v>
      </c>
      <c r="O180" s="103">
        <f>VLOOKUP($A180,'OI(Value)'!$A$7:$O$306,12,0)</f>
        <v>0</v>
      </c>
    </row>
    <row r="181" spans="1:15" x14ac:dyDescent="0.25">
      <c r="A181" s="105" t="str">
        <f>'Data shares'!C176</f>
        <v>SAIL</v>
      </c>
      <c r="B181" s="143">
        <f>VLOOKUP($A181,'Data shares'!$C:$FA,118)</f>
        <v>0.52</v>
      </c>
      <c r="C181" s="143">
        <f>VLOOKUP($A181,'Data shares'!$C:$FA,119)</f>
        <v>0.5</v>
      </c>
      <c r="D181" s="143">
        <f>VLOOKUP($A181,'Data shares'!$C:$FA,121)*100</f>
        <v>4</v>
      </c>
      <c r="E181" s="143">
        <f>VLOOKUP($A181,'Data shares'!$C:$FA,124)</f>
        <v>0.56000000000000005</v>
      </c>
      <c r="F181" s="143">
        <f>VLOOKUP($A181,'Data shares'!$C:$FA,125)</f>
        <v>0.47</v>
      </c>
      <c r="G181" s="143">
        <f>VLOOKUP($A181,'Data shares'!$C:$FA,127)*100</f>
        <v>19.149999999999999</v>
      </c>
      <c r="H181" s="103">
        <f>VLOOKUP($A181,'OI(Volume)'!$A$7:$O$427,8)</f>
        <v>64855300</v>
      </c>
      <c r="I181" s="103">
        <f>VLOOKUP($A181,'OI(Volume)'!$A$7:$O$427,9)</f>
        <v>-2359400</v>
      </c>
      <c r="J181" s="103">
        <f>VLOOKUP($A181,'OI(Volume)'!$A$7:$O$427,11)</f>
        <v>33694300</v>
      </c>
      <c r="K181" s="103">
        <f>VLOOKUP($A181,'OI(Volume)'!$A$7:$O$427,12)</f>
        <v>65800</v>
      </c>
      <c r="L181" s="103">
        <f>VLOOKUP($A181,'OI(Value)'!$A$7:$O$306,8,0)</f>
        <v>854</v>
      </c>
      <c r="M181" s="103">
        <f>VLOOKUP($A181,'OI(Value)'!$A$7:$O$306,9,0)</f>
        <v>-31</v>
      </c>
      <c r="N181" s="103">
        <f>VLOOKUP($A181,'OI(Value)'!$A$7:$O$306,11,0)</f>
        <v>444</v>
      </c>
      <c r="O181" s="103">
        <f>VLOOKUP($A181,'OI(Value)'!$A$7:$O$306,12,0)</f>
        <v>1</v>
      </c>
    </row>
    <row r="182" spans="1:15" x14ac:dyDescent="0.25">
      <c r="A182" s="105" t="str">
        <f>'Data shares'!C177</f>
        <v>SAMMAANCAP</v>
      </c>
      <c r="B182" s="143">
        <f>VLOOKUP($A182,'Data shares'!$C:$FA,118)</f>
        <v>1.04</v>
      </c>
      <c r="C182" s="143">
        <f>VLOOKUP($A182,'Data shares'!$C:$FA,119)</f>
        <v>1.02</v>
      </c>
      <c r="D182" s="143">
        <f>VLOOKUP($A182,'Data shares'!$C:$FA,121)*100</f>
        <v>1.96</v>
      </c>
      <c r="E182" s="143">
        <f>VLOOKUP($A182,'Data shares'!$C:$FA,124)</f>
        <v>0.44</v>
      </c>
      <c r="F182" s="143">
        <f>VLOOKUP($A182,'Data shares'!$C:$FA,125)</f>
        <v>0.74</v>
      </c>
      <c r="G182" s="143">
        <f>VLOOKUP($A182,'Data shares'!$C:$FA,127)*100</f>
        <v>-40.54</v>
      </c>
      <c r="H182" s="103">
        <f>VLOOKUP($A182,'OI(Volume)'!$A$7:$O$427,8)</f>
        <v>27661900</v>
      </c>
      <c r="I182" s="103">
        <f>VLOOKUP($A182,'OI(Volume)'!$A$7:$O$427,9)</f>
        <v>-911600</v>
      </c>
      <c r="J182" s="103">
        <f>VLOOKUP($A182,'OI(Volume)'!$A$7:$O$427,11)</f>
        <v>28801400</v>
      </c>
      <c r="K182" s="103">
        <f>VLOOKUP($A182,'OI(Volume)'!$A$7:$O$427,12)</f>
        <v>-455800</v>
      </c>
      <c r="L182" s="103">
        <f>VLOOKUP($A182,'OI(Value)'!$A$7:$O$306,8,0)</f>
        <v>462</v>
      </c>
      <c r="M182" s="103">
        <f>VLOOKUP($A182,'OI(Value)'!$A$7:$O$306,9,0)</f>
        <v>-15</v>
      </c>
      <c r="N182" s="103">
        <f>VLOOKUP($A182,'OI(Value)'!$A$7:$O$306,11,0)</f>
        <v>481</v>
      </c>
      <c r="O182" s="103">
        <f>VLOOKUP($A182,'OI(Value)'!$A$7:$O$306,12,0)</f>
        <v>-8</v>
      </c>
    </row>
    <row r="183" spans="1:15" x14ac:dyDescent="0.25">
      <c r="A183" s="105" t="str">
        <f>'Data shares'!C178</f>
        <v>SBICARD</v>
      </c>
      <c r="B183" s="143">
        <f>VLOOKUP($A183,'Data shares'!$C:$FA,118)</f>
        <v>0.7</v>
      </c>
      <c r="C183" s="143">
        <f>VLOOKUP($A183,'Data shares'!$C:$FA,119)</f>
        <v>0.61</v>
      </c>
      <c r="D183" s="143">
        <f>VLOOKUP($A183,'Data shares'!$C:$FA,121)*100</f>
        <v>14.75</v>
      </c>
      <c r="E183" s="143">
        <f>VLOOKUP($A183,'Data shares'!$C:$FA,124)</f>
        <v>0.42</v>
      </c>
      <c r="F183" s="143">
        <f>VLOOKUP($A183,'Data shares'!$C:$FA,125)</f>
        <v>0.45</v>
      </c>
      <c r="G183" s="143">
        <f>VLOOKUP($A183,'Data shares'!$C:$FA,127)*100</f>
        <v>-6.67</v>
      </c>
      <c r="H183" s="103">
        <f>VLOOKUP($A183,'OI(Volume)'!$A$7:$O$427,8)</f>
        <v>5600800</v>
      </c>
      <c r="I183" s="103">
        <f>VLOOKUP($A183,'OI(Volume)'!$A$7:$O$427,9)</f>
        <v>-496800</v>
      </c>
      <c r="J183" s="103">
        <f>VLOOKUP($A183,'OI(Volume)'!$A$7:$O$427,11)</f>
        <v>3936800</v>
      </c>
      <c r="K183" s="103">
        <f>VLOOKUP($A183,'OI(Volume)'!$A$7:$O$427,12)</f>
        <v>193600</v>
      </c>
      <c r="L183" s="103">
        <f>VLOOKUP($A183,'OI(Value)'!$A$7:$O$306,8,0)</f>
        <v>522</v>
      </c>
      <c r="M183" s="103">
        <f>VLOOKUP($A183,'OI(Value)'!$A$7:$O$306,9,0)</f>
        <v>-46</v>
      </c>
      <c r="N183" s="103">
        <f>VLOOKUP($A183,'OI(Value)'!$A$7:$O$306,11,0)</f>
        <v>367</v>
      </c>
      <c r="O183" s="103">
        <f>VLOOKUP($A183,'OI(Value)'!$A$7:$O$306,12,0)</f>
        <v>18</v>
      </c>
    </row>
    <row r="184" spans="1:15" x14ac:dyDescent="0.25">
      <c r="A184" s="105" t="str">
        <f>'Data shares'!C179</f>
        <v>SBILIFE</v>
      </c>
      <c r="B184" s="143">
        <f>VLOOKUP($A184,'Data shares'!$C:$FA,118)</f>
        <v>0.54</v>
      </c>
      <c r="C184" s="143">
        <f>VLOOKUP($A184,'Data shares'!$C:$FA,119)</f>
        <v>0.55000000000000004</v>
      </c>
      <c r="D184" s="143">
        <f>VLOOKUP($A184,'Data shares'!$C:$FA,121)*100</f>
        <v>-1.82</v>
      </c>
      <c r="E184" s="143">
        <f>VLOOKUP($A184,'Data shares'!$C:$FA,124)</f>
        <v>0.5</v>
      </c>
      <c r="F184" s="143">
        <f>VLOOKUP($A184,'Data shares'!$C:$FA,125)</f>
        <v>0.34</v>
      </c>
      <c r="G184" s="143">
        <f>VLOOKUP($A184,'Data shares'!$C:$FA,127)*100</f>
        <v>47.06</v>
      </c>
      <c r="H184" s="103">
        <f>VLOOKUP($A184,'OI(Volume)'!$A$7:$O$427,8)</f>
        <v>2556000</v>
      </c>
      <c r="I184" s="103">
        <f>VLOOKUP($A184,'OI(Volume)'!$A$7:$O$427,9)</f>
        <v>-7125</v>
      </c>
      <c r="J184" s="103">
        <f>VLOOKUP($A184,'OI(Volume)'!$A$7:$O$427,11)</f>
        <v>1383750</v>
      </c>
      <c r="K184" s="103">
        <f>VLOOKUP($A184,'OI(Volume)'!$A$7:$O$427,12)</f>
        <v>-28500</v>
      </c>
      <c r="L184" s="103">
        <f>VLOOKUP($A184,'OI(Value)'!$A$7:$O$306,8,0)</f>
        <v>470</v>
      </c>
      <c r="M184" s="103">
        <f>VLOOKUP($A184,'OI(Value)'!$A$7:$O$306,9,0)</f>
        <v>-1</v>
      </c>
      <c r="N184" s="103">
        <f>VLOOKUP($A184,'OI(Value)'!$A$7:$O$306,11,0)</f>
        <v>254</v>
      </c>
      <c r="O184" s="103">
        <f>VLOOKUP($A184,'OI(Value)'!$A$7:$O$306,12,0)</f>
        <v>-5</v>
      </c>
    </row>
    <row r="185" spans="1:15" x14ac:dyDescent="0.25">
      <c r="A185" s="105" t="str">
        <f>'Data shares'!C180</f>
        <v>SBIN</v>
      </c>
      <c r="B185" s="143">
        <f>VLOOKUP($A185,'Data shares'!$C:$FA,118)</f>
        <v>0.66</v>
      </c>
      <c r="C185" s="143">
        <f>VLOOKUP($A185,'Data shares'!$C:$FA,119)</f>
        <v>0.62</v>
      </c>
      <c r="D185" s="143">
        <f>VLOOKUP($A185,'Data shares'!$C:$FA,121)*100</f>
        <v>6.45</v>
      </c>
      <c r="E185" s="143">
        <f>VLOOKUP($A185,'Data shares'!$C:$FA,124)</f>
        <v>0.65</v>
      </c>
      <c r="F185" s="143">
        <f>VLOOKUP($A185,'Data shares'!$C:$FA,125)</f>
        <v>0.63</v>
      </c>
      <c r="G185" s="143">
        <f>VLOOKUP($A185,'Data shares'!$C:$FA,127)*100</f>
        <v>3.17</v>
      </c>
      <c r="H185" s="103">
        <f>VLOOKUP($A185,'OI(Volume)'!$A$7:$O$427,8)</f>
        <v>53025750</v>
      </c>
      <c r="I185" s="103">
        <f>VLOOKUP($A185,'OI(Volume)'!$A$7:$O$427,9)</f>
        <v>441000</v>
      </c>
      <c r="J185" s="103">
        <f>VLOOKUP($A185,'OI(Volume)'!$A$7:$O$427,11)</f>
        <v>35006250</v>
      </c>
      <c r="K185" s="103">
        <f>VLOOKUP($A185,'OI(Volume)'!$A$7:$O$427,12)</f>
        <v>2601000</v>
      </c>
      <c r="L185" s="103">
        <f>VLOOKUP($A185,'OI(Value)'!$A$7:$O$306,8,0)</f>
        <v>4710</v>
      </c>
      <c r="M185" s="103">
        <f>VLOOKUP($A185,'OI(Value)'!$A$7:$O$306,9,0)</f>
        <v>39</v>
      </c>
      <c r="N185" s="103">
        <f>VLOOKUP($A185,'OI(Value)'!$A$7:$O$306,11,0)</f>
        <v>3110</v>
      </c>
      <c r="O185" s="103">
        <f>VLOOKUP($A185,'OI(Value)'!$A$7:$O$306,12,0)</f>
        <v>231</v>
      </c>
    </row>
    <row r="186" spans="1:15" x14ac:dyDescent="0.25">
      <c r="A186" s="105" t="str">
        <f>'Data shares'!C181</f>
        <v>SHREECEM</v>
      </c>
      <c r="B186" s="143">
        <f>VLOOKUP($A186,'Data shares'!$C:$FA,118)</f>
        <v>0.88</v>
      </c>
      <c r="C186" s="143">
        <f>VLOOKUP($A186,'Data shares'!$C:$FA,119)</f>
        <v>0.73</v>
      </c>
      <c r="D186" s="143">
        <f>VLOOKUP($A186,'Data shares'!$C:$FA,121)*100</f>
        <v>20.549999999999997</v>
      </c>
      <c r="E186" s="143">
        <f>VLOOKUP($A186,'Data shares'!$C:$FA,124)</f>
        <v>1.33</v>
      </c>
      <c r="F186" s="143">
        <f>VLOOKUP($A186,'Data shares'!$C:$FA,125)</f>
        <v>0.18</v>
      </c>
      <c r="G186" s="143">
        <f>VLOOKUP($A186,'Data shares'!$C:$FA,127)*100</f>
        <v>638.89</v>
      </c>
      <c r="H186" s="103">
        <f>VLOOKUP($A186,'OI(Volume)'!$A$7:$O$427,8)</f>
        <v>30800</v>
      </c>
      <c r="I186" s="103">
        <f>VLOOKUP($A186,'OI(Volume)'!$A$7:$O$427,9)</f>
        <v>-1375</v>
      </c>
      <c r="J186" s="103">
        <f>VLOOKUP($A186,'OI(Volume)'!$A$7:$O$427,11)</f>
        <v>27000</v>
      </c>
      <c r="K186" s="103">
        <f>VLOOKUP($A186,'OI(Volume)'!$A$7:$O$427,12)</f>
        <v>3625</v>
      </c>
      <c r="L186" s="103">
        <f>VLOOKUP($A186,'OI(Value)'!$A$7:$O$306,8,0)</f>
        <v>93</v>
      </c>
      <c r="M186" s="103">
        <f>VLOOKUP($A186,'OI(Value)'!$A$7:$O$306,9,0)</f>
        <v>-4</v>
      </c>
      <c r="N186" s="103">
        <f>VLOOKUP($A186,'OI(Value)'!$A$7:$O$306,11,0)</f>
        <v>81</v>
      </c>
      <c r="O186" s="103">
        <f>VLOOKUP($A186,'OI(Value)'!$A$7:$O$306,12,0)</f>
        <v>11</v>
      </c>
    </row>
    <row r="187" spans="1:15" x14ac:dyDescent="0.25">
      <c r="A187" s="105" t="str">
        <f>'Data shares'!C182</f>
        <v>SHRIRAMFIN</v>
      </c>
      <c r="B187" s="143">
        <f>VLOOKUP($A187,'Data shares'!$C:$FA,118)</f>
        <v>0.76</v>
      </c>
      <c r="C187" s="143">
        <f>VLOOKUP($A187,'Data shares'!$C:$FA,119)</f>
        <v>0.82</v>
      </c>
      <c r="D187" s="143">
        <f>VLOOKUP($A187,'Data shares'!$C:$FA,121)*100</f>
        <v>-7.32</v>
      </c>
      <c r="E187" s="143">
        <f>VLOOKUP($A187,'Data shares'!$C:$FA,124)</f>
        <v>0.45</v>
      </c>
      <c r="F187" s="143">
        <f>VLOOKUP($A187,'Data shares'!$C:$FA,125)</f>
        <v>0.53</v>
      </c>
      <c r="G187" s="143">
        <f>VLOOKUP($A187,'Data shares'!$C:$FA,127)*100</f>
        <v>-15.09</v>
      </c>
      <c r="H187" s="103">
        <f>VLOOKUP($A187,'OI(Volume)'!$A$7:$O$427,8)</f>
        <v>9180600</v>
      </c>
      <c r="I187" s="103">
        <f>VLOOKUP($A187,'OI(Volume)'!$A$7:$O$427,9)</f>
        <v>877800</v>
      </c>
      <c r="J187" s="103">
        <f>VLOOKUP($A187,'OI(Volume)'!$A$7:$O$427,11)</f>
        <v>6967950</v>
      </c>
      <c r="K187" s="103">
        <f>VLOOKUP($A187,'OI(Volume)'!$A$7:$O$427,12)</f>
        <v>134475</v>
      </c>
      <c r="L187" s="103">
        <f>VLOOKUP($A187,'OI(Value)'!$A$7:$O$306,8,0)</f>
        <v>618</v>
      </c>
      <c r="M187" s="103">
        <f>VLOOKUP($A187,'OI(Value)'!$A$7:$O$306,9,0)</f>
        <v>59</v>
      </c>
      <c r="N187" s="103">
        <f>VLOOKUP($A187,'OI(Value)'!$A$7:$O$306,11,0)</f>
        <v>469</v>
      </c>
      <c r="O187" s="103">
        <f>VLOOKUP($A187,'OI(Value)'!$A$7:$O$306,12,0)</f>
        <v>9</v>
      </c>
    </row>
    <row r="188" spans="1:15" x14ac:dyDescent="0.25">
      <c r="A188" s="105" t="str">
        <f>'Data shares'!C183</f>
        <v>SIEMENS</v>
      </c>
      <c r="B188" s="143">
        <f>VLOOKUP($A188,'Data shares'!$C:$FA,118)</f>
        <v>0.39</v>
      </c>
      <c r="C188" s="143">
        <f>VLOOKUP($A188,'Data shares'!$C:$FA,119)</f>
        <v>0.43</v>
      </c>
      <c r="D188" s="143">
        <f>VLOOKUP($A188,'Data shares'!$C:$FA,121)*100</f>
        <v>-9.3000000000000007</v>
      </c>
      <c r="E188" s="143">
        <f>VLOOKUP($A188,'Data shares'!$C:$FA,124)</f>
        <v>0.45</v>
      </c>
      <c r="F188" s="143">
        <f>VLOOKUP($A188,'Data shares'!$C:$FA,125)</f>
        <v>0.31</v>
      </c>
      <c r="G188" s="143">
        <f>VLOOKUP($A188,'Data shares'!$C:$FA,127)*100</f>
        <v>45.16</v>
      </c>
      <c r="H188" s="103">
        <f>VLOOKUP($A188,'OI(Volume)'!$A$7:$O$427,8)</f>
        <v>1599875</v>
      </c>
      <c r="I188" s="103">
        <f>VLOOKUP($A188,'OI(Volume)'!$A$7:$O$427,9)</f>
        <v>96250</v>
      </c>
      <c r="J188" s="103">
        <f>VLOOKUP($A188,'OI(Volume)'!$A$7:$O$427,11)</f>
        <v>629250</v>
      </c>
      <c r="K188" s="103">
        <f>VLOOKUP($A188,'OI(Volume)'!$A$7:$O$427,12)</f>
        <v>-13000</v>
      </c>
      <c r="L188" s="103">
        <f>VLOOKUP($A188,'OI(Value)'!$A$7:$O$306,8,0)</f>
        <v>499</v>
      </c>
      <c r="M188" s="103">
        <f>VLOOKUP($A188,'OI(Value)'!$A$7:$O$306,9,0)</f>
        <v>30</v>
      </c>
      <c r="N188" s="103">
        <f>VLOOKUP($A188,'OI(Value)'!$A$7:$O$306,11,0)</f>
        <v>196</v>
      </c>
      <c r="O188" s="103">
        <f>VLOOKUP($A188,'OI(Value)'!$A$7:$O$306,12,0)</f>
        <v>-4</v>
      </c>
    </row>
    <row r="189" spans="1:15" x14ac:dyDescent="0.25">
      <c r="A189" s="105" t="str">
        <f>'Data shares'!C184</f>
        <v>SOLARINDS</v>
      </c>
      <c r="B189" s="143">
        <f>VLOOKUP($A189,'Data shares'!$C:$FA,118)</f>
        <v>0.62</v>
      </c>
      <c r="C189" s="143">
        <f>VLOOKUP($A189,'Data shares'!$C:$FA,119)</f>
        <v>0.64</v>
      </c>
      <c r="D189" s="143">
        <f>VLOOKUP($A189,'Data shares'!$C:$FA,121)*100</f>
        <v>-3.1300000000000003</v>
      </c>
      <c r="E189" s="143">
        <f>VLOOKUP($A189,'Data shares'!$C:$FA,124)</f>
        <v>0.19</v>
      </c>
      <c r="F189" s="143">
        <f>VLOOKUP($A189,'Data shares'!$C:$FA,125)</f>
        <v>0.34</v>
      </c>
      <c r="G189" s="143">
        <f>VLOOKUP($A189,'Data shares'!$C:$FA,127)*100</f>
        <v>-44.12</v>
      </c>
      <c r="H189" s="103">
        <f>VLOOKUP($A189,'OI(Volume)'!$A$7:$O$427,8)</f>
        <v>1599875</v>
      </c>
      <c r="I189" s="103">
        <f>VLOOKUP($A189,'OI(Volume)'!$A$7:$O$427,9)</f>
        <v>96250</v>
      </c>
      <c r="J189" s="103">
        <f>VLOOKUP($A189,'OI(Volume)'!$A$7:$O$427,11)</f>
        <v>629250</v>
      </c>
      <c r="K189" s="103">
        <f>VLOOKUP($A189,'OI(Volume)'!$A$7:$O$427,12)</f>
        <v>-13000</v>
      </c>
      <c r="L189" s="103"/>
      <c r="M189" s="103"/>
      <c r="N189" s="103"/>
      <c r="O189" s="103"/>
    </row>
    <row r="190" spans="1:15" x14ac:dyDescent="0.25">
      <c r="A190" s="105" t="str">
        <f>'Data shares'!C216</f>
        <v>ZYDUSLIFE</v>
      </c>
      <c r="B190" s="143">
        <f>VLOOKUP($A190,'Data shares'!$C:$FA,118)</f>
        <v>0.56000000000000005</v>
      </c>
      <c r="C190" s="143">
        <f>VLOOKUP($A190,'Data shares'!$C:$FA,119)</f>
        <v>0.53</v>
      </c>
      <c r="D190" s="143">
        <f>VLOOKUP($A190,'Data shares'!$C:$FA,121)*100</f>
        <v>5.66</v>
      </c>
      <c r="E190" s="143">
        <f>VLOOKUP($A190,'Data shares'!$C:$FA,124)</f>
        <v>0.46</v>
      </c>
      <c r="F190" s="143">
        <f>VLOOKUP($A190,'Data shares'!$C:$FA,125)</f>
        <v>0.32</v>
      </c>
      <c r="G190" s="143">
        <f>VLOOKUP($A190,'Data shares'!$C:$FA,127)*100</f>
        <v>43.75</v>
      </c>
      <c r="H190" s="103">
        <f>VLOOKUP($A190,'OI(Volume)'!$A$7:$O$427,8)</f>
        <v>0</v>
      </c>
      <c r="I190" s="103">
        <f>VLOOKUP($A190,'OI(Volume)'!$A$7:$O$427,9)</f>
        <v>0</v>
      </c>
      <c r="J190" s="103">
        <f>VLOOKUP($A190,'OI(Volume)'!$A$7:$O$427,11)</f>
        <v>0</v>
      </c>
      <c r="K190" s="103">
        <f>VLOOKUP($A190,'OI(Volume)'!$A$7:$O$427,12)</f>
        <v>0</v>
      </c>
      <c r="L190" s="103">
        <f>VLOOKUP($A190,'OI(Value)'!$A$7:$O$306,8,0)</f>
        <v>354</v>
      </c>
      <c r="M190" s="103">
        <f>VLOOKUP($A190,'OI(Value)'!$A$7:$O$306,9,0)</f>
        <v>-27</v>
      </c>
      <c r="N190" s="103">
        <f>VLOOKUP($A190,'OI(Value)'!$A$7:$O$306,11,0)</f>
        <v>199</v>
      </c>
      <c r="O190" s="103">
        <f>VLOOKUP($A190,'OI(Value)'!$A$7:$O$306,12,0)</f>
        <v>-2</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5774340982</v>
      </c>
      <c r="I192" s="135">
        <f t="shared" si="0"/>
        <v>126582460</v>
      </c>
      <c r="J192" s="135">
        <f t="shared" si="0"/>
        <v>3626689876</v>
      </c>
      <c r="K192" s="135">
        <f t="shared" si="0"/>
        <v>208475932</v>
      </c>
      <c r="L192" s="135">
        <f t="shared" si="0"/>
        <v>848280</v>
      </c>
      <c r="M192" s="135">
        <f t="shared" si="0"/>
        <v>37217</v>
      </c>
      <c r="N192" s="135">
        <f t="shared" si="0"/>
        <v>1015981</v>
      </c>
      <c r="O192" s="135">
        <f t="shared" si="0"/>
        <v>149959</v>
      </c>
    </row>
    <row r="193" spans="1:15" x14ac:dyDescent="0.25">
      <c r="A193" s="126" t="s">
        <v>415</v>
      </c>
      <c r="B193" s="136"/>
      <c r="C193" s="136"/>
      <c r="D193" s="136"/>
      <c r="E193" s="136"/>
      <c r="F193" s="136"/>
      <c r="G193" s="136"/>
      <c r="H193" s="137">
        <f>H192/10000000</f>
        <v>577.43409819999999</v>
      </c>
      <c r="I193" s="137">
        <f>I192/10000000</f>
        <v>12.658246</v>
      </c>
      <c r="J193" s="137">
        <f>J192/10000000</f>
        <v>362.66898759999998</v>
      </c>
      <c r="K193" s="137">
        <f>K192/10000000</f>
        <v>20.847593199999999</v>
      </c>
      <c r="L193" s="138">
        <f>L192</f>
        <v>848280</v>
      </c>
      <c r="M193" s="138">
        <f>M192</f>
        <v>37217</v>
      </c>
      <c r="N193" s="138">
        <f>N192</f>
        <v>1015981</v>
      </c>
      <c r="O193" s="138">
        <f>O192</f>
        <v>149959</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2025-10-17T03:31:34Z</dcterms:modified>
</cp:coreProperties>
</file>